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threadedComments/threadedComment2.xml" ContentType="application/vnd.ms-excel.threaded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showInkAnnotation="0" autoCompressPictures="0"/>
  <mc:AlternateContent xmlns:mc="http://schemas.openxmlformats.org/markup-compatibility/2006">
    <mc:Choice Requires="x15">
      <x15ac:absPath xmlns:x15ac="http://schemas.microsoft.com/office/spreadsheetml/2010/11/ac" url="/Users/tove/Documents/Kurser/Skoleårets planlægning/2026-2027/Lærere/Eksempel til hjemmeside/"/>
    </mc:Choice>
  </mc:AlternateContent>
  <xr:revisionPtr revIDLastSave="0" documentId="8_{B5C61388-5AE5-F04B-B86F-1159E6EB79F3}" xr6:coauthVersionLast="47" xr6:coauthVersionMax="47" xr10:uidLastSave="{00000000-0000-0000-0000-000000000000}"/>
  <bookViews>
    <workbookView xWindow="0" yWindow="660" windowWidth="27940" windowHeight="17500" tabRatio="500" firstSheet="4" activeTab="5" xr2:uid="{00000000-000D-0000-FFFF-FFFF00000000}"/>
  </bookViews>
  <sheets>
    <sheet name="Vejledning" sheetId="21" r:id="rId1"/>
    <sheet name="Vejledning PDF" sheetId="89" r:id="rId2"/>
    <sheet name="Ændringer i forhold til 26-27" sheetId="80" r:id="rId3"/>
    <sheet name="Gode råd til check" sheetId="81" r:id="rId4"/>
    <sheet name="Opgørelse af arbejdstiden" sheetId="85" r:id="rId5"/>
    <sheet name="Stamoplysninger" sheetId="62" r:id="rId6"/>
    <sheet name="Skemaoplysninger" sheetId="43" r:id="rId7"/>
    <sheet name="August" sheetId="41" r:id="rId8"/>
    <sheet name="September" sheetId="63" r:id="rId9"/>
    <sheet name="Oktober" sheetId="64" r:id="rId10"/>
    <sheet name="November" sheetId="65" r:id="rId11"/>
    <sheet name="December" sheetId="66" r:id="rId12"/>
    <sheet name="Januar" sheetId="67" r:id="rId13"/>
    <sheet name="Februar" sheetId="68" r:id="rId14"/>
    <sheet name="Marts" sheetId="69" r:id="rId15"/>
    <sheet name="April" sheetId="70" r:id="rId16"/>
    <sheet name="Maj" sheetId="71" r:id="rId17"/>
    <sheet name="Juni" sheetId="72" r:id="rId18"/>
    <sheet name="Juli" sheetId="73" r:id="rId19"/>
    <sheet name="Arbejdstidsoversigt" sheetId="1" r:id="rId20"/>
    <sheet name="Opgaver" sheetId="44" r:id="rId21"/>
    <sheet name="Følgebrev" sheetId="93" r:id="rId22"/>
    <sheet name="Opgørelse" sheetId="50" r:id="rId23"/>
    <sheet name="Undervisningstillæg" sheetId="61" r:id="rId24"/>
    <sheet name="Ulempe-weekendtillæg" sheetId="74" r:id="rId25"/>
    <sheet name="Vejledning til arb.tidsoversigt" sheetId="20" state="hidden" r:id="rId26"/>
    <sheet name="Opgaveoversigt" sheetId="2" state="hidden" r:id="rId27"/>
    <sheet name="Aften-weekendtillæg" sheetId="5" state="hidden" r:id="rId28"/>
    <sheet name="Aar" sheetId="23" r:id="rId29"/>
    <sheet name="1.halvaar" sheetId="24" r:id="rId30"/>
    <sheet name="2.halvaar" sheetId="25" r:id="rId31"/>
    <sheet name="Skema 1 til print" sheetId="46" r:id="rId32"/>
    <sheet name="Skema 2 til print" sheetId="47" r:id="rId33"/>
    <sheet name="Skema 3 til print" sheetId="49" r:id="rId34"/>
    <sheet name="Skema 4 til print" sheetId="48" r:id="rId35"/>
    <sheet name="TOMT ÅR" sheetId="90" r:id="rId36"/>
    <sheet name="TOMT 1. HALVÅR" sheetId="91" r:id="rId37"/>
    <sheet name="TOMT 2. HALVÅR" sheetId="92" r:id="rId38"/>
  </sheets>
  <definedNames>
    <definedName name="April" localSheetId="21">#REF!</definedName>
    <definedName name="april" localSheetId="24">#REF!</definedName>
    <definedName name="April">April!$C$14:$C$43</definedName>
    <definedName name="April1">#REF!</definedName>
    <definedName name="AUG" localSheetId="15">April!$D$14:$D$43</definedName>
    <definedName name="AUG" localSheetId="11">December!$D$14:$D$44</definedName>
    <definedName name="AUG" localSheetId="13">Februar!$D$14:$D$41</definedName>
    <definedName name="AUG" localSheetId="12">Januar!$D$14:$D$44</definedName>
    <definedName name="AUG" localSheetId="18">Juli!$D$14:$D$44</definedName>
    <definedName name="AUG" localSheetId="17">Juni!$D$14:$D$43</definedName>
    <definedName name="AUG" localSheetId="16">Maj!$D$14:$D$44</definedName>
    <definedName name="AUG" localSheetId="14">Marts!$D$14:$D$44</definedName>
    <definedName name="AUG" localSheetId="10">November!$D$14:$D$43</definedName>
    <definedName name="AUG" localSheetId="9">Oktober!$D$14:$D$44</definedName>
    <definedName name="AUG" localSheetId="8">September!$D$14:$D$43</definedName>
    <definedName name="AUG">August!$D$15:$D$45</definedName>
    <definedName name="august" localSheetId="15">April!$D$14:$D$43</definedName>
    <definedName name="august" localSheetId="7">August!$D$15:$D$45</definedName>
    <definedName name="august" localSheetId="11">December!$D$14:$D$44</definedName>
    <definedName name="august" localSheetId="13">Februar!$D$14:$D$41</definedName>
    <definedName name="AUGUST" localSheetId="21">#REF!</definedName>
    <definedName name="august" localSheetId="12">Januar!$D$14:$D$44</definedName>
    <definedName name="august" localSheetId="18">Juli!$D$14:$D$44</definedName>
    <definedName name="august" localSheetId="17">Juni!$D$14:$D$43</definedName>
    <definedName name="august" localSheetId="16">Maj!$D$14:$D$44</definedName>
    <definedName name="august" localSheetId="14">Marts!$D$14:$D$44</definedName>
    <definedName name="august" localSheetId="10">November!$D$14:$D$43</definedName>
    <definedName name="august" localSheetId="9">Oktober!$D$14:$D$44</definedName>
    <definedName name="august" localSheetId="8">September!$D$14:$D$43</definedName>
    <definedName name="AUGUST">August!$C$15:$C$45</definedName>
    <definedName name="dagapr">#REF!</definedName>
    <definedName name="dagaug">#REF!</definedName>
    <definedName name="dagdec">#REF!</definedName>
    <definedName name="dagfeb">#REF!</definedName>
    <definedName name="dagjan">#REF!</definedName>
    <definedName name="dagjul">#REF!</definedName>
    <definedName name="dagjun">#REF!</definedName>
    <definedName name="dagmaj">#REF!</definedName>
    <definedName name="dagmar">#REF!</definedName>
    <definedName name="dagnov">#REF!</definedName>
    <definedName name="dagokt">#REF!</definedName>
    <definedName name="dagsep">#REF!</definedName>
    <definedName name="December" localSheetId="21">#REF!</definedName>
    <definedName name="December">December!$C$14:$C$44</definedName>
    <definedName name="December1">#REF!</definedName>
    <definedName name="Februar" localSheetId="21">#REF!</definedName>
    <definedName name="Februar">Februar!$C$14:$C$42</definedName>
    <definedName name="Februar1">#REF!</definedName>
    <definedName name="fridageGrå" localSheetId="21">Følgebrev!fridageGrå</definedName>
    <definedName name="fridageGrå" localSheetId="35">'TOMT ÅR'!fridageGrå</definedName>
    <definedName name="fridageGrå" localSheetId="24">'Ulempe-weekendtillæg'!fridageGrå</definedName>
    <definedName name="fridageGrå" localSheetId="28">Aar!fridageGrå</definedName>
    <definedName name="fridageGrå">[0]!fridageGrå</definedName>
    <definedName name="Januar" localSheetId="21">#REF!</definedName>
    <definedName name="Januar">Januar!$C$14:$C$44</definedName>
    <definedName name="Januar1">#REF!</definedName>
    <definedName name="Juli" localSheetId="21">#REF!</definedName>
    <definedName name="Juli">Juli!$C$14:$C$44</definedName>
    <definedName name="Juli1">#REF!</definedName>
    <definedName name="Juni" localSheetId="21">#REF!</definedName>
    <definedName name="Juni">Juni!$C$14:$C$43</definedName>
    <definedName name="Juni1">#REF!</definedName>
    <definedName name="Maj" localSheetId="21">#REF!</definedName>
    <definedName name="Maj">Maj!$C$14:$C$44</definedName>
    <definedName name="Majmåned">#REF!</definedName>
    <definedName name="Marts" localSheetId="21">#REF!</definedName>
    <definedName name="Marts">Marts!$C$14:$C$44</definedName>
    <definedName name="Marts1">#REF!</definedName>
    <definedName name="November" localSheetId="21">#REF!</definedName>
    <definedName name="November">November!$C$14:$C$43</definedName>
    <definedName name="November1">#REF!</definedName>
    <definedName name="Oktober" localSheetId="21">#REF!</definedName>
    <definedName name="Oktober">Oktober!$C$14:$C$44</definedName>
    <definedName name="Oktober1">#REF!</definedName>
    <definedName name="SEPTEMBER" localSheetId="21">#REF!</definedName>
    <definedName name="SEPTEMBER">September!$C$14:$C$43</definedName>
    <definedName name="September1">#REF!</definedName>
    <definedName name="Skema_1">Februar!$C$14:$C$42</definedName>
    <definedName name="skolenavn" localSheetId="24">#REF!</definedName>
    <definedName name="skolenavn">#REF!</definedName>
    <definedName name="_xlnm.Print_Area" localSheetId="29">'1.halvaar'!$A$1:$AD$39</definedName>
    <definedName name="_xlnm.Print_Area" localSheetId="30">'2.halvaar'!$A$1:$AD$40</definedName>
    <definedName name="_xlnm.Print_Area" localSheetId="15">April!$A$10:$R$44</definedName>
    <definedName name="_xlnm.Print_Area" localSheetId="19">Arbejdstidsoversigt!$A$13:$J$114</definedName>
    <definedName name="_xlnm.Print_Area" localSheetId="7">August!$A$11:$R$46</definedName>
    <definedName name="_xlnm.Print_Area" localSheetId="11">December!$A$10:$R$45</definedName>
    <definedName name="_xlnm.Print_Area" localSheetId="13">Februar!$A$10:$R$43</definedName>
    <definedName name="_xlnm.Print_Area" localSheetId="12">Januar!$A$10:$R$45</definedName>
    <definedName name="_xlnm.Print_Area" localSheetId="18">Juli!$A$10:$R$45</definedName>
    <definedName name="_xlnm.Print_Area" localSheetId="17">Juni!$A$10:$R$44</definedName>
    <definedName name="_xlnm.Print_Area" localSheetId="16">Maj!$A$10:$R$45</definedName>
    <definedName name="_xlnm.Print_Area" localSheetId="14">Marts!$A$10:$R$45</definedName>
    <definedName name="_xlnm.Print_Area" localSheetId="10">November!$A$10:$R$44</definedName>
    <definedName name="_xlnm.Print_Area" localSheetId="9">Oktober!$A$10:$R$45</definedName>
    <definedName name="_xlnm.Print_Area" localSheetId="20">Opgaver!$A$28:$K$122</definedName>
    <definedName name="_xlnm.Print_Area" localSheetId="22">Opgørelse!$A$6:$H$64</definedName>
    <definedName name="_xlnm.Print_Area" localSheetId="8">September!$A$10:$R$44</definedName>
    <definedName name="_xlnm.Print_Area" localSheetId="31">'Skema 1 til print'!$A$1:$G$33</definedName>
    <definedName name="_xlnm.Print_Area" localSheetId="32">'Skema 2 til print'!$A$1:$G$33</definedName>
    <definedName name="_xlnm.Print_Area" localSheetId="33">'Skema 3 til print'!$A$1:$G$33</definedName>
    <definedName name="_xlnm.Print_Area" localSheetId="34">'Skema 4 til print'!$A$1:$G$33</definedName>
    <definedName name="_xlnm.Print_Area" localSheetId="6">Skemaoplysninger!$A$10:$BC$107</definedName>
    <definedName name="_xlnm.Print_Area" localSheetId="5">Stamoplysninger!$A$10:$H$36</definedName>
    <definedName name="_xlnm.Print_Area" localSheetId="37">'TOMT 2. HALVÅR'!$A$1:$X$33</definedName>
    <definedName name="_xlnm.Print_Area" localSheetId="24">'Ulempe-weekendtillæg'!$A$1:$D$33</definedName>
    <definedName name="_xlnm.Print_Area" localSheetId="23">Undervisningstillæg!$A$1:$J$39</definedName>
    <definedName name="_xlnm.Print_Area" localSheetId="0">Vejledning!$B$3:$B$105</definedName>
    <definedName name="_xlnm.Print_Area" localSheetId="28">Aar!$A$1:$AV$37</definedName>
    <definedName name="Ugenr" localSheetId="21">Følgebrev!Ugenr</definedName>
    <definedName name="Ugenr" localSheetId="35">'TOMT ÅR'!Ugenr</definedName>
    <definedName name="Ugenr" localSheetId="24">'Ulempe-weekendtillæg'!Ugenr</definedName>
    <definedName name="Ugenr">[0]!Ugenr</definedName>
    <definedName name="Årstal" localSheetId="28">1996</definedName>
    <definedName name="årstal">1997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 i="61" l="1"/>
  <c r="L18" i="62" l="1"/>
  <c r="A1" i="93"/>
  <c r="A1" i="91" l="1"/>
  <c r="A1" i="92" l="1"/>
  <c r="D76" i="41" l="1"/>
  <c r="I33" i="66"/>
  <c r="I32" i="66"/>
  <c r="I26" i="66"/>
  <c r="I25" i="66"/>
  <c r="I19" i="66"/>
  <c r="I18" i="66"/>
  <c r="I35" i="65"/>
  <c r="I34" i="65"/>
  <c r="I28" i="65"/>
  <c r="I27" i="65"/>
  <c r="I21" i="65"/>
  <c r="I20" i="65"/>
  <c r="I44" i="64"/>
  <c r="I38" i="64"/>
  <c r="I37" i="64"/>
  <c r="I31" i="64"/>
  <c r="I30" i="64"/>
  <c r="I24" i="64"/>
  <c r="I23" i="64"/>
  <c r="I17" i="64"/>
  <c r="I16" i="64"/>
  <c r="I40" i="63"/>
  <c r="I39" i="63"/>
  <c r="I33" i="63"/>
  <c r="I32" i="63"/>
  <c r="I26" i="63"/>
  <c r="I25" i="63"/>
  <c r="I44" i="41"/>
  <c r="I43" i="41"/>
  <c r="I37" i="41"/>
  <c r="I36" i="41"/>
  <c r="I23" i="41"/>
  <c r="I22" i="41"/>
  <c r="I16" i="41"/>
  <c r="I15" i="41"/>
  <c r="A91" i="73" l="1"/>
  <c r="A90" i="73"/>
  <c r="A89" i="73"/>
  <c r="A88" i="73"/>
  <c r="A87" i="73"/>
  <c r="A89" i="72"/>
  <c r="A88" i="72"/>
  <c r="A87" i="72"/>
  <c r="A86" i="72"/>
  <c r="A92" i="71"/>
  <c r="A91" i="71"/>
  <c r="A90" i="71"/>
  <c r="A89" i="71"/>
  <c r="A88" i="71"/>
  <c r="A93" i="71" s="1"/>
  <c r="A89" i="70"/>
  <c r="A88" i="70"/>
  <c r="A87" i="70"/>
  <c r="A86" i="70"/>
  <c r="A90" i="69"/>
  <c r="A89" i="69"/>
  <c r="A88" i="69"/>
  <c r="A87" i="69"/>
  <c r="A88" i="68"/>
  <c r="A87" i="68"/>
  <c r="A86" i="68"/>
  <c r="A85" i="68"/>
  <c r="A91" i="67"/>
  <c r="A90" i="67"/>
  <c r="A89" i="67"/>
  <c r="A88" i="67"/>
  <c r="A87" i="67"/>
  <c r="A90" i="66"/>
  <c r="A89" i="66"/>
  <c r="A88" i="66"/>
  <c r="A87" i="66"/>
  <c r="A90" i="65"/>
  <c r="A91" i="65" s="1"/>
  <c r="A89" i="65"/>
  <c r="A88" i="65"/>
  <c r="A87" i="65"/>
  <c r="A86" i="65"/>
  <c r="A92" i="64"/>
  <c r="A91" i="64"/>
  <c r="A90" i="64"/>
  <c r="A89" i="64"/>
  <c r="A88" i="64"/>
  <c r="A87" i="64"/>
  <c r="A89" i="63"/>
  <c r="A88" i="63"/>
  <c r="A87" i="63"/>
  <c r="A86" i="63"/>
  <c r="A91" i="63" s="1"/>
  <c r="A91" i="41"/>
  <c r="A90" i="41"/>
  <c r="A89" i="41"/>
  <c r="A92" i="41" s="1"/>
  <c r="A88" i="41"/>
  <c r="A87" i="41"/>
  <c r="G69" i="41"/>
  <c r="D69" i="41"/>
  <c r="A47" i="63"/>
  <c r="A48" i="73"/>
  <c r="A47" i="72"/>
  <c r="A48" i="71"/>
  <c r="A47" i="70"/>
  <c r="A48" i="69"/>
  <c r="A46" i="68"/>
  <c r="A48" i="67"/>
  <c r="A48" i="66"/>
  <c r="A47" i="65"/>
  <c r="A48" i="64"/>
  <c r="A36" i="25"/>
  <c r="R40" i="25"/>
  <c r="A92" i="67" l="1"/>
  <c r="C22" i="46"/>
  <c r="D22" i="46"/>
  <c r="E22" i="46"/>
  <c r="F22" i="46"/>
  <c r="G22" i="46"/>
  <c r="A23" i="46"/>
  <c r="B23" i="46"/>
  <c r="C23" i="46"/>
  <c r="D23" i="46"/>
  <c r="E23" i="46"/>
  <c r="F23" i="46"/>
  <c r="G23" i="46"/>
  <c r="A24" i="46"/>
  <c r="B24" i="46"/>
  <c r="C24" i="46"/>
  <c r="D24" i="46"/>
  <c r="E24" i="46"/>
  <c r="F24" i="46"/>
  <c r="G24" i="46"/>
  <c r="A25" i="46"/>
  <c r="B25" i="46"/>
  <c r="C25" i="46"/>
  <c r="D25" i="46"/>
  <c r="E25" i="46"/>
  <c r="F25" i="46"/>
  <c r="G25" i="46"/>
  <c r="A26" i="46"/>
  <c r="B26" i="46"/>
  <c r="C26" i="46"/>
  <c r="D26" i="46"/>
  <c r="E26" i="46"/>
  <c r="F26" i="46"/>
  <c r="G26" i="46"/>
  <c r="A27" i="46"/>
  <c r="B27" i="46"/>
  <c r="C27" i="46"/>
  <c r="D27" i="46"/>
  <c r="E27" i="46"/>
  <c r="F27" i="46"/>
  <c r="G27" i="46"/>
  <c r="A28" i="46"/>
  <c r="B28" i="46"/>
  <c r="C28" i="46"/>
  <c r="D28" i="46"/>
  <c r="E28" i="46"/>
  <c r="F28" i="46"/>
  <c r="G28" i="46"/>
  <c r="A29" i="46"/>
  <c r="B29" i="46"/>
  <c r="C29" i="46"/>
  <c r="D29" i="46"/>
  <c r="E29" i="46"/>
  <c r="F29" i="46"/>
  <c r="G29" i="46"/>
  <c r="A30" i="46"/>
  <c r="B30" i="46"/>
  <c r="C30" i="46"/>
  <c r="D30" i="46"/>
  <c r="E30" i="46"/>
  <c r="F30" i="46"/>
  <c r="G30" i="46"/>
  <c r="A31" i="46"/>
  <c r="B31" i="46"/>
  <c r="C31" i="46"/>
  <c r="D31" i="46"/>
  <c r="E31" i="46"/>
  <c r="F31" i="46"/>
  <c r="G31" i="46"/>
  <c r="A32" i="46"/>
  <c r="B32" i="46"/>
  <c r="C32" i="46"/>
  <c r="D32" i="46"/>
  <c r="E32" i="46"/>
  <c r="F32" i="46"/>
  <c r="G32" i="46"/>
  <c r="A33" i="46"/>
  <c r="B33" i="46"/>
  <c r="C33" i="46"/>
  <c r="D33" i="46"/>
  <c r="E33" i="46"/>
  <c r="F33" i="46"/>
  <c r="G33" i="46"/>
  <c r="C22" i="49"/>
  <c r="D22" i="49"/>
  <c r="E22" i="49"/>
  <c r="F22" i="49"/>
  <c r="G22" i="49"/>
  <c r="A23" i="49"/>
  <c r="B23" i="49"/>
  <c r="C23" i="49"/>
  <c r="D23" i="49"/>
  <c r="E23" i="49"/>
  <c r="F23" i="49"/>
  <c r="G23" i="49"/>
  <c r="A24" i="49"/>
  <c r="B24" i="49"/>
  <c r="C24" i="49"/>
  <c r="D24" i="49"/>
  <c r="E24" i="49"/>
  <c r="F24" i="49"/>
  <c r="G24" i="49"/>
  <c r="A25" i="49"/>
  <c r="B25" i="49"/>
  <c r="C25" i="49"/>
  <c r="D25" i="49"/>
  <c r="E25" i="49"/>
  <c r="F25" i="49"/>
  <c r="G25" i="49"/>
  <c r="A26" i="49"/>
  <c r="B26" i="49"/>
  <c r="C26" i="49"/>
  <c r="D26" i="49"/>
  <c r="E26" i="49"/>
  <c r="F26" i="49"/>
  <c r="G26" i="49"/>
  <c r="A27" i="49"/>
  <c r="B27" i="49"/>
  <c r="C27" i="49"/>
  <c r="D27" i="49"/>
  <c r="E27" i="49"/>
  <c r="F27" i="49"/>
  <c r="G27" i="49"/>
  <c r="A28" i="49"/>
  <c r="B28" i="49"/>
  <c r="C28" i="49"/>
  <c r="D28" i="49"/>
  <c r="E28" i="49"/>
  <c r="F28" i="49"/>
  <c r="G28" i="49"/>
  <c r="A29" i="49"/>
  <c r="B29" i="49"/>
  <c r="C29" i="49"/>
  <c r="D29" i="49"/>
  <c r="E29" i="49"/>
  <c r="F29" i="49"/>
  <c r="G29" i="49"/>
  <c r="A30" i="49"/>
  <c r="B30" i="49"/>
  <c r="C30" i="49"/>
  <c r="D30" i="49"/>
  <c r="E30" i="49"/>
  <c r="F30" i="49"/>
  <c r="G30" i="49"/>
  <c r="A31" i="49"/>
  <c r="B31" i="49"/>
  <c r="C31" i="49"/>
  <c r="D31" i="49"/>
  <c r="E31" i="49"/>
  <c r="F31" i="49"/>
  <c r="G31" i="49"/>
  <c r="A32" i="49"/>
  <c r="B32" i="49"/>
  <c r="C32" i="49"/>
  <c r="D32" i="49"/>
  <c r="E32" i="49"/>
  <c r="F32" i="49"/>
  <c r="G32" i="49"/>
  <c r="A33" i="49"/>
  <c r="B33" i="49"/>
  <c r="C33" i="49"/>
  <c r="D33" i="49"/>
  <c r="E33" i="49"/>
  <c r="F33" i="49"/>
  <c r="G33" i="49"/>
  <c r="C22" i="47"/>
  <c r="D22" i="47"/>
  <c r="E22" i="47"/>
  <c r="F22" i="47"/>
  <c r="G22" i="47"/>
  <c r="A23" i="47"/>
  <c r="B23" i="47"/>
  <c r="C23" i="47"/>
  <c r="D23" i="47"/>
  <c r="E23" i="47"/>
  <c r="F23" i="47"/>
  <c r="G23" i="47"/>
  <c r="A24" i="47"/>
  <c r="B24" i="47"/>
  <c r="C24" i="47"/>
  <c r="D24" i="47"/>
  <c r="E24" i="47"/>
  <c r="F24" i="47"/>
  <c r="G24" i="47"/>
  <c r="A25" i="47"/>
  <c r="B25" i="47"/>
  <c r="C25" i="47"/>
  <c r="D25" i="47"/>
  <c r="E25" i="47"/>
  <c r="F25" i="47"/>
  <c r="G25" i="47"/>
  <c r="A26" i="47"/>
  <c r="B26" i="47"/>
  <c r="C26" i="47"/>
  <c r="D26" i="47"/>
  <c r="E26" i="47"/>
  <c r="F26" i="47"/>
  <c r="G26" i="47"/>
  <c r="A27" i="47"/>
  <c r="B27" i="47"/>
  <c r="C27" i="47"/>
  <c r="D27" i="47"/>
  <c r="E27" i="47"/>
  <c r="F27" i="47"/>
  <c r="G27" i="47"/>
  <c r="A28" i="47"/>
  <c r="B28" i="47"/>
  <c r="C28" i="47"/>
  <c r="D28" i="47"/>
  <c r="E28" i="47"/>
  <c r="F28" i="47"/>
  <c r="G28" i="47"/>
  <c r="A29" i="47"/>
  <c r="B29" i="47"/>
  <c r="C29" i="47"/>
  <c r="D29" i="47"/>
  <c r="E29" i="47"/>
  <c r="F29" i="47"/>
  <c r="G29" i="47"/>
  <c r="A30" i="47"/>
  <c r="B30" i="47"/>
  <c r="C30" i="47"/>
  <c r="D30" i="47"/>
  <c r="E30" i="47"/>
  <c r="F30" i="47"/>
  <c r="G30" i="47"/>
  <c r="A31" i="47"/>
  <c r="B31" i="47"/>
  <c r="C31" i="47"/>
  <c r="D31" i="47"/>
  <c r="E31" i="47"/>
  <c r="F31" i="47"/>
  <c r="G31" i="47"/>
  <c r="A32" i="47"/>
  <c r="B32" i="47"/>
  <c r="C32" i="47"/>
  <c r="D32" i="47"/>
  <c r="E32" i="47"/>
  <c r="F32" i="47"/>
  <c r="G32" i="47"/>
  <c r="A33" i="47"/>
  <c r="B33" i="47"/>
  <c r="C33" i="47"/>
  <c r="D33" i="47"/>
  <c r="E33" i="47"/>
  <c r="F33" i="47"/>
  <c r="G33" i="47"/>
  <c r="C22" i="48"/>
  <c r="D22" i="48"/>
  <c r="E22" i="48"/>
  <c r="F22" i="48"/>
  <c r="G22" i="48"/>
  <c r="A23" i="48"/>
  <c r="B23" i="48"/>
  <c r="C23" i="48"/>
  <c r="D23" i="48"/>
  <c r="E23" i="48"/>
  <c r="F23" i="48"/>
  <c r="G23" i="48"/>
  <c r="A24" i="48"/>
  <c r="B24" i="48"/>
  <c r="C24" i="48"/>
  <c r="D24" i="48"/>
  <c r="E24" i="48"/>
  <c r="F24" i="48"/>
  <c r="G24" i="48"/>
  <c r="A25" i="48"/>
  <c r="B25" i="48"/>
  <c r="C25" i="48"/>
  <c r="D25" i="48"/>
  <c r="E25" i="48"/>
  <c r="F25" i="48"/>
  <c r="G25" i="48"/>
  <c r="A26" i="48"/>
  <c r="B26" i="48"/>
  <c r="C26" i="48"/>
  <c r="D26" i="48"/>
  <c r="E26" i="48"/>
  <c r="F26" i="48"/>
  <c r="G26" i="48"/>
  <c r="A27" i="48"/>
  <c r="B27" i="48"/>
  <c r="C27" i="48"/>
  <c r="D27" i="48"/>
  <c r="E27" i="48"/>
  <c r="F27" i="48"/>
  <c r="G27" i="48"/>
  <c r="A28" i="48"/>
  <c r="B28" i="48"/>
  <c r="C28" i="48"/>
  <c r="D28" i="48"/>
  <c r="E28" i="48"/>
  <c r="F28" i="48"/>
  <c r="G28" i="48"/>
  <c r="A29" i="48"/>
  <c r="B29" i="48"/>
  <c r="C29" i="48"/>
  <c r="D29" i="48"/>
  <c r="E29" i="48"/>
  <c r="F29" i="48"/>
  <c r="G29" i="48"/>
  <c r="A30" i="48"/>
  <c r="B30" i="48"/>
  <c r="C30" i="48"/>
  <c r="D30" i="48"/>
  <c r="E30" i="48"/>
  <c r="F30" i="48"/>
  <c r="G30" i="48"/>
  <c r="A31" i="48"/>
  <c r="B31" i="48"/>
  <c r="C31" i="48"/>
  <c r="D31" i="48"/>
  <c r="E31" i="48"/>
  <c r="F31" i="48"/>
  <c r="G31" i="48"/>
  <c r="A32" i="48"/>
  <c r="B32" i="48"/>
  <c r="C32" i="48"/>
  <c r="D32" i="48"/>
  <c r="E32" i="48"/>
  <c r="F32" i="48"/>
  <c r="G32" i="48"/>
  <c r="A33" i="48"/>
  <c r="B33" i="48"/>
  <c r="C33" i="48"/>
  <c r="D33" i="48"/>
  <c r="E33" i="48"/>
  <c r="F33" i="48"/>
  <c r="G33" i="48"/>
  <c r="AK47" i="43"/>
  <c r="H46" i="43"/>
  <c r="W46" i="43"/>
  <c r="W47" i="43"/>
  <c r="BC47" i="43"/>
  <c r="BC46" i="43"/>
  <c r="AU46" i="43"/>
  <c r="AV46" i="43"/>
  <c r="AW46" i="43"/>
  <c r="AX46" i="43"/>
  <c r="AY46" i="43"/>
  <c r="AZ46" i="43"/>
  <c r="BA46" i="43"/>
  <c r="BB46" i="43"/>
  <c r="AV47" i="43"/>
  <c r="AW47" i="43"/>
  <c r="AX47" i="43"/>
  <c r="AY47" i="43"/>
  <c r="AZ47" i="43"/>
  <c r="BA47" i="43"/>
  <c r="BB47" i="43"/>
  <c r="AU47" i="43"/>
  <c r="AO47" i="43"/>
  <c r="AO46" i="43"/>
  <c r="AH46" i="43"/>
  <c r="AI46" i="43"/>
  <c r="AJ46" i="43"/>
  <c r="AK46" i="43"/>
  <c r="AL46" i="43"/>
  <c r="AM46" i="43"/>
  <c r="AN46" i="43"/>
  <c r="AH47" i="43"/>
  <c r="AI47" i="43"/>
  <c r="AJ47" i="43"/>
  <c r="AL47" i="43"/>
  <c r="AM47" i="43"/>
  <c r="AN47" i="43"/>
  <c r="AG47" i="43"/>
  <c r="AG46" i="43"/>
  <c r="AA47" i="43"/>
  <c r="AA46" i="43"/>
  <c r="T46" i="43"/>
  <c r="U46" i="43"/>
  <c r="V46" i="43"/>
  <c r="X46" i="43"/>
  <c r="Y46" i="43"/>
  <c r="Z46" i="43"/>
  <c r="T47" i="43"/>
  <c r="U47" i="43"/>
  <c r="V47" i="43"/>
  <c r="X47" i="43"/>
  <c r="Y47" i="43"/>
  <c r="Z47" i="43"/>
  <c r="S47" i="43"/>
  <c r="S46" i="43"/>
  <c r="E47" i="43"/>
  <c r="E46" i="43"/>
  <c r="F47" i="43"/>
  <c r="G47" i="43"/>
  <c r="H47" i="43"/>
  <c r="I47" i="43"/>
  <c r="J47" i="43"/>
  <c r="K47" i="43"/>
  <c r="L47" i="43"/>
  <c r="M47" i="43"/>
  <c r="F46" i="43"/>
  <c r="G46" i="43"/>
  <c r="I46" i="43"/>
  <c r="K46" i="43"/>
  <c r="L46" i="43"/>
  <c r="M46" i="43"/>
  <c r="B45" i="43"/>
  <c r="C45" i="43"/>
  <c r="B35" i="43"/>
  <c r="C35" i="43" s="1"/>
  <c r="B36" i="43" s="1"/>
  <c r="C36" i="43" s="1"/>
  <c r="B37" i="43" s="1"/>
  <c r="C37" i="43" s="1"/>
  <c r="B38" i="43" s="1"/>
  <c r="C38" i="43" s="1"/>
  <c r="B39" i="43" s="1"/>
  <c r="C39" i="43" s="1"/>
  <c r="B40" i="43" s="1"/>
  <c r="C40" i="43" s="1"/>
  <c r="B41" i="43" s="1"/>
  <c r="C41" i="43" s="1"/>
  <c r="B42" i="43" s="1"/>
  <c r="C42" i="43" s="1"/>
  <c r="B43" i="43" s="1"/>
  <c r="C43" i="43" s="1"/>
  <c r="B44" i="43" s="1"/>
  <c r="C44" i="43" s="1"/>
  <c r="A52" i="65"/>
  <c r="GJ14" i="63" l="1"/>
  <c r="GJ14" i="64"/>
  <c r="GJ14" i="65"/>
  <c r="GJ14" i="66"/>
  <c r="GJ14" i="67"/>
  <c r="GJ14" i="69"/>
  <c r="GJ14" i="70"/>
  <c r="GJ14" i="71"/>
  <c r="GJ14" i="72"/>
  <c r="GJ14" i="73"/>
  <c r="GJ15" i="68"/>
  <c r="GJ16" i="68"/>
  <c r="GJ17" i="68"/>
  <c r="GJ18" i="68"/>
  <c r="GJ19" i="68"/>
  <c r="GJ20" i="68"/>
  <c r="GJ21" i="68"/>
  <c r="GJ22" i="68"/>
  <c r="GJ23" i="68"/>
  <c r="GJ24" i="68"/>
  <c r="GJ25" i="68"/>
  <c r="GJ26" i="68"/>
  <c r="GJ27" i="68"/>
  <c r="GJ28" i="68"/>
  <c r="GJ29" i="68"/>
  <c r="GJ30" i="68"/>
  <c r="GJ31" i="68"/>
  <c r="GJ32" i="68"/>
  <c r="GJ33" i="68"/>
  <c r="GJ34" i="68"/>
  <c r="GJ35" i="68"/>
  <c r="GJ36" i="68"/>
  <c r="GJ37" i="68"/>
  <c r="GJ38" i="68"/>
  <c r="GJ39" i="68"/>
  <c r="GJ40" i="68"/>
  <c r="GJ41" i="68"/>
  <c r="GJ42" i="68"/>
  <c r="GJ43" i="68"/>
  <c r="GJ14" i="68"/>
  <c r="A45" i="71"/>
  <c r="A56" i="73" l="1"/>
  <c r="A54" i="73"/>
  <c r="A56" i="71"/>
  <c r="A54" i="71"/>
  <c r="A56" i="69"/>
  <c r="A54" i="69"/>
  <c r="A56" i="67"/>
  <c r="A54" i="67"/>
  <c r="A56" i="66"/>
  <c r="A54" i="66"/>
  <c r="A55" i="72"/>
  <c r="A53" i="72"/>
  <c r="A52" i="72"/>
  <c r="A55" i="70"/>
  <c r="A53" i="70"/>
  <c r="A52" i="70"/>
  <c r="A55" i="65"/>
  <c r="A53" i="65"/>
  <c r="A56" i="64"/>
  <c r="A54" i="64"/>
  <c r="V43" i="68"/>
  <c r="R78" i="68"/>
  <c r="R79" i="68"/>
  <c r="T79" i="68"/>
  <c r="V79" i="68"/>
  <c r="R80" i="68"/>
  <c r="T80" i="68"/>
  <c r="V80" i="68"/>
  <c r="R81" i="68"/>
  <c r="T81" i="68"/>
  <c r="V81" i="68"/>
  <c r="R82" i="68"/>
  <c r="T82" i="68"/>
  <c r="V82" i="68"/>
  <c r="R83" i="68"/>
  <c r="T83" i="68"/>
  <c r="V83" i="68"/>
  <c r="R84" i="68"/>
  <c r="T84" i="68"/>
  <c r="V84" i="68"/>
  <c r="R85" i="68"/>
  <c r="T85" i="68"/>
  <c r="V85" i="68"/>
  <c r="R86" i="68"/>
  <c r="T86" i="68"/>
  <c r="V86" i="68"/>
  <c r="R87" i="68"/>
  <c r="T87" i="68"/>
  <c r="V87" i="68"/>
  <c r="R88" i="68"/>
  <c r="T88" i="68"/>
  <c r="V88" i="68"/>
  <c r="R89" i="68"/>
  <c r="T89" i="68"/>
  <c r="V89" i="68"/>
  <c r="R90" i="68"/>
  <c r="T90" i="68"/>
  <c r="V90" i="68"/>
  <c r="R91" i="68"/>
  <c r="T91" i="68"/>
  <c r="V91" i="68"/>
  <c r="R92" i="68"/>
  <c r="T92" i="68"/>
  <c r="V92" i="68"/>
  <c r="R93" i="68"/>
  <c r="T93" i="68"/>
  <c r="V93" i="68"/>
  <c r="R94" i="68"/>
  <c r="T94" i="68"/>
  <c r="V94" i="68"/>
  <c r="R95" i="68"/>
  <c r="T95" i="68"/>
  <c r="V95" i="68"/>
  <c r="R96" i="68"/>
  <c r="T96" i="68"/>
  <c r="V96" i="68"/>
  <c r="R97" i="68"/>
  <c r="T97" i="68"/>
  <c r="V97" i="68"/>
  <c r="R98" i="68"/>
  <c r="T98" i="68"/>
  <c r="V98" i="68"/>
  <c r="R99" i="68"/>
  <c r="T99" i="68"/>
  <c r="V99" i="68"/>
  <c r="R100" i="68"/>
  <c r="T100" i="68"/>
  <c r="V100" i="68"/>
  <c r="R101" i="68"/>
  <c r="T101" i="68"/>
  <c r="V101" i="68"/>
  <c r="R102" i="68"/>
  <c r="T102" i="68"/>
  <c r="V102" i="68"/>
  <c r="R103" i="68"/>
  <c r="T103" i="68"/>
  <c r="V103" i="68"/>
  <c r="R104" i="68"/>
  <c r="T104" i="68"/>
  <c r="V104" i="68"/>
  <c r="R105" i="68"/>
  <c r="T105" i="68"/>
  <c r="V105" i="68"/>
  <c r="V78" i="68"/>
  <c r="T78" i="68"/>
  <c r="T79" i="65"/>
  <c r="GN44" i="73"/>
  <c r="GM44" i="73"/>
  <c r="GL44" i="73"/>
  <c r="GK44" i="73"/>
  <c r="GJ44" i="73"/>
  <c r="FQ44" i="73"/>
  <c r="ET44" i="73"/>
  <c r="ES44" i="73"/>
  <c r="EL44" i="73"/>
  <c r="EK44" i="73"/>
  <c r="EC44" i="73"/>
  <c r="EA44" i="73"/>
  <c r="DY44" i="73"/>
  <c r="DW44" i="73"/>
  <c r="DU44" i="73"/>
  <c r="DS44" i="73"/>
  <c r="DQ44" i="73"/>
  <c r="DO44" i="73"/>
  <c r="GP43" i="73"/>
  <c r="GN43" i="73"/>
  <c r="GM43" i="73"/>
  <c r="GL43" i="73"/>
  <c r="GK43" i="73"/>
  <c r="GJ43" i="73"/>
  <c r="GI43" i="73"/>
  <c r="GH43" i="73"/>
  <c r="GG43" i="73"/>
  <c r="GF43" i="73"/>
  <c r="GE43" i="73"/>
  <c r="GD43" i="73"/>
  <c r="GC43" i="73"/>
  <c r="GB43" i="73"/>
  <c r="GA43" i="73"/>
  <c r="FZ43" i="73"/>
  <c r="FY43" i="73"/>
  <c r="FW43" i="73"/>
  <c r="FU43" i="73"/>
  <c r="FT43" i="73"/>
  <c r="FS43" i="73"/>
  <c r="FQ43" i="73"/>
  <c r="FM43" i="73"/>
  <c r="FJ43" i="73"/>
  <c r="FI43" i="73"/>
  <c r="FH43" i="73"/>
  <c r="FG43" i="73"/>
  <c r="FF43" i="73"/>
  <c r="FE43" i="73"/>
  <c r="FD43" i="73"/>
  <c r="FC43" i="73"/>
  <c r="FB43" i="73"/>
  <c r="FA43" i="73"/>
  <c r="EX43" i="73"/>
  <c r="EW43" i="73"/>
  <c r="ET43" i="73"/>
  <c r="ES43" i="73"/>
  <c r="EP43" i="73"/>
  <c r="EO43" i="73"/>
  <c r="EL43" i="73"/>
  <c r="EK43" i="73"/>
  <c r="EH43" i="73"/>
  <c r="EG43" i="73"/>
  <c r="ED43" i="73"/>
  <c r="EC43" i="73"/>
  <c r="EB43" i="73"/>
  <c r="EA43" i="73"/>
  <c r="DY43" i="73"/>
  <c r="DW43" i="73"/>
  <c r="DV43" i="73"/>
  <c r="DU43" i="73"/>
  <c r="DT43" i="73"/>
  <c r="DS43" i="73"/>
  <c r="DQ43" i="73"/>
  <c r="DO43" i="73"/>
  <c r="GP42" i="73"/>
  <c r="GN42" i="73"/>
  <c r="GM42" i="73"/>
  <c r="GL42" i="73"/>
  <c r="GK42" i="73"/>
  <c r="GJ42" i="73"/>
  <c r="GI42" i="73"/>
  <c r="GH42" i="73"/>
  <c r="GG42" i="73"/>
  <c r="GF42" i="73"/>
  <c r="GE42" i="73"/>
  <c r="GD42" i="73"/>
  <c r="GC42" i="73"/>
  <c r="GB42" i="73"/>
  <c r="GA42" i="73"/>
  <c r="FZ42" i="73"/>
  <c r="FY42" i="73"/>
  <c r="FW42" i="73"/>
  <c r="FU42" i="73"/>
  <c r="FT42" i="73"/>
  <c r="FS42" i="73"/>
  <c r="FQ42" i="73"/>
  <c r="FM42" i="73"/>
  <c r="FJ42" i="73"/>
  <c r="FI42" i="73"/>
  <c r="FH42" i="73"/>
  <c r="FG42" i="73"/>
  <c r="FF42" i="73"/>
  <c r="FE42" i="73"/>
  <c r="FD42" i="73"/>
  <c r="FC42" i="73"/>
  <c r="FB42" i="73"/>
  <c r="FA42" i="73"/>
  <c r="EX42" i="73"/>
  <c r="EW42" i="73"/>
  <c r="ET42" i="73"/>
  <c r="ES42" i="73"/>
  <c r="EP42" i="73"/>
  <c r="EO42" i="73"/>
  <c r="EL42" i="73"/>
  <c r="EK42" i="73"/>
  <c r="EH42" i="73"/>
  <c r="EG42" i="73"/>
  <c r="ED42" i="73"/>
  <c r="EC42" i="73"/>
  <c r="EB42" i="73"/>
  <c r="EA42" i="73"/>
  <c r="DY42" i="73"/>
  <c r="DW42" i="73"/>
  <c r="DV42" i="73"/>
  <c r="DU42" i="73"/>
  <c r="DT42" i="73"/>
  <c r="DS42" i="73"/>
  <c r="DQ42" i="73"/>
  <c r="DO42" i="73"/>
  <c r="GP41" i="73"/>
  <c r="GN41" i="73"/>
  <c r="GM41" i="73"/>
  <c r="GL41" i="73"/>
  <c r="GK41" i="73"/>
  <c r="GO41" i="73" s="1"/>
  <c r="GJ41" i="73"/>
  <c r="GI41" i="73"/>
  <c r="GH41" i="73"/>
  <c r="GG41" i="73"/>
  <c r="GF41" i="73"/>
  <c r="GE41" i="73"/>
  <c r="GD41" i="73"/>
  <c r="GC41" i="73"/>
  <c r="GB41" i="73"/>
  <c r="GA41" i="73"/>
  <c r="FZ41" i="73"/>
  <c r="FY41" i="73"/>
  <c r="FW41" i="73"/>
  <c r="FU41" i="73"/>
  <c r="FT41" i="73"/>
  <c r="FS41" i="73"/>
  <c r="FQ41" i="73"/>
  <c r="FM41" i="73"/>
  <c r="FJ41" i="73"/>
  <c r="FI41" i="73"/>
  <c r="FH41" i="73"/>
  <c r="FG41" i="73"/>
  <c r="FF41" i="73"/>
  <c r="FE41" i="73"/>
  <c r="FD41" i="73"/>
  <c r="FC41" i="73"/>
  <c r="FB41" i="73"/>
  <c r="FA41" i="73"/>
  <c r="EX41" i="73"/>
  <c r="EW41" i="73"/>
  <c r="ET41" i="73"/>
  <c r="ES41" i="73"/>
  <c r="EP41" i="73"/>
  <c r="EO41" i="73"/>
  <c r="EL41" i="73"/>
  <c r="EK41" i="73"/>
  <c r="EH41" i="73"/>
  <c r="EG41" i="73"/>
  <c r="ED41" i="73"/>
  <c r="EC41" i="73"/>
  <c r="EB41" i="73"/>
  <c r="EA41" i="73"/>
  <c r="DY41" i="73"/>
  <c r="DW41" i="73"/>
  <c r="DV41" i="73"/>
  <c r="DU41" i="73"/>
  <c r="DT41" i="73"/>
  <c r="DS41" i="73"/>
  <c r="DQ41" i="73"/>
  <c r="DO41" i="73"/>
  <c r="GP40" i="73"/>
  <c r="GN40" i="73"/>
  <c r="GM40" i="73"/>
  <c r="GL40" i="73"/>
  <c r="GK40" i="73"/>
  <c r="GJ40" i="73"/>
  <c r="GI40" i="73"/>
  <c r="GH40" i="73"/>
  <c r="GG40" i="73"/>
  <c r="GF40" i="73"/>
  <c r="GE40" i="73"/>
  <c r="GD40" i="73"/>
  <c r="GC40" i="73"/>
  <c r="GB40" i="73"/>
  <c r="GA40" i="73"/>
  <c r="FZ40" i="73"/>
  <c r="FY40" i="73"/>
  <c r="FW40" i="73"/>
  <c r="FU40" i="73"/>
  <c r="FT40" i="73"/>
  <c r="FS40" i="73"/>
  <c r="FQ40" i="73"/>
  <c r="FM40" i="73"/>
  <c r="FJ40" i="73"/>
  <c r="FI40" i="73"/>
  <c r="FH40" i="73"/>
  <c r="FG40" i="73"/>
  <c r="FF40" i="73"/>
  <c r="FE40" i="73"/>
  <c r="FD40" i="73"/>
  <c r="FC40" i="73"/>
  <c r="FB40" i="73"/>
  <c r="FA40" i="73"/>
  <c r="EX40" i="73"/>
  <c r="EW40" i="73"/>
  <c r="ET40" i="73"/>
  <c r="ES40" i="73"/>
  <c r="EP40" i="73"/>
  <c r="EO40" i="73"/>
  <c r="EL40" i="73"/>
  <c r="EK40" i="73"/>
  <c r="EH40" i="73"/>
  <c r="EG40" i="73"/>
  <c r="ED40" i="73"/>
  <c r="EC40" i="73"/>
  <c r="EB40" i="73"/>
  <c r="EA40" i="73"/>
  <c r="DY40" i="73"/>
  <c r="DW40" i="73"/>
  <c r="DV40" i="73"/>
  <c r="DU40" i="73"/>
  <c r="DT40" i="73"/>
  <c r="DS40" i="73"/>
  <c r="DQ40" i="73"/>
  <c r="DO40" i="73"/>
  <c r="GN39" i="73"/>
  <c r="GM39" i="73"/>
  <c r="GL39" i="73"/>
  <c r="GK39" i="73"/>
  <c r="GJ39" i="73"/>
  <c r="FQ39" i="73"/>
  <c r="ET39" i="73"/>
  <c r="ES39" i="73"/>
  <c r="EL39" i="73"/>
  <c r="EK39" i="73"/>
  <c r="EC39" i="73"/>
  <c r="EA39" i="73"/>
  <c r="DY39" i="73"/>
  <c r="DW39" i="73"/>
  <c r="DU39" i="73"/>
  <c r="DS39" i="73"/>
  <c r="DQ39" i="73"/>
  <c r="DO39" i="73"/>
  <c r="GN38" i="73"/>
  <c r="GM38" i="73"/>
  <c r="GL38" i="73"/>
  <c r="GK38" i="73"/>
  <c r="GJ38" i="73"/>
  <c r="FQ38" i="73"/>
  <c r="ET38" i="73"/>
  <c r="ES38" i="73"/>
  <c r="EL38" i="73"/>
  <c r="EK38" i="73"/>
  <c r="EC38" i="73"/>
  <c r="EA38" i="73"/>
  <c r="DY38" i="73"/>
  <c r="DW38" i="73"/>
  <c r="DU38" i="73"/>
  <c r="DS38" i="73"/>
  <c r="DQ38" i="73"/>
  <c r="DO38" i="73"/>
  <c r="GN37" i="73"/>
  <c r="GM37" i="73"/>
  <c r="GL37" i="73"/>
  <c r="GK37" i="73"/>
  <c r="GJ37" i="73"/>
  <c r="FQ37" i="73"/>
  <c r="ET37" i="73"/>
  <c r="ES37" i="73"/>
  <c r="EL37" i="73"/>
  <c r="EK37" i="73"/>
  <c r="EC37" i="73"/>
  <c r="EA37" i="73"/>
  <c r="DY37" i="73"/>
  <c r="DW37" i="73"/>
  <c r="DU37" i="73"/>
  <c r="DS37" i="73"/>
  <c r="DQ37" i="73"/>
  <c r="DO37" i="73"/>
  <c r="GP36" i="73"/>
  <c r="GN36" i="73"/>
  <c r="GM36" i="73"/>
  <c r="GL36" i="73"/>
  <c r="GK36" i="73"/>
  <c r="GJ36" i="73"/>
  <c r="GI36" i="73"/>
  <c r="GH36" i="73"/>
  <c r="GG36" i="73"/>
  <c r="GF36" i="73"/>
  <c r="GE36" i="73"/>
  <c r="GD36" i="73"/>
  <c r="GC36" i="73"/>
  <c r="GB36" i="73"/>
  <c r="GA36" i="73"/>
  <c r="FZ36" i="73"/>
  <c r="FY36" i="73"/>
  <c r="FW36" i="73"/>
  <c r="FU36" i="73"/>
  <c r="FT36" i="73"/>
  <c r="FS36" i="73"/>
  <c r="FQ36" i="73"/>
  <c r="FM36" i="73"/>
  <c r="FJ36" i="73"/>
  <c r="FI36" i="73"/>
  <c r="FH36" i="73"/>
  <c r="FG36" i="73"/>
  <c r="FF36" i="73"/>
  <c r="FE36" i="73"/>
  <c r="FD36" i="73"/>
  <c r="FC36" i="73"/>
  <c r="FB36" i="73"/>
  <c r="FA36" i="73"/>
  <c r="EX36" i="73"/>
  <c r="EW36" i="73"/>
  <c r="ET36" i="73"/>
  <c r="ES36" i="73"/>
  <c r="EP36" i="73"/>
  <c r="EO36" i="73"/>
  <c r="EL36" i="73"/>
  <c r="EK36" i="73"/>
  <c r="EH36" i="73"/>
  <c r="EG36" i="73"/>
  <c r="ED36" i="73"/>
  <c r="EC36" i="73"/>
  <c r="EB36" i="73"/>
  <c r="EA36" i="73"/>
  <c r="DY36" i="73"/>
  <c r="DW36" i="73"/>
  <c r="DV36" i="73"/>
  <c r="DU36" i="73"/>
  <c r="DT36" i="73"/>
  <c r="DS36" i="73"/>
  <c r="DQ36" i="73"/>
  <c r="DO36" i="73"/>
  <c r="GP35" i="73"/>
  <c r="GN35" i="73"/>
  <c r="GM35" i="73"/>
  <c r="GL35" i="73"/>
  <c r="GK35" i="73"/>
  <c r="GJ35" i="73"/>
  <c r="GI35" i="73"/>
  <c r="GH35" i="73"/>
  <c r="GG35" i="73"/>
  <c r="GF35" i="73"/>
  <c r="GE35" i="73"/>
  <c r="GD35" i="73"/>
  <c r="GC35" i="73"/>
  <c r="GB35" i="73"/>
  <c r="GA35" i="73"/>
  <c r="FZ35" i="73"/>
  <c r="FY35" i="73"/>
  <c r="FW35" i="73"/>
  <c r="FU35" i="73"/>
  <c r="FT35" i="73"/>
  <c r="FS35" i="73"/>
  <c r="FQ35" i="73"/>
  <c r="FM35" i="73"/>
  <c r="FJ35" i="73"/>
  <c r="FI35" i="73"/>
  <c r="FH35" i="73"/>
  <c r="FG35" i="73"/>
  <c r="FF35" i="73"/>
  <c r="FE35" i="73"/>
  <c r="FD35" i="73"/>
  <c r="FC35" i="73"/>
  <c r="FB35" i="73"/>
  <c r="FA35" i="73"/>
  <c r="EX35" i="73"/>
  <c r="EW35" i="73"/>
  <c r="ET35" i="73"/>
  <c r="ES35" i="73"/>
  <c r="EP35" i="73"/>
  <c r="EO35" i="73"/>
  <c r="EL35" i="73"/>
  <c r="EK35" i="73"/>
  <c r="EH35" i="73"/>
  <c r="EG35" i="73"/>
  <c r="ED35" i="73"/>
  <c r="EC35" i="73"/>
  <c r="EB35" i="73"/>
  <c r="EA35" i="73"/>
  <c r="DY35" i="73"/>
  <c r="DW35" i="73"/>
  <c r="DV35" i="73"/>
  <c r="DU35" i="73"/>
  <c r="DT35" i="73"/>
  <c r="DS35" i="73"/>
  <c r="DQ35" i="73"/>
  <c r="DO35" i="73"/>
  <c r="GP34" i="73"/>
  <c r="GN34" i="73"/>
  <c r="GM34" i="73"/>
  <c r="GL34" i="73"/>
  <c r="GK34" i="73"/>
  <c r="GJ34" i="73"/>
  <c r="GI34" i="73"/>
  <c r="GH34" i="73"/>
  <c r="GG34" i="73"/>
  <c r="GF34" i="73"/>
  <c r="GE34" i="73"/>
  <c r="GD34" i="73"/>
  <c r="GC34" i="73"/>
  <c r="GB34" i="73"/>
  <c r="GA34" i="73"/>
  <c r="FZ34" i="73"/>
  <c r="FY34" i="73"/>
  <c r="FW34" i="73"/>
  <c r="FU34" i="73"/>
  <c r="FT34" i="73"/>
  <c r="FS34" i="73"/>
  <c r="FQ34" i="73"/>
  <c r="FM34" i="73"/>
  <c r="FJ34" i="73"/>
  <c r="FI34" i="73"/>
  <c r="FH34" i="73"/>
  <c r="FG34" i="73"/>
  <c r="FF34" i="73"/>
  <c r="FE34" i="73"/>
  <c r="FD34" i="73"/>
  <c r="FC34" i="73"/>
  <c r="FB34" i="73"/>
  <c r="FA34" i="73"/>
  <c r="EX34" i="73"/>
  <c r="EW34" i="73"/>
  <c r="ET34" i="73"/>
  <c r="ES34" i="73"/>
  <c r="EP34" i="73"/>
  <c r="EO34" i="73"/>
  <c r="EL34" i="73"/>
  <c r="EK34" i="73"/>
  <c r="EH34" i="73"/>
  <c r="EG34" i="73"/>
  <c r="ED34" i="73"/>
  <c r="EC34" i="73"/>
  <c r="EB34" i="73"/>
  <c r="EA34" i="73"/>
  <c r="DY34" i="73"/>
  <c r="DW34" i="73"/>
  <c r="DV34" i="73"/>
  <c r="DU34" i="73"/>
  <c r="DT34" i="73"/>
  <c r="DS34" i="73"/>
  <c r="DQ34" i="73"/>
  <c r="DO34" i="73"/>
  <c r="GP33" i="73"/>
  <c r="GN33" i="73"/>
  <c r="GM33" i="73"/>
  <c r="GL33" i="73"/>
  <c r="GK33" i="73"/>
  <c r="GJ33" i="73"/>
  <c r="GI33" i="73"/>
  <c r="GH33" i="73"/>
  <c r="GG33" i="73"/>
  <c r="GF33" i="73"/>
  <c r="GE33" i="73"/>
  <c r="GD33" i="73"/>
  <c r="GC33" i="73"/>
  <c r="GB33" i="73"/>
  <c r="GA33" i="73"/>
  <c r="FZ33" i="73"/>
  <c r="FY33" i="73"/>
  <c r="FW33" i="73"/>
  <c r="FU33" i="73"/>
  <c r="FT33" i="73"/>
  <c r="FS33" i="73"/>
  <c r="FQ33" i="73"/>
  <c r="FM33" i="73"/>
  <c r="FJ33" i="73"/>
  <c r="FI33" i="73"/>
  <c r="FH33" i="73"/>
  <c r="FG33" i="73"/>
  <c r="FF33" i="73"/>
  <c r="FE33" i="73"/>
  <c r="FD33" i="73"/>
  <c r="FC33" i="73"/>
  <c r="FB33" i="73"/>
  <c r="FA33" i="73"/>
  <c r="EX33" i="73"/>
  <c r="EW33" i="73"/>
  <c r="ET33" i="73"/>
  <c r="ES33" i="73"/>
  <c r="EP33" i="73"/>
  <c r="EO33" i="73"/>
  <c r="EL33" i="73"/>
  <c r="EK33" i="73"/>
  <c r="EH33" i="73"/>
  <c r="EG33" i="73"/>
  <c r="ED33" i="73"/>
  <c r="EC33" i="73"/>
  <c r="EB33" i="73"/>
  <c r="EA33" i="73"/>
  <c r="DY33" i="73"/>
  <c r="DW33" i="73"/>
  <c r="DV33" i="73"/>
  <c r="DU33" i="73"/>
  <c r="DT33" i="73"/>
  <c r="DS33" i="73"/>
  <c r="DQ33" i="73"/>
  <c r="DO33" i="73"/>
  <c r="GN32" i="73"/>
  <c r="GM32" i="73"/>
  <c r="GL32" i="73"/>
  <c r="GK32" i="73"/>
  <c r="GJ32" i="73"/>
  <c r="FQ32" i="73"/>
  <c r="ET32" i="73"/>
  <c r="ES32" i="73"/>
  <c r="EL32" i="73"/>
  <c r="EK32" i="73"/>
  <c r="EC32" i="73"/>
  <c r="EA32" i="73"/>
  <c r="DY32" i="73"/>
  <c r="DW32" i="73"/>
  <c r="DU32" i="73"/>
  <c r="DS32" i="73"/>
  <c r="DQ32" i="73"/>
  <c r="DO32" i="73"/>
  <c r="GN31" i="73"/>
  <c r="GM31" i="73"/>
  <c r="GL31" i="73"/>
  <c r="GK31" i="73"/>
  <c r="GJ31" i="73"/>
  <c r="FQ31" i="73"/>
  <c r="ET31" i="73"/>
  <c r="ES31" i="73"/>
  <c r="EL31" i="73"/>
  <c r="EK31" i="73"/>
  <c r="EC31" i="73"/>
  <c r="EA31" i="73"/>
  <c r="DY31" i="73"/>
  <c r="DW31" i="73"/>
  <c r="DU31" i="73"/>
  <c r="DS31" i="73"/>
  <c r="DQ31" i="73"/>
  <c r="DO31" i="73"/>
  <c r="GN30" i="73"/>
  <c r="GM30" i="73"/>
  <c r="GL30" i="73"/>
  <c r="GK30" i="73"/>
  <c r="GJ30" i="73"/>
  <c r="FQ30" i="73"/>
  <c r="ET30" i="73"/>
  <c r="ES30" i="73"/>
  <c r="EL30" i="73"/>
  <c r="EK30" i="73"/>
  <c r="EC30" i="73"/>
  <c r="EA30" i="73"/>
  <c r="DY30" i="73"/>
  <c r="DW30" i="73"/>
  <c r="DU30" i="73"/>
  <c r="DS30" i="73"/>
  <c r="DQ30" i="73"/>
  <c r="DO30" i="73"/>
  <c r="GP29" i="73"/>
  <c r="GN29" i="73"/>
  <c r="GM29" i="73"/>
  <c r="GL29" i="73"/>
  <c r="GK29" i="73"/>
  <c r="GO29" i="73" s="1"/>
  <c r="GJ29" i="73"/>
  <c r="GI29" i="73"/>
  <c r="GH29" i="73"/>
  <c r="GG29" i="73"/>
  <c r="GF29" i="73"/>
  <c r="GE29" i="73"/>
  <c r="GD29" i="73"/>
  <c r="GC29" i="73"/>
  <c r="GB29" i="73"/>
  <c r="GA29" i="73"/>
  <c r="FZ29" i="73"/>
  <c r="FY29" i="73"/>
  <c r="FW29" i="73"/>
  <c r="FU29" i="73"/>
  <c r="FT29" i="73"/>
  <c r="FS29" i="73"/>
  <c r="FQ29" i="73"/>
  <c r="FM29" i="73"/>
  <c r="FJ29" i="73"/>
  <c r="FI29" i="73"/>
  <c r="FH29" i="73"/>
  <c r="FG29" i="73"/>
  <c r="FF29" i="73"/>
  <c r="FE29" i="73"/>
  <c r="FD29" i="73"/>
  <c r="FC29" i="73"/>
  <c r="FB29" i="73"/>
  <c r="FA29" i="73"/>
  <c r="EX29" i="73"/>
  <c r="EW29" i="73"/>
  <c r="ET29" i="73"/>
  <c r="ES29" i="73"/>
  <c r="EP29" i="73"/>
  <c r="EO29" i="73"/>
  <c r="EL29" i="73"/>
  <c r="EK29" i="73"/>
  <c r="EH29" i="73"/>
  <c r="EG29" i="73"/>
  <c r="ED29" i="73"/>
  <c r="EC29" i="73"/>
  <c r="EB29" i="73"/>
  <c r="EA29" i="73"/>
  <c r="DY29" i="73"/>
  <c r="DW29" i="73"/>
  <c r="DV29" i="73"/>
  <c r="DU29" i="73"/>
  <c r="DT29" i="73"/>
  <c r="DS29" i="73"/>
  <c r="DQ29" i="73"/>
  <c r="DO29" i="73"/>
  <c r="GP28" i="73"/>
  <c r="GN28" i="73"/>
  <c r="GM28" i="73"/>
  <c r="GL28" i="73"/>
  <c r="GK28" i="73"/>
  <c r="GJ28" i="73"/>
  <c r="GI28" i="73"/>
  <c r="GH28" i="73"/>
  <c r="GG28" i="73"/>
  <c r="GF28" i="73"/>
  <c r="GE28" i="73"/>
  <c r="GD28" i="73"/>
  <c r="GC28" i="73"/>
  <c r="GB28" i="73"/>
  <c r="GA28" i="73"/>
  <c r="FZ28" i="73"/>
  <c r="FY28" i="73"/>
  <c r="FW28" i="73"/>
  <c r="FU28" i="73"/>
  <c r="FT28" i="73"/>
  <c r="FS28" i="73"/>
  <c r="FQ28" i="73"/>
  <c r="FM28" i="73"/>
  <c r="FJ28" i="73"/>
  <c r="FI28" i="73"/>
  <c r="FH28" i="73"/>
  <c r="FG28" i="73"/>
  <c r="FF28" i="73"/>
  <c r="FE28" i="73"/>
  <c r="FD28" i="73"/>
  <c r="FC28" i="73"/>
  <c r="FB28" i="73"/>
  <c r="FA28" i="73"/>
  <c r="EX28" i="73"/>
  <c r="EW28" i="73"/>
  <c r="ET28" i="73"/>
  <c r="ES28" i="73"/>
  <c r="EP28" i="73"/>
  <c r="EO28" i="73"/>
  <c r="EL28" i="73"/>
  <c r="EK28" i="73"/>
  <c r="EH28" i="73"/>
  <c r="EG28" i="73"/>
  <c r="ED28" i="73"/>
  <c r="EC28" i="73"/>
  <c r="EB28" i="73"/>
  <c r="EA28" i="73"/>
  <c r="DY28" i="73"/>
  <c r="DW28" i="73"/>
  <c r="DV28" i="73"/>
  <c r="DU28" i="73"/>
  <c r="DT28" i="73"/>
  <c r="DS28" i="73"/>
  <c r="DQ28" i="73"/>
  <c r="DO28" i="73"/>
  <c r="GP27" i="73"/>
  <c r="GN27" i="73"/>
  <c r="GM27" i="73"/>
  <c r="GL27" i="73"/>
  <c r="GK27" i="73"/>
  <c r="GJ27" i="73"/>
  <c r="GI27" i="73"/>
  <c r="GH27" i="73"/>
  <c r="GG27" i="73"/>
  <c r="GF27" i="73"/>
  <c r="GE27" i="73"/>
  <c r="GD27" i="73"/>
  <c r="GC27" i="73"/>
  <c r="GB27" i="73"/>
  <c r="GA27" i="73"/>
  <c r="FZ27" i="73"/>
  <c r="FY27" i="73"/>
  <c r="FW27" i="73"/>
  <c r="FU27" i="73"/>
  <c r="FT27" i="73"/>
  <c r="FS27" i="73"/>
  <c r="FQ27" i="73"/>
  <c r="FM27" i="73"/>
  <c r="FJ27" i="73"/>
  <c r="FI27" i="73"/>
  <c r="FH27" i="73"/>
  <c r="FG27" i="73"/>
  <c r="FF27" i="73"/>
  <c r="FE27" i="73"/>
  <c r="FD27" i="73"/>
  <c r="FC27" i="73"/>
  <c r="FB27" i="73"/>
  <c r="FA27" i="73"/>
  <c r="EX27" i="73"/>
  <c r="EW27" i="73"/>
  <c r="ET27" i="73"/>
  <c r="ES27" i="73"/>
  <c r="EP27" i="73"/>
  <c r="EO27" i="73"/>
  <c r="EL27" i="73"/>
  <c r="EK27" i="73"/>
  <c r="EH27" i="73"/>
  <c r="EG27" i="73"/>
  <c r="ED27" i="73"/>
  <c r="EC27" i="73"/>
  <c r="EB27" i="73"/>
  <c r="EA27" i="73"/>
  <c r="DY27" i="73"/>
  <c r="DW27" i="73"/>
  <c r="DV27" i="73"/>
  <c r="DU27" i="73"/>
  <c r="DT27" i="73"/>
  <c r="DS27" i="73"/>
  <c r="DQ27" i="73"/>
  <c r="DO27" i="73"/>
  <c r="GP26" i="73"/>
  <c r="GN26" i="73"/>
  <c r="GM26" i="73"/>
  <c r="GL26" i="73"/>
  <c r="GK26" i="73"/>
  <c r="GJ26" i="73"/>
  <c r="GI26" i="73"/>
  <c r="GH26" i="73"/>
  <c r="GG26" i="73"/>
  <c r="GF26" i="73"/>
  <c r="GE26" i="73"/>
  <c r="GD26" i="73"/>
  <c r="GC26" i="73"/>
  <c r="GB26" i="73"/>
  <c r="GA26" i="73"/>
  <c r="FZ26" i="73"/>
  <c r="FY26" i="73"/>
  <c r="FW26" i="73"/>
  <c r="FU26" i="73"/>
  <c r="FT26" i="73"/>
  <c r="FS26" i="73"/>
  <c r="FQ26" i="73"/>
  <c r="FM26" i="73"/>
  <c r="FJ26" i="73"/>
  <c r="FI26" i="73"/>
  <c r="FH26" i="73"/>
  <c r="FG26" i="73"/>
  <c r="FF26" i="73"/>
  <c r="FE26" i="73"/>
  <c r="FD26" i="73"/>
  <c r="FC26" i="73"/>
  <c r="FB26" i="73"/>
  <c r="FA26" i="73"/>
  <c r="EX26" i="73"/>
  <c r="EW26" i="73"/>
  <c r="ET26" i="73"/>
  <c r="ES26" i="73"/>
  <c r="EP26" i="73"/>
  <c r="EO26" i="73"/>
  <c r="EL26" i="73"/>
  <c r="EK26" i="73"/>
  <c r="EH26" i="73"/>
  <c r="EG26" i="73"/>
  <c r="ED26" i="73"/>
  <c r="EC26" i="73"/>
  <c r="EB26" i="73"/>
  <c r="EA26" i="73"/>
  <c r="DY26" i="73"/>
  <c r="DW26" i="73"/>
  <c r="DV26" i="73"/>
  <c r="DU26" i="73"/>
  <c r="DT26" i="73"/>
  <c r="DS26" i="73"/>
  <c r="DQ26" i="73"/>
  <c r="DO26" i="73"/>
  <c r="GN25" i="73"/>
  <c r="GM25" i="73"/>
  <c r="GL25" i="73"/>
  <c r="GK25" i="73"/>
  <c r="GJ25" i="73"/>
  <c r="FQ25" i="73"/>
  <c r="ET25" i="73"/>
  <c r="ES25" i="73"/>
  <c r="EL25" i="73"/>
  <c r="EK25" i="73"/>
  <c r="EC25" i="73"/>
  <c r="EA25" i="73"/>
  <c r="DY25" i="73"/>
  <c r="DW25" i="73"/>
  <c r="DU25" i="73"/>
  <c r="DS25" i="73"/>
  <c r="DQ25" i="73"/>
  <c r="DO25" i="73"/>
  <c r="GN24" i="73"/>
  <c r="GM24" i="73"/>
  <c r="GL24" i="73"/>
  <c r="GK24" i="73"/>
  <c r="GJ24" i="73"/>
  <c r="FQ24" i="73"/>
  <c r="ET24" i="73"/>
  <c r="ES24" i="73"/>
  <c r="EL24" i="73"/>
  <c r="EK24" i="73"/>
  <c r="EC24" i="73"/>
  <c r="EA24" i="73"/>
  <c r="DY24" i="73"/>
  <c r="DW24" i="73"/>
  <c r="DU24" i="73"/>
  <c r="DS24" i="73"/>
  <c r="DQ24" i="73"/>
  <c r="DO24" i="73"/>
  <c r="GN23" i="73"/>
  <c r="GM23" i="73"/>
  <c r="GL23" i="73"/>
  <c r="GK23" i="73"/>
  <c r="GJ23" i="73"/>
  <c r="FQ23" i="73"/>
  <c r="ET23" i="73"/>
  <c r="ES23" i="73"/>
  <c r="EL23" i="73"/>
  <c r="EK23" i="73"/>
  <c r="EC23" i="73"/>
  <c r="EA23" i="73"/>
  <c r="DY23" i="73"/>
  <c r="DW23" i="73"/>
  <c r="DU23" i="73"/>
  <c r="DS23" i="73"/>
  <c r="DQ23" i="73"/>
  <c r="DO23" i="73"/>
  <c r="GP22" i="73"/>
  <c r="GN22" i="73"/>
  <c r="GM22" i="73"/>
  <c r="GL22" i="73"/>
  <c r="GK22" i="73"/>
  <c r="GJ22" i="73"/>
  <c r="GI22" i="73"/>
  <c r="GH22" i="73"/>
  <c r="GG22" i="73"/>
  <c r="GF22" i="73"/>
  <c r="GE22" i="73"/>
  <c r="GD22" i="73"/>
  <c r="GC22" i="73"/>
  <c r="GB22" i="73"/>
  <c r="GA22" i="73"/>
  <c r="FZ22" i="73"/>
  <c r="FY22" i="73"/>
  <c r="FW22" i="73"/>
  <c r="FU22" i="73"/>
  <c r="FT22" i="73"/>
  <c r="FS22" i="73"/>
  <c r="FQ22" i="73"/>
  <c r="FM22" i="73"/>
  <c r="FJ22" i="73"/>
  <c r="FI22" i="73"/>
  <c r="FH22" i="73"/>
  <c r="FG22" i="73"/>
  <c r="FF22" i="73"/>
  <c r="FE22" i="73"/>
  <c r="FD22" i="73"/>
  <c r="FC22" i="73"/>
  <c r="FB22" i="73"/>
  <c r="FA22" i="73"/>
  <c r="EX22" i="73"/>
  <c r="EW22" i="73"/>
  <c r="ET22" i="73"/>
  <c r="ES22" i="73"/>
  <c r="EP22" i="73"/>
  <c r="EO22" i="73"/>
  <c r="EL22" i="73"/>
  <c r="EK22" i="73"/>
  <c r="EH22" i="73"/>
  <c r="EG22" i="73"/>
  <c r="ED22" i="73"/>
  <c r="EC22" i="73"/>
  <c r="EB22" i="73"/>
  <c r="EA22" i="73"/>
  <c r="DY22" i="73"/>
  <c r="DW22" i="73"/>
  <c r="DV22" i="73"/>
  <c r="DU22" i="73"/>
  <c r="DT22" i="73"/>
  <c r="DS22" i="73"/>
  <c r="DQ22" i="73"/>
  <c r="DO22" i="73"/>
  <c r="GP21" i="73"/>
  <c r="GN21" i="73"/>
  <c r="GM21" i="73"/>
  <c r="GL21" i="73"/>
  <c r="GK21" i="73"/>
  <c r="GJ21" i="73"/>
  <c r="GI21" i="73"/>
  <c r="GH21" i="73"/>
  <c r="GG21" i="73"/>
  <c r="GF21" i="73"/>
  <c r="GE21" i="73"/>
  <c r="GD21" i="73"/>
  <c r="GC21" i="73"/>
  <c r="GB21" i="73"/>
  <c r="GA21" i="73"/>
  <c r="FZ21" i="73"/>
  <c r="FY21" i="73"/>
  <c r="FW21" i="73"/>
  <c r="FU21" i="73"/>
  <c r="FT21" i="73"/>
  <c r="FS21" i="73"/>
  <c r="FQ21" i="73"/>
  <c r="FM21" i="73"/>
  <c r="FJ21" i="73"/>
  <c r="FI21" i="73"/>
  <c r="FH21" i="73"/>
  <c r="FG21" i="73"/>
  <c r="FF21" i="73"/>
  <c r="FE21" i="73"/>
  <c r="FD21" i="73"/>
  <c r="FC21" i="73"/>
  <c r="FB21" i="73"/>
  <c r="FA21" i="73"/>
  <c r="EX21" i="73"/>
  <c r="EW21" i="73"/>
  <c r="ET21" i="73"/>
  <c r="ES21" i="73"/>
  <c r="EP21" i="73"/>
  <c r="EO21" i="73"/>
  <c r="EL21" i="73"/>
  <c r="EK21" i="73"/>
  <c r="EH21" i="73"/>
  <c r="EG21" i="73"/>
  <c r="ED21" i="73"/>
  <c r="EC21" i="73"/>
  <c r="EB21" i="73"/>
  <c r="EA21" i="73"/>
  <c r="DY21" i="73"/>
  <c r="DW21" i="73"/>
  <c r="DV21" i="73"/>
  <c r="DU21" i="73"/>
  <c r="DT21" i="73"/>
  <c r="DS21" i="73"/>
  <c r="DQ21" i="73"/>
  <c r="DO21" i="73"/>
  <c r="GP20" i="73"/>
  <c r="GN20" i="73"/>
  <c r="GM20" i="73"/>
  <c r="GL20" i="73"/>
  <c r="GK20" i="73"/>
  <c r="GJ20" i="73"/>
  <c r="GI20" i="73"/>
  <c r="GH20" i="73"/>
  <c r="GG20" i="73"/>
  <c r="GF20" i="73"/>
  <c r="GE20" i="73"/>
  <c r="GD20" i="73"/>
  <c r="GC20" i="73"/>
  <c r="GB20" i="73"/>
  <c r="GA20" i="73"/>
  <c r="FZ20" i="73"/>
  <c r="FY20" i="73"/>
  <c r="FW20" i="73"/>
  <c r="FU20" i="73"/>
  <c r="FT20" i="73"/>
  <c r="FS20" i="73"/>
  <c r="FQ20" i="73"/>
  <c r="FM20" i="73"/>
  <c r="FJ20" i="73"/>
  <c r="FI20" i="73"/>
  <c r="FH20" i="73"/>
  <c r="FG20" i="73"/>
  <c r="FF20" i="73"/>
  <c r="FE20" i="73"/>
  <c r="FD20" i="73"/>
  <c r="FC20" i="73"/>
  <c r="FB20" i="73"/>
  <c r="FA20" i="73"/>
  <c r="EX20" i="73"/>
  <c r="EW20" i="73"/>
  <c r="ET20" i="73"/>
  <c r="ES20" i="73"/>
  <c r="EP20" i="73"/>
  <c r="EO20" i="73"/>
  <c r="EL20" i="73"/>
  <c r="EK20" i="73"/>
  <c r="EH20" i="73"/>
  <c r="EG20" i="73"/>
  <c r="ED20" i="73"/>
  <c r="EC20" i="73"/>
  <c r="EB20" i="73"/>
  <c r="EA20" i="73"/>
  <c r="DY20" i="73"/>
  <c r="DW20" i="73"/>
  <c r="DV20" i="73"/>
  <c r="DU20" i="73"/>
  <c r="DT20" i="73"/>
  <c r="DS20" i="73"/>
  <c r="DQ20" i="73"/>
  <c r="DO20" i="73"/>
  <c r="GP19" i="73"/>
  <c r="GN19" i="73"/>
  <c r="GM19" i="73"/>
  <c r="GL19" i="73"/>
  <c r="GK19" i="73"/>
  <c r="GJ19" i="73"/>
  <c r="GI19" i="73"/>
  <c r="GH19" i="73"/>
  <c r="GG19" i="73"/>
  <c r="GF19" i="73"/>
  <c r="GE19" i="73"/>
  <c r="GD19" i="73"/>
  <c r="GC19" i="73"/>
  <c r="GB19" i="73"/>
  <c r="GA19" i="73"/>
  <c r="FZ19" i="73"/>
  <c r="FY19" i="73"/>
  <c r="FW19" i="73"/>
  <c r="FU19" i="73"/>
  <c r="FT19" i="73"/>
  <c r="FS19" i="73"/>
  <c r="FQ19" i="73"/>
  <c r="FM19" i="73"/>
  <c r="FJ19" i="73"/>
  <c r="FI19" i="73"/>
  <c r="FH19" i="73"/>
  <c r="FG19" i="73"/>
  <c r="FF19" i="73"/>
  <c r="FE19" i="73"/>
  <c r="FD19" i="73"/>
  <c r="FC19" i="73"/>
  <c r="FB19" i="73"/>
  <c r="FA19" i="73"/>
  <c r="EX19" i="73"/>
  <c r="EW19" i="73"/>
  <c r="ET19" i="73"/>
  <c r="ES19" i="73"/>
  <c r="EP19" i="73"/>
  <c r="EO19" i="73"/>
  <c r="EL19" i="73"/>
  <c r="EK19" i="73"/>
  <c r="EH19" i="73"/>
  <c r="EG19" i="73"/>
  <c r="ED19" i="73"/>
  <c r="EC19" i="73"/>
  <c r="EB19" i="73"/>
  <c r="EA19" i="73"/>
  <c r="DY19" i="73"/>
  <c r="DW19" i="73"/>
  <c r="DV19" i="73"/>
  <c r="DU19" i="73"/>
  <c r="DT19" i="73"/>
  <c r="DS19" i="73"/>
  <c r="DQ19" i="73"/>
  <c r="DO19" i="73"/>
  <c r="GN18" i="73"/>
  <c r="GM18" i="73"/>
  <c r="GL18" i="73"/>
  <c r="GK18" i="73"/>
  <c r="GJ18" i="73"/>
  <c r="FQ18" i="73"/>
  <c r="ET18" i="73"/>
  <c r="ES18" i="73"/>
  <c r="EL18" i="73"/>
  <c r="EK18" i="73"/>
  <c r="EC18" i="73"/>
  <c r="EA18" i="73"/>
  <c r="DY18" i="73"/>
  <c r="DW18" i="73"/>
  <c r="DU18" i="73"/>
  <c r="DS18" i="73"/>
  <c r="DQ18" i="73"/>
  <c r="DO18" i="73"/>
  <c r="GN17" i="73"/>
  <c r="GM17" i="73"/>
  <c r="GL17" i="73"/>
  <c r="GK17" i="73"/>
  <c r="GJ17" i="73"/>
  <c r="FQ17" i="73"/>
  <c r="ET17" i="73"/>
  <c r="ES17" i="73"/>
  <c r="EL17" i="73"/>
  <c r="EK17" i="73"/>
  <c r="EC17" i="73"/>
  <c r="EA17" i="73"/>
  <c r="DY17" i="73"/>
  <c r="DW17" i="73"/>
  <c r="DU17" i="73"/>
  <c r="DS17" i="73"/>
  <c r="DQ17" i="73"/>
  <c r="DO17" i="73"/>
  <c r="GN16" i="73"/>
  <c r="GM16" i="73"/>
  <c r="GL16" i="73"/>
  <c r="GK16" i="73"/>
  <c r="GJ16" i="73"/>
  <c r="FQ16" i="73"/>
  <c r="ET16" i="73"/>
  <c r="ES16" i="73"/>
  <c r="EL16" i="73"/>
  <c r="EK16" i="73"/>
  <c r="EC16" i="73"/>
  <c r="EA16" i="73"/>
  <c r="DY16" i="73"/>
  <c r="DW16" i="73"/>
  <c r="DU16" i="73"/>
  <c r="DS16" i="73"/>
  <c r="DQ16" i="73"/>
  <c r="DO16" i="73"/>
  <c r="GP15" i="73"/>
  <c r="GN15" i="73"/>
  <c r="GM15" i="73"/>
  <c r="GL15" i="73"/>
  <c r="GK15" i="73"/>
  <c r="GJ15" i="73"/>
  <c r="GI15" i="73"/>
  <c r="GH15" i="73"/>
  <c r="GG15" i="73"/>
  <c r="GF15" i="73"/>
  <c r="GE15" i="73"/>
  <c r="GD15" i="73"/>
  <c r="GC15" i="73"/>
  <c r="GB15" i="73"/>
  <c r="GA15" i="73"/>
  <c r="FZ15" i="73"/>
  <c r="FY15" i="73"/>
  <c r="FW15" i="73"/>
  <c r="FU15" i="73"/>
  <c r="FT15" i="73"/>
  <c r="FS15" i="73"/>
  <c r="FQ15" i="73"/>
  <c r="FM15" i="73"/>
  <c r="FJ15" i="73"/>
  <c r="FI15" i="73"/>
  <c r="FH15" i="73"/>
  <c r="FG15" i="73"/>
  <c r="FF15" i="73"/>
  <c r="FE15" i="73"/>
  <c r="FD15" i="73"/>
  <c r="FC15" i="73"/>
  <c r="FB15" i="73"/>
  <c r="FA15" i="73"/>
  <c r="EX15" i="73"/>
  <c r="EW15" i="73"/>
  <c r="ET15" i="73"/>
  <c r="ES15" i="73"/>
  <c r="EP15" i="73"/>
  <c r="EO15" i="73"/>
  <c r="EL15" i="73"/>
  <c r="EK15" i="73"/>
  <c r="EH15" i="73"/>
  <c r="EG15" i="73"/>
  <c r="ED15" i="73"/>
  <c r="EC15" i="73"/>
  <c r="EB15" i="73"/>
  <c r="EA15" i="73"/>
  <c r="DY15" i="73"/>
  <c r="DW15" i="73"/>
  <c r="DV15" i="73"/>
  <c r="DU15" i="73"/>
  <c r="DT15" i="73"/>
  <c r="DS15" i="73"/>
  <c r="DQ15" i="73"/>
  <c r="DO15" i="73"/>
  <c r="GP14" i="73"/>
  <c r="GN14" i="73"/>
  <c r="GM14" i="73"/>
  <c r="GL14" i="73"/>
  <c r="GK14" i="73"/>
  <c r="GI14" i="73"/>
  <c r="GH14" i="73"/>
  <c r="GG14" i="73"/>
  <c r="GF14" i="73"/>
  <c r="GE14" i="73"/>
  <c r="GD14" i="73"/>
  <c r="GC14" i="73"/>
  <c r="GB14" i="73"/>
  <c r="GA14" i="73"/>
  <c r="FZ14" i="73"/>
  <c r="FY14" i="73"/>
  <c r="FW14" i="73"/>
  <c r="FU14" i="73"/>
  <c r="FT14" i="73"/>
  <c r="FS14" i="73"/>
  <c r="FR14" i="73"/>
  <c r="FQ14" i="73"/>
  <c r="FP14" i="73"/>
  <c r="FN14" i="73"/>
  <c r="FM14" i="73"/>
  <c r="FL14" i="73"/>
  <c r="FJ14" i="73"/>
  <c r="FI14" i="73"/>
  <c r="FH14" i="73"/>
  <c r="FG14" i="73"/>
  <c r="FF14" i="73"/>
  <c r="FE14" i="73"/>
  <c r="FD14" i="73"/>
  <c r="FC14" i="73"/>
  <c r="FB14" i="73"/>
  <c r="FA14" i="73"/>
  <c r="EX14" i="73"/>
  <c r="EW14" i="73"/>
  <c r="ET14" i="73"/>
  <c r="ES14" i="73"/>
  <c r="EP14" i="73"/>
  <c r="EO14" i="73"/>
  <c r="EL14" i="73"/>
  <c r="EK14" i="73"/>
  <c r="EH14" i="73"/>
  <c r="EG14" i="73"/>
  <c r="ED14" i="73"/>
  <c r="EC14" i="73"/>
  <c r="EB14" i="73"/>
  <c r="EA14" i="73"/>
  <c r="DY14" i="73"/>
  <c r="DW14" i="73"/>
  <c r="DV14" i="73"/>
  <c r="DU14" i="73"/>
  <c r="DT14" i="73"/>
  <c r="DS14" i="73"/>
  <c r="DQ14" i="73"/>
  <c r="DO14" i="73"/>
  <c r="FG12" i="73"/>
  <c r="ED12" i="73"/>
  <c r="EB12" i="73"/>
  <c r="DV12" i="73"/>
  <c r="DT12" i="73"/>
  <c r="R80" i="67"/>
  <c r="R80" i="66"/>
  <c r="S111" i="73"/>
  <c r="V110" i="73"/>
  <c r="T110" i="73"/>
  <c r="R110" i="73"/>
  <c r="V109" i="73"/>
  <c r="T109" i="73"/>
  <c r="R109" i="73"/>
  <c r="V108" i="73"/>
  <c r="T108" i="73"/>
  <c r="R108" i="73"/>
  <c r="V107" i="73"/>
  <c r="T107" i="73"/>
  <c r="R107" i="73"/>
  <c r="V106" i="73"/>
  <c r="T106" i="73"/>
  <c r="R106" i="73"/>
  <c r="V105" i="73"/>
  <c r="T105" i="73"/>
  <c r="R105" i="73"/>
  <c r="V104" i="73"/>
  <c r="T104" i="73"/>
  <c r="R104" i="73"/>
  <c r="V103" i="73"/>
  <c r="T103" i="73"/>
  <c r="R103" i="73"/>
  <c r="V102" i="73"/>
  <c r="T102" i="73"/>
  <c r="R102" i="73"/>
  <c r="V101" i="73"/>
  <c r="T101" i="73"/>
  <c r="R101" i="73"/>
  <c r="V100" i="73"/>
  <c r="T100" i="73"/>
  <c r="R100" i="73"/>
  <c r="V99" i="73"/>
  <c r="T99" i="73"/>
  <c r="R99" i="73"/>
  <c r="V98" i="73"/>
  <c r="T98" i="73"/>
  <c r="R98" i="73"/>
  <c r="V97" i="73"/>
  <c r="T97" i="73"/>
  <c r="R97" i="73"/>
  <c r="V96" i="73"/>
  <c r="T96" i="73"/>
  <c r="R96" i="73"/>
  <c r="V95" i="73"/>
  <c r="T95" i="73"/>
  <c r="R95" i="73"/>
  <c r="V94" i="73"/>
  <c r="T94" i="73"/>
  <c r="R94" i="73"/>
  <c r="V93" i="73"/>
  <c r="T93" i="73"/>
  <c r="R93" i="73"/>
  <c r="V92" i="73"/>
  <c r="T92" i="73"/>
  <c r="R92" i="73"/>
  <c r="V91" i="73"/>
  <c r="T91" i="73"/>
  <c r="R91" i="73"/>
  <c r="V90" i="73"/>
  <c r="T90" i="73"/>
  <c r="R90" i="73"/>
  <c r="V89" i="73"/>
  <c r="T89" i="73"/>
  <c r="R89" i="73"/>
  <c r="V88" i="73"/>
  <c r="T88" i="73"/>
  <c r="R88" i="73"/>
  <c r="V87" i="73"/>
  <c r="T87" i="73"/>
  <c r="R87" i="73"/>
  <c r="V86" i="73"/>
  <c r="T86" i="73"/>
  <c r="R86" i="73"/>
  <c r="V85" i="73"/>
  <c r="T85" i="73"/>
  <c r="R85" i="73"/>
  <c r="V84" i="73"/>
  <c r="T84" i="73"/>
  <c r="R84" i="73"/>
  <c r="V83" i="73"/>
  <c r="T83" i="73"/>
  <c r="R83" i="73"/>
  <c r="V82" i="73"/>
  <c r="T82" i="73"/>
  <c r="R82" i="73"/>
  <c r="V81" i="73"/>
  <c r="T81" i="73"/>
  <c r="R81" i="73"/>
  <c r="V80" i="73"/>
  <c r="T80" i="73"/>
  <c r="R80" i="73"/>
  <c r="S111" i="71"/>
  <c r="V110" i="71"/>
  <c r="T110" i="71"/>
  <c r="R110" i="71"/>
  <c r="V109" i="71"/>
  <c r="T109" i="71"/>
  <c r="R109" i="71"/>
  <c r="V108" i="71"/>
  <c r="T108" i="71"/>
  <c r="R108" i="71"/>
  <c r="V107" i="71"/>
  <c r="T107" i="71"/>
  <c r="R107" i="71"/>
  <c r="V106" i="71"/>
  <c r="T106" i="71"/>
  <c r="R106" i="71"/>
  <c r="V105" i="71"/>
  <c r="T105" i="71"/>
  <c r="R105" i="71"/>
  <c r="V104" i="71"/>
  <c r="T104" i="71"/>
  <c r="R104" i="71"/>
  <c r="V103" i="71"/>
  <c r="T103" i="71"/>
  <c r="R103" i="71"/>
  <c r="V102" i="71"/>
  <c r="T102" i="71"/>
  <c r="R102" i="71"/>
  <c r="V101" i="71"/>
  <c r="T101" i="71"/>
  <c r="R101" i="71"/>
  <c r="V100" i="71"/>
  <c r="T100" i="71"/>
  <c r="R100" i="71"/>
  <c r="V99" i="71"/>
  <c r="T99" i="71"/>
  <c r="R99" i="71"/>
  <c r="V98" i="71"/>
  <c r="T98" i="71"/>
  <c r="R98" i="71"/>
  <c r="V97" i="71"/>
  <c r="T97" i="71"/>
  <c r="R97" i="71"/>
  <c r="V96" i="71"/>
  <c r="T96" i="71"/>
  <c r="R96" i="71"/>
  <c r="V95" i="71"/>
  <c r="T95" i="71"/>
  <c r="R95" i="71"/>
  <c r="V94" i="71"/>
  <c r="T94" i="71"/>
  <c r="R94" i="71"/>
  <c r="V93" i="71"/>
  <c r="T93" i="71"/>
  <c r="R93" i="71"/>
  <c r="V92" i="71"/>
  <c r="T92" i="71"/>
  <c r="R92" i="71"/>
  <c r="V91" i="71"/>
  <c r="T91" i="71"/>
  <c r="R91" i="71"/>
  <c r="V90" i="71"/>
  <c r="T90" i="71"/>
  <c r="R90" i="71"/>
  <c r="V89" i="71"/>
  <c r="T89" i="71"/>
  <c r="R89" i="71"/>
  <c r="V88" i="71"/>
  <c r="T88" i="71"/>
  <c r="R88" i="71"/>
  <c r="V87" i="71"/>
  <c r="T87" i="71"/>
  <c r="R87" i="71"/>
  <c r="V86" i="71"/>
  <c r="T86" i="71"/>
  <c r="R86" i="71"/>
  <c r="V85" i="71"/>
  <c r="T85" i="71"/>
  <c r="R85" i="71"/>
  <c r="V84" i="71"/>
  <c r="T84" i="71"/>
  <c r="R84" i="71"/>
  <c r="V83" i="71"/>
  <c r="T83" i="71"/>
  <c r="R83" i="71"/>
  <c r="V82" i="71"/>
  <c r="T82" i="71"/>
  <c r="R82" i="71"/>
  <c r="V81" i="71"/>
  <c r="T81" i="71"/>
  <c r="R81" i="71"/>
  <c r="V80" i="71"/>
  <c r="T80" i="71"/>
  <c r="R80" i="71"/>
  <c r="S111" i="69"/>
  <c r="V110" i="69"/>
  <c r="T110" i="69"/>
  <c r="R110" i="69"/>
  <c r="V109" i="69"/>
  <c r="T109" i="69"/>
  <c r="R109" i="69"/>
  <c r="V108" i="69"/>
  <c r="T108" i="69"/>
  <c r="R108" i="69"/>
  <c r="V107" i="69"/>
  <c r="T107" i="69"/>
  <c r="R107" i="69"/>
  <c r="V106" i="69"/>
  <c r="T106" i="69"/>
  <c r="R106" i="69"/>
  <c r="V105" i="69"/>
  <c r="T105" i="69"/>
  <c r="R105" i="69"/>
  <c r="V104" i="69"/>
  <c r="T104" i="69"/>
  <c r="R104" i="69"/>
  <c r="V103" i="69"/>
  <c r="T103" i="69"/>
  <c r="R103" i="69"/>
  <c r="V102" i="69"/>
  <c r="T102" i="69"/>
  <c r="R102" i="69"/>
  <c r="V101" i="69"/>
  <c r="T101" i="69"/>
  <c r="R101" i="69"/>
  <c r="V100" i="69"/>
  <c r="T100" i="69"/>
  <c r="R100" i="69"/>
  <c r="V99" i="69"/>
  <c r="T99" i="69"/>
  <c r="R99" i="69"/>
  <c r="V98" i="69"/>
  <c r="T98" i="69"/>
  <c r="R98" i="69"/>
  <c r="V97" i="69"/>
  <c r="T97" i="69"/>
  <c r="R97" i="69"/>
  <c r="V96" i="69"/>
  <c r="T96" i="69"/>
  <c r="R96" i="69"/>
  <c r="V95" i="69"/>
  <c r="T95" i="69"/>
  <c r="R95" i="69"/>
  <c r="V94" i="69"/>
  <c r="T94" i="69"/>
  <c r="R94" i="69"/>
  <c r="V93" i="69"/>
  <c r="T93" i="69"/>
  <c r="R93" i="69"/>
  <c r="V92" i="69"/>
  <c r="T92" i="69"/>
  <c r="R92" i="69"/>
  <c r="V91" i="69"/>
  <c r="T91" i="69"/>
  <c r="R91" i="69"/>
  <c r="V90" i="69"/>
  <c r="T90" i="69"/>
  <c r="R90" i="69"/>
  <c r="V89" i="69"/>
  <c r="T89" i="69"/>
  <c r="R89" i="69"/>
  <c r="V88" i="69"/>
  <c r="T88" i="69"/>
  <c r="R88" i="69"/>
  <c r="V87" i="69"/>
  <c r="T87" i="69"/>
  <c r="R87" i="69"/>
  <c r="V86" i="69"/>
  <c r="T86" i="69"/>
  <c r="R86" i="69"/>
  <c r="V85" i="69"/>
  <c r="T85" i="69"/>
  <c r="R85" i="69"/>
  <c r="V84" i="69"/>
  <c r="T84" i="69"/>
  <c r="R84" i="69"/>
  <c r="V83" i="69"/>
  <c r="T83" i="69"/>
  <c r="R83" i="69"/>
  <c r="V82" i="69"/>
  <c r="T82" i="69"/>
  <c r="R82" i="69"/>
  <c r="V81" i="69"/>
  <c r="T81" i="69"/>
  <c r="R81" i="69"/>
  <c r="V80" i="69"/>
  <c r="T80" i="69"/>
  <c r="R80" i="69"/>
  <c r="S111" i="67"/>
  <c r="V110" i="67"/>
  <c r="T110" i="67"/>
  <c r="R110" i="67"/>
  <c r="V109" i="67"/>
  <c r="T109" i="67"/>
  <c r="R109" i="67"/>
  <c r="V108" i="67"/>
  <c r="T108" i="67"/>
  <c r="R108" i="67"/>
  <c r="V107" i="67"/>
  <c r="T107" i="67"/>
  <c r="R107" i="67"/>
  <c r="V106" i="67"/>
  <c r="T106" i="67"/>
  <c r="R106" i="67"/>
  <c r="V105" i="67"/>
  <c r="T105" i="67"/>
  <c r="R105" i="67"/>
  <c r="V104" i="67"/>
  <c r="T104" i="67"/>
  <c r="R104" i="67"/>
  <c r="V103" i="67"/>
  <c r="T103" i="67"/>
  <c r="R103" i="67"/>
  <c r="V102" i="67"/>
  <c r="T102" i="67"/>
  <c r="R102" i="67"/>
  <c r="V101" i="67"/>
  <c r="T101" i="67"/>
  <c r="R101" i="67"/>
  <c r="V100" i="67"/>
  <c r="T100" i="67"/>
  <c r="R100" i="67"/>
  <c r="V99" i="67"/>
  <c r="T99" i="67"/>
  <c r="R99" i="67"/>
  <c r="V98" i="67"/>
  <c r="T98" i="67"/>
  <c r="R98" i="67"/>
  <c r="V97" i="67"/>
  <c r="T97" i="67"/>
  <c r="R97" i="67"/>
  <c r="V96" i="67"/>
  <c r="T96" i="67"/>
  <c r="R96" i="67"/>
  <c r="V95" i="67"/>
  <c r="T95" i="67"/>
  <c r="R95" i="67"/>
  <c r="V94" i="67"/>
  <c r="T94" i="67"/>
  <c r="R94" i="67"/>
  <c r="V93" i="67"/>
  <c r="T93" i="67"/>
  <c r="R93" i="67"/>
  <c r="V92" i="67"/>
  <c r="T92" i="67"/>
  <c r="R92" i="67"/>
  <c r="V91" i="67"/>
  <c r="T91" i="67"/>
  <c r="R91" i="67"/>
  <c r="V90" i="67"/>
  <c r="T90" i="67"/>
  <c r="R90" i="67"/>
  <c r="V89" i="67"/>
  <c r="T89" i="67"/>
  <c r="R89" i="67"/>
  <c r="V88" i="67"/>
  <c r="T88" i="67"/>
  <c r="R88" i="67"/>
  <c r="V87" i="67"/>
  <c r="T87" i="67"/>
  <c r="R87" i="67"/>
  <c r="V86" i="67"/>
  <c r="T86" i="67"/>
  <c r="R86" i="67"/>
  <c r="V85" i="67"/>
  <c r="T85" i="67"/>
  <c r="R85" i="67"/>
  <c r="V84" i="67"/>
  <c r="T84" i="67"/>
  <c r="R84" i="67"/>
  <c r="V83" i="67"/>
  <c r="T83" i="67"/>
  <c r="R83" i="67"/>
  <c r="V82" i="67"/>
  <c r="T82" i="67"/>
  <c r="R82" i="67"/>
  <c r="V81" i="67"/>
  <c r="T81" i="67"/>
  <c r="R81" i="67"/>
  <c r="V80" i="67"/>
  <c r="T80" i="67"/>
  <c r="S111" i="66"/>
  <c r="V110" i="66"/>
  <c r="T110" i="66"/>
  <c r="R110" i="66"/>
  <c r="V109" i="66"/>
  <c r="T109" i="66"/>
  <c r="R109" i="66"/>
  <c r="V108" i="66"/>
  <c r="T108" i="66"/>
  <c r="R108" i="66"/>
  <c r="V107" i="66"/>
  <c r="T107" i="66"/>
  <c r="R107" i="66"/>
  <c r="V106" i="66"/>
  <c r="T106" i="66"/>
  <c r="R106" i="66"/>
  <c r="V105" i="66"/>
  <c r="T105" i="66"/>
  <c r="R105" i="66"/>
  <c r="V104" i="66"/>
  <c r="T104" i="66"/>
  <c r="R104" i="66"/>
  <c r="V103" i="66"/>
  <c r="T103" i="66"/>
  <c r="R103" i="66"/>
  <c r="V102" i="66"/>
  <c r="T102" i="66"/>
  <c r="R102" i="66"/>
  <c r="V101" i="66"/>
  <c r="T101" i="66"/>
  <c r="R101" i="66"/>
  <c r="V100" i="66"/>
  <c r="T100" i="66"/>
  <c r="R100" i="66"/>
  <c r="V99" i="66"/>
  <c r="T99" i="66"/>
  <c r="R99" i="66"/>
  <c r="V98" i="66"/>
  <c r="T98" i="66"/>
  <c r="R98" i="66"/>
  <c r="V97" i="66"/>
  <c r="T97" i="66"/>
  <c r="R97" i="66"/>
  <c r="V96" i="66"/>
  <c r="T96" i="66"/>
  <c r="R96" i="66"/>
  <c r="V95" i="66"/>
  <c r="T95" i="66"/>
  <c r="R95" i="66"/>
  <c r="V94" i="66"/>
  <c r="T94" i="66"/>
  <c r="R94" i="66"/>
  <c r="V93" i="66"/>
  <c r="T93" i="66"/>
  <c r="R93" i="66"/>
  <c r="V92" i="66"/>
  <c r="T92" i="66"/>
  <c r="R92" i="66"/>
  <c r="V91" i="66"/>
  <c r="T91" i="66"/>
  <c r="R91" i="66"/>
  <c r="V90" i="66"/>
  <c r="T90" i="66"/>
  <c r="R90" i="66"/>
  <c r="V89" i="66"/>
  <c r="T89" i="66"/>
  <c r="R89" i="66"/>
  <c r="V88" i="66"/>
  <c r="T88" i="66"/>
  <c r="R88" i="66"/>
  <c r="V87" i="66"/>
  <c r="T87" i="66"/>
  <c r="R87" i="66"/>
  <c r="V86" i="66"/>
  <c r="T86" i="66"/>
  <c r="R86" i="66"/>
  <c r="V85" i="66"/>
  <c r="T85" i="66"/>
  <c r="R85" i="66"/>
  <c r="V84" i="66"/>
  <c r="T84" i="66"/>
  <c r="R84" i="66"/>
  <c r="V83" i="66"/>
  <c r="T83" i="66"/>
  <c r="R83" i="66"/>
  <c r="V82" i="66"/>
  <c r="T82" i="66"/>
  <c r="R82" i="66"/>
  <c r="V81" i="66"/>
  <c r="T81" i="66"/>
  <c r="R81" i="66"/>
  <c r="V80" i="66"/>
  <c r="T80" i="66"/>
  <c r="R80" i="41"/>
  <c r="R110" i="64"/>
  <c r="R81" i="64"/>
  <c r="T81" i="64"/>
  <c r="V81" i="64"/>
  <c r="R82" i="64"/>
  <c r="T82" i="64"/>
  <c r="V82" i="64"/>
  <c r="R83" i="64"/>
  <c r="T83" i="64"/>
  <c r="V83" i="64"/>
  <c r="R84" i="64"/>
  <c r="T84" i="64"/>
  <c r="V84" i="64"/>
  <c r="R85" i="64"/>
  <c r="T85" i="64"/>
  <c r="V85" i="64"/>
  <c r="R86" i="64"/>
  <c r="T86" i="64"/>
  <c r="V86" i="64"/>
  <c r="R87" i="64"/>
  <c r="T87" i="64"/>
  <c r="V87" i="64"/>
  <c r="R88" i="64"/>
  <c r="T88" i="64"/>
  <c r="V88" i="64"/>
  <c r="R89" i="64"/>
  <c r="T89" i="64"/>
  <c r="V89" i="64"/>
  <c r="R90" i="64"/>
  <c r="T90" i="64"/>
  <c r="V90" i="64"/>
  <c r="R91" i="64"/>
  <c r="T91" i="64"/>
  <c r="V91" i="64"/>
  <c r="R92" i="64"/>
  <c r="T92" i="64"/>
  <c r="V92" i="64"/>
  <c r="R93" i="64"/>
  <c r="T93" i="64"/>
  <c r="V93" i="64"/>
  <c r="R94" i="64"/>
  <c r="T94" i="64"/>
  <c r="V94" i="64"/>
  <c r="R95" i="64"/>
  <c r="T95" i="64"/>
  <c r="V95" i="64"/>
  <c r="R96" i="64"/>
  <c r="T96" i="64"/>
  <c r="V96" i="64"/>
  <c r="R97" i="64"/>
  <c r="T97" i="64"/>
  <c r="V97" i="64"/>
  <c r="R98" i="64"/>
  <c r="T98" i="64"/>
  <c r="V98" i="64"/>
  <c r="R99" i="64"/>
  <c r="T99" i="64"/>
  <c r="V99" i="64"/>
  <c r="R100" i="64"/>
  <c r="T100" i="64"/>
  <c r="V100" i="64"/>
  <c r="R101" i="64"/>
  <c r="T101" i="64"/>
  <c r="V101" i="64"/>
  <c r="R102" i="64"/>
  <c r="T102" i="64"/>
  <c r="V102" i="64"/>
  <c r="R103" i="64"/>
  <c r="T103" i="64"/>
  <c r="V103" i="64"/>
  <c r="R104" i="64"/>
  <c r="T104" i="64"/>
  <c r="V104" i="64"/>
  <c r="R105" i="64"/>
  <c r="T105" i="64"/>
  <c r="V105" i="64"/>
  <c r="R106" i="64"/>
  <c r="T106" i="64"/>
  <c r="V106" i="64"/>
  <c r="R107" i="64"/>
  <c r="T107" i="64"/>
  <c r="V107" i="64"/>
  <c r="R108" i="64"/>
  <c r="T108" i="64"/>
  <c r="V108" i="64"/>
  <c r="R109" i="64"/>
  <c r="T109" i="64"/>
  <c r="V109" i="64"/>
  <c r="T110" i="64"/>
  <c r="V110" i="64"/>
  <c r="V80" i="64"/>
  <c r="T80" i="64"/>
  <c r="R80" i="64"/>
  <c r="S109" i="72"/>
  <c r="V108" i="72"/>
  <c r="T108" i="72"/>
  <c r="R108" i="72"/>
  <c r="V107" i="72"/>
  <c r="T107" i="72"/>
  <c r="R107" i="72"/>
  <c r="V106" i="72"/>
  <c r="T106" i="72"/>
  <c r="R106" i="72"/>
  <c r="V105" i="72"/>
  <c r="T105" i="72"/>
  <c r="R105" i="72"/>
  <c r="V104" i="72"/>
  <c r="T104" i="72"/>
  <c r="R104" i="72"/>
  <c r="V103" i="72"/>
  <c r="T103" i="72"/>
  <c r="R103" i="72"/>
  <c r="V102" i="72"/>
  <c r="T102" i="72"/>
  <c r="R102" i="72"/>
  <c r="V101" i="72"/>
  <c r="T101" i="72"/>
  <c r="R101" i="72"/>
  <c r="V100" i="72"/>
  <c r="T100" i="72"/>
  <c r="R100" i="72"/>
  <c r="V99" i="72"/>
  <c r="T99" i="72"/>
  <c r="R99" i="72"/>
  <c r="V98" i="72"/>
  <c r="T98" i="72"/>
  <c r="R98" i="72"/>
  <c r="V97" i="72"/>
  <c r="T97" i="72"/>
  <c r="R97" i="72"/>
  <c r="V96" i="72"/>
  <c r="T96" i="72"/>
  <c r="R96" i="72"/>
  <c r="V95" i="72"/>
  <c r="T95" i="72"/>
  <c r="R95" i="72"/>
  <c r="V94" i="72"/>
  <c r="T94" i="72"/>
  <c r="R94" i="72"/>
  <c r="V93" i="72"/>
  <c r="T93" i="72"/>
  <c r="R93" i="72"/>
  <c r="V92" i="72"/>
  <c r="T92" i="72"/>
  <c r="R92" i="72"/>
  <c r="V91" i="72"/>
  <c r="T91" i="72"/>
  <c r="R91" i="72"/>
  <c r="V90" i="72"/>
  <c r="T90" i="72"/>
  <c r="R90" i="72"/>
  <c r="V89" i="72"/>
  <c r="T89" i="72"/>
  <c r="R89" i="72"/>
  <c r="V88" i="72"/>
  <c r="T88" i="72"/>
  <c r="R88" i="72"/>
  <c r="V87" i="72"/>
  <c r="T87" i="72"/>
  <c r="R87" i="72"/>
  <c r="V86" i="72"/>
  <c r="T86" i="72"/>
  <c r="R86" i="72"/>
  <c r="V85" i="72"/>
  <c r="T85" i="72"/>
  <c r="R85" i="72"/>
  <c r="V84" i="72"/>
  <c r="T84" i="72"/>
  <c r="R84" i="72"/>
  <c r="V83" i="72"/>
  <c r="T83" i="72"/>
  <c r="R83" i="72"/>
  <c r="V82" i="72"/>
  <c r="T82" i="72"/>
  <c r="R82" i="72"/>
  <c r="V81" i="72"/>
  <c r="T81" i="72"/>
  <c r="R81" i="72"/>
  <c r="V80" i="72"/>
  <c r="T80" i="72"/>
  <c r="R80" i="72"/>
  <c r="V79" i="72"/>
  <c r="T79" i="72"/>
  <c r="R79" i="72"/>
  <c r="S109" i="70"/>
  <c r="V108" i="70"/>
  <c r="T108" i="70"/>
  <c r="R108" i="70"/>
  <c r="V107" i="70"/>
  <c r="T107" i="70"/>
  <c r="R107" i="70"/>
  <c r="V106" i="70"/>
  <c r="T106" i="70"/>
  <c r="R106" i="70"/>
  <c r="V105" i="70"/>
  <c r="T105" i="70"/>
  <c r="R105" i="70"/>
  <c r="V104" i="70"/>
  <c r="T104" i="70"/>
  <c r="R104" i="70"/>
  <c r="V103" i="70"/>
  <c r="T103" i="70"/>
  <c r="R103" i="70"/>
  <c r="V102" i="70"/>
  <c r="T102" i="70"/>
  <c r="R102" i="70"/>
  <c r="V101" i="70"/>
  <c r="T101" i="70"/>
  <c r="R101" i="70"/>
  <c r="V100" i="70"/>
  <c r="T100" i="70"/>
  <c r="R100" i="70"/>
  <c r="V99" i="70"/>
  <c r="T99" i="70"/>
  <c r="R99" i="70"/>
  <c r="V98" i="70"/>
  <c r="T98" i="70"/>
  <c r="R98" i="70"/>
  <c r="V97" i="70"/>
  <c r="T97" i="70"/>
  <c r="R97" i="70"/>
  <c r="V96" i="70"/>
  <c r="T96" i="70"/>
  <c r="R96" i="70"/>
  <c r="V95" i="70"/>
  <c r="T95" i="70"/>
  <c r="R95" i="70"/>
  <c r="V94" i="70"/>
  <c r="T94" i="70"/>
  <c r="R94" i="70"/>
  <c r="V93" i="70"/>
  <c r="T93" i="70"/>
  <c r="R93" i="70"/>
  <c r="V92" i="70"/>
  <c r="T92" i="70"/>
  <c r="R92" i="70"/>
  <c r="V91" i="70"/>
  <c r="T91" i="70"/>
  <c r="R91" i="70"/>
  <c r="V90" i="70"/>
  <c r="T90" i="70"/>
  <c r="R90" i="70"/>
  <c r="V89" i="70"/>
  <c r="T89" i="70"/>
  <c r="R89" i="70"/>
  <c r="V88" i="70"/>
  <c r="T88" i="70"/>
  <c r="R88" i="70"/>
  <c r="V87" i="70"/>
  <c r="T87" i="70"/>
  <c r="R87" i="70"/>
  <c r="V86" i="70"/>
  <c r="T86" i="70"/>
  <c r="R86" i="70"/>
  <c r="V85" i="70"/>
  <c r="T85" i="70"/>
  <c r="R85" i="70"/>
  <c r="V84" i="70"/>
  <c r="T84" i="70"/>
  <c r="R84" i="70"/>
  <c r="V83" i="70"/>
  <c r="T83" i="70"/>
  <c r="R83" i="70"/>
  <c r="V82" i="70"/>
  <c r="T82" i="70"/>
  <c r="R82" i="70"/>
  <c r="V81" i="70"/>
  <c r="T81" i="70"/>
  <c r="R81" i="70"/>
  <c r="V80" i="70"/>
  <c r="T80" i="70"/>
  <c r="R80" i="70"/>
  <c r="V79" i="70"/>
  <c r="T79" i="70"/>
  <c r="R79" i="70"/>
  <c r="S108" i="68"/>
  <c r="S109" i="65"/>
  <c r="V108" i="65"/>
  <c r="T108" i="65"/>
  <c r="R108" i="65"/>
  <c r="V107" i="65"/>
  <c r="T107" i="65"/>
  <c r="R107" i="65"/>
  <c r="V106" i="65"/>
  <c r="T106" i="65"/>
  <c r="R106" i="65"/>
  <c r="V105" i="65"/>
  <c r="T105" i="65"/>
  <c r="R105" i="65"/>
  <c r="V104" i="65"/>
  <c r="T104" i="65"/>
  <c r="R104" i="65"/>
  <c r="V103" i="65"/>
  <c r="T103" i="65"/>
  <c r="R103" i="65"/>
  <c r="V102" i="65"/>
  <c r="T102" i="65"/>
  <c r="R102" i="65"/>
  <c r="V101" i="65"/>
  <c r="T101" i="65"/>
  <c r="R101" i="65"/>
  <c r="V100" i="65"/>
  <c r="T100" i="65"/>
  <c r="R100" i="65"/>
  <c r="V99" i="65"/>
  <c r="T99" i="65"/>
  <c r="R99" i="65"/>
  <c r="V98" i="65"/>
  <c r="T98" i="65"/>
  <c r="R98" i="65"/>
  <c r="V97" i="65"/>
  <c r="T97" i="65"/>
  <c r="R97" i="65"/>
  <c r="V96" i="65"/>
  <c r="T96" i="65"/>
  <c r="R96" i="65"/>
  <c r="V95" i="65"/>
  <c r="T95" i="65"/>
  <c r="R95" i="65"/>
  <c r="V94" i="65"/>
  <c r="T94" i="65"/>
  <c r="R94" i="65"/>
  <c r="V93" i="65"/>
  <c r="T93" i="65"/>
  <c r="R93" i="65"/>
  <c r="V92" i="65"/>
  <c r="T92" i="65"/>
  <c r="R92" i="65"/>
  <c r="V91" i="65"/>
  <c r="T91" i="65"/>
  <c r="R91" i="65"/>
  <c r="V90" i="65"/>
  <c r="T90" i="65"/>
  <c r="R90" i="65"/>
  <c r="V89" i="65"/>
  <c r="T89" i="65"/>
  <c r="R89" i="65"/>
  <c r="V88" i="65"/>
  <c r="T88" i="65"/>
  <c r="R88" i="65"/>
  <c r="V87" i="65"/>
  <c r="T87" i="65"/>
  <c r="R87" i="65"/>
  <c r="V86" i="65"/>
  <c r="T86" i="65"/>
  <c r="R86" i="65"/>
  <c r="V85" i="65"/>
  <c r="T85" i="65"/>
  <c r="R85" i="65"/>
  <c r="V84" i="65"/>
  <c r="T84" i="65"/>
  <c r="R84" i="65"/>
  <c r="V83" i="65"/>
  <c r="T83" i="65"/>
  <c r="R83" i="65"/>
  <c r="V82" i="65"/>
  <c r="T82" i="65"/>
  <c r="R82" i="65"/>
  <c r="V81" i="65"/>
  <c r="T81" i="65"/>
  <c r="R81" i="65"/>
  <c r="V80" i="65"/>
  <c r="T80" i="65"/>
  <c r="R80" i="65"/>
  <c r="V79" i="65"/>
  <c r="R79" i="65"/>
  <c r="S111" i="64"/>
  <c r="X44" i="72"/>
  <c r="W44" i="72"/>
  <c r="V44" i="72"/>
  <c r="X44" i="70"/>
  <c r="W44" i="70"/>
  <c r="V44" i="70"/>
  <c r="X44" i="65"/>
  <c r="W44" i="65"/>
  <c r="V44" i="65"/>
  <c r="X45" i="73"/>
  <c r="W45" i="73"/>
  <c r="V45" i="73"/>
  <c r="X45" i="71"/>
  <c r="W45" i="71"/>
  <c r="V45" i="71"/>
  <c r="X45" i="69"/>
  <c r="W45" i="69"/>
  <c r="V45" i="69"/>
  <c r="X45" i="67"/>
  <c r="W45" i="67"/>
  <c r="V45" i="67"/>
  <c r="X45" i="66"/>
  <c r="W45" i="66"/>
  <c r="V45" i="66"/>
  <c r="V44" i="63"/>
  <c r="X43" i="68"/>
  <c r="W43" i="68"/>
  <c r="ET43" i="68" s="1"/>
  <c r="X45" i="64"/>
  <c r="W45" i="64"/>
  <c r="V45" i="64"/>
  <c r="J15" i="68"/>
  <c r="J16" i="68"/>
  <c r="J17" i="68"/>
  <c r="J18" i="68"/>
  <c r="J19" i="68"/>
  <c r="J20" i="68"/>
  <c r="J21" i="68"/>
  <c r="J22" i="68"/>
  <c r="J23" i="68"/>
  <c r="J24" i="68"/>
  <c r="J25" i="68"/>
  <c r="FK25" i="68" s="1"/>
  <c r="J26" i="68"/>
  <c r="J27" i="68"/>
  <c r="J28" i="68"/>
  <c r="J29" i="68"/>
  <c r="EZ29" i="68" s="1"/>
  <c r="J30" i="68"/>
  <c r="DZ30" i="68" s="1"/>
  <c r="J31" i="68"/>
  <c r="FO31" i="68" s="1"/>
  <c r="J32" i="68"/>
  <c r="J33" i="68"/>
  <c r="J34" i="68"/>
  <c r="J35" i="68"/>
  <c r="J36" i="68"/>
  <c r="EY36" i="68" s="1"/>
  <c r="J37" i="68"/>
  <c r="DZ37" i="68" s="1"/>
  <c r="J38" i="68"/>
  <c r="J39" i="68"/>
  <c r="J40" i="68"/>
  <c r="J41" i="68"/>
  <c r="J42" i="68"/>
  <c r="J14" i="68"/>
  <c r="J43" i="72"/>
  <c r="EZ43" i="72" s="1"/>
  <c r="J42" i="72"/>
  <c r="EY42" i="72" s="1"/>
  <c r="J41" i="72"/>
  <c r="J40" i="72"/>
  <c r="J39" i="72"/>
  <c r="J38" i="72"/>
  <c r="EY38" i="72" s="1"/>
  <c r="J37" i="72"/>
  <c r="J36" i="72"/>
  <c r="J35" i="72"/>
  <c r="EZ35" i="72" s="1"/>
  <c r="J34" i="72"/>
  <c r="J33" i="72"/>
  <c r="J32" i="72"/>
  <c r="J31" i="72"/>
  <c r="EU31" i="72" s="1"/>
  <c r="J30" i="72"/>
  <c r="FK30" i="72" s="1"/>
  <c r="J29" i="72"/>
  <c r="J28" i="72"/>
  <c r="EY28" i="72" s="1"/>
  <c r="J27" i="72"/>
  <c r="J26" i="72"/>
  <c r="J25" i="72"/>
  <c r="J24" i="72"/>
  <c r="J23" i="72"/>
  <c r="J22" i="72"/>
  <c r="J21" i="72"/>
  <c r="J20" i="72"/>
  <c r="J19" i="72"/>
  <c r="J18" i="72"/>
  <c r="J17" i="72"/>
  <c r="DZ17" i="72" s="1"/>
  <c r="J16" i="72"/>
  <c r="J15" i="72"/>
  <c r="EZ15" i="72" s="1"/>
  <c r="J14" i="72"/>
  <c r="EV14" i="72" s="1"/>
  <c r="J43" i="70"/>
  <c r="ER43" i="70" s="1"/>
  <c r="J42" i="70"/>
  <c r="DZ42" i="70" s="1"/>
  <c r="J41" i="70"/>
  <c r="EV41" i="70" s="1"/>
  <c r="J40" i="70"/>
  <c r="EY40" i="70" s="1"/>
  <c r="J39" i="70"/>
  <c r="J38" i="70"/>
  <c r="J37" i="70"/>
  <c r="J36" i="70"/>
  <c r="J35" i="70"/>
  <c r="EV35" i="70" s="1"/>
  <c r="J34" i="70"/>
  <c r="EY34" i="70" s="1"/>
  <c r="J33" i="70"/>
  <c r="J32" i="70"/>
  <c r="J31" i="70"/>
  <c r="J30" i="70"/>
  <c r="J29" i="70"/>
  <c r="J28" i="70"/>
  <c r="J27" i="70"/>
  <c r="J26" i="70"/>
  <c r="FK26" i="70" s="1"/>
  <c r="J25" i="70"/>
  <c r="J24" i="70"/>
  <c r="J23" i="70"/>
  <c r="J22" i="70"/>
  <c r="EZ22" i="70" s="1"/>
  <c r="J21" i="70"/>
  <c r="EZ21" i="70" s="1"/>
  <c r="J20" i="70"/>
  <c r="FO20" i="70" s="1"/>
  <c r="J19" i="70"/>
  <c r="J18" i="70"/>
  <c r="J17" i="70"/>
  <c r="J16" i="70"/>
  <c r="J15" i="70"/>
  <c r="J14" i="70"/>
  <c r="EF14" i="70" s="1"/>
  <c r="J43" i="65"/>
  <c r="J42" i="65"/>
  <c r="J41" i="65"/>
  <c r="J40" i="65"/>
  <c r="J39" i="65"/>
  <c r="EZ39" i="65" s="1"/>
  <c r="J38" i="65"/>
  <c r="J37" i="65"/>
  <c r="J36" i="65"/>
  <c r="J35" i="65"/>
  <c r="J34" i="65"/>
  <c r="FO34" i="65" s="1"/>
  <c r="J33" i="65"/>
  <c r="J32" i="65"/>
  <c r="J31" i="65"/>
  <c r="J30" i="65"/>
  <c r="J29" i="65"/>
  <c r="J28" i="65"/>
  <c r="J27" i="65"/>
  <c r="J26" i="65"/>
  <c r="EY26" i="65" s="1"/>
  <c r="J25" i="65"/>
  <c r="J24" i="65"/>
  <c r="EV24" i="65" s="1"/>
  <c r="J23" i="65"/>
  <c r="J22" i="65"/>
  <c r="J21" i="65"/>
  <c r="J20" i="65"/>
  <c r="FK20" i="65" s="1"/>
  <c r="J19" i="65"/>
  <c r="EZ19" i="65" s="1"/>
  <c r="J18" i="65"/>
  <c r="FK18" i="65" s="1"/>
  <c r="J17" i="65"/>
  <c r="J16" i="65"/>
  <c r="J15" i="65"/>
  <c r="J14" i="65"/>
  <c r="J44" i="73"/>
  <c r="J43" i="73"/>
  <c r="EZ43" i="73" s="1"/>
  <c r="J42" i="73"/>
  <c r="FO42" i="73" s="1"/>
  <c r="J41" i="73"/>
  <c r="EZ41" i="73" s="1"/>
  <c r="J40" i="73"/>
  <c r="EY40" i="73" s="1"/>
  <c r="J39" i="73"/>
  <c r="J38" i="73"/>
  <c r="J37" i="73"/>
  <c r="J36" i="73"/>
  <c r="FO36" i="73" s="1"/>
  <c r="J35" i="73"/>
  <c r="EZ35" i="73" s="1"/>
  <c r="J34" i="73"/>
  <c r="EY34" i="73" s="1"/>
  <c r="J33" i="73"/>
  <c r="EV33" i="73" s="1"/>
  <c r="J32" i="73"/>
  <c r="J31" i="73"/>
  <c r="J30" i="73"/>
  <c r="J29" i="73"/>
  <c r="EZ29" i="73" s="1"/>
  <c r="J28" i="73"/>
  <c r="EY28" i="73" s="1"/>
  <c r="J27" i="73"/>
  <c r="EV27" i="73" s="1"/>
  <c r="J26" i="73"/>
  <c r="EZ26" i="73" s="1"/>
  <c r="J25" i="73"/>
  <c r="J24" i="73"/>
  <c r="J23" i="73"/>
  <c r="J22" i="73"/>
  <c r="EY22" i="73" s="1"/>
  <c r="J21" i="73"/>
  <c r="EV21" i="73" s="1"/>
  <c r="J20" i="73"/>
  <c r="EZ20" i="73" s="1"/>
  <c r="J19" i="73"/>
  <c r="EY19" i="73" s="1"/>
  <c r="J18" i="73"/>
  <c r="J17" i="73"/>
  <c r="J16" i="73"/>
  <c r="J15" i="73"/>
  <c r="FO15" i="73" s="1"/>
  <c r="J14" i="73"/>
  <c r="EV14" i="73" s="1"/>
  <c r="J44" i="71"/>
  <c r="J43" i="71"/>
  <c r="J42" i="71"/>
  <c r="J41" i="71"/>
  <c r="J40" i="71"/>
  <c r="EY40" i="71" s="1"/>
  <c r="J39" i="71"/>
  <c r="J38" i="71"/>
  <c r="J37" i="71"/>
  <c r="J36" i="71"/>
  <c r="J35" i="71"/>
  <c r="J34" i="71"/>
  <c r="J33" i="71"/>
  <c r="J32" i="71"/>
  <c r="FO32" i="71" s="1"/>
  <c r="J31" i="71"/>
  <c r="J30" i="71"/>
  <c r="J29" i="71"/>
  <c r="J28" i="71"/>
  <c r="J27" i="71"/>
  <c r="J26" i="71"/>
  <c r="J25" i="71"/>
  <c r="J24" i="71"/>
  <c r="EZ24" i="71" s="1"/>
  <c r="J23" i="71"/>
  <c r="J22" i="71"/>
  <c r="J21" i="71"/>
  <c r="J20" i="71"/>
  <c r="J19" i="71"/>
  <c r="J18" i="71"/>
  <c r="J17" i="71"/>
  <c r="EZ17" i="71" s="1"/>
  <c r="J16" i="71"/>
  <c r="J15" i="71"/>
  <c r="J14" i="71"/>
  <c r="J44" i="69"/>
  <c r="EY44" i="69" s="1"/>
  <c r="J43" i="69"/>
  <c r="EV43" i="69" s="1"/>
  <c r="J42" i="69"/>
  <c r="J41" i="69"/>
  <c r="J40" i="69"/>
  <c r="J39" i="69"/>
  <c r="J38" i="69"/>
  <c r="J37" i="69"/>
  <c r="EZ37" i="69" s="1"/>
  <c r="J36" i="69"/>
  <c r="EZ36" i="69" s="1"/>
  <c r="J35" i="69"/>
  <c r="J34" i="69"/>
  <c r="J33" i="69"/>
  <c r="J32" i="69"/>
  <c r="EY32" i="69" s="1"/>
  <c r="J31" i="69"/>
  <c r="J30" i="69"/>
  <c r="J29" i="69"/>
  <c r="FO29" i="69" s="1"/>
  <c r="J28" i="69"/>
  <c r="J27" i="69"/>
  <c r="J26" i="69"/>
  <c r="J25" i="69"/>
  <c r="J24" i="69"/>
  <c r="EZ24" i="69" s="1"/>
  <c r="J23" i="69"/>
  <c r="J22" i="69"/>
  <c r="FO22" i="69" s="1"/>
  <c r="J21" i="69"/>
  <c r="J20" i="69"/>
  <c r="J19" i="69"/>
  <c r="J18" i="69"/>
  <c r="J17" i="69"/>
  <c r="J16" i="69"/>
  <c r="J15" i="69"/>
  <c r="J14" i="69"/>
  <c r="J44" i="67"/>
  <c r="J43" i="67"/>
  <c r="J42" i="67"/>
  <c r="EY42" i="67" s="1"/>
  <c r="J41" i="67"/>
  <c r="J40" i="67"/>
  <c r="J39" i="67"/>
  <c r="EZ39" i="67" s="1"/>
  <c r="J38" i="67"/>
  <c r="J37" i="67"/>
  <c r="J36" i="67"/>
  <c r="J35" i="67"/>
  <c r="DZ35" i="67" s="1"/>
  <c r="J34" i="67"/>
  <c r="EZ34" i="67" s="1"/>
  <c r="J33" i="67"/>
  <c r="J32" i="67"/>
  <c r="J31" i="67"/>
  <c r="J30" i="67"/>
  <c r="J29" i="67"/>
  <c r="J28" i="67"/>
  <c r="J27" i="67"/>
  <c r="EZ27" i="67" s="1"/>
  <c r="J26" i="67"/>
  <c r="EZ26" i="67" s="1"/>
  <c r="J25" i="67"/>
  <c r="EZ25" i="67" s="1"/>
  <c r="J24" i="67"/>
  <c r="J23" i="67"/>
  <c r="J22" i="67"/>
  <c r="J21" i="67"/>
  <c r="J20" i="67"/>
  <c r="J19" i="67"/>
  <c r="J18" i="67"/>
  <c r="FK18" i="67" s="1"/>
  <c r="J17" i="67"/>
  <c r="J16" i="67"/>
  <c r="J15" i="67"/>
  <c r="J14" i="67"/>
  <c r="J44" i="66"/>
  <c r="EZ44" i="66" s="1"/>
  <c r="J43" i="66"/>
  <c r="J42" i="66"/>
  <c r="J41" i="66"/>
  <c r="J40" i="66"/>
  <c r="J39" i="66"/>
  <c r="J38" i="66"/>
  <c r="J37" i="66"/>
  <c r="FO37" i="66" s="1"/>
  <c r="J36" i="66"/>
  <c r="EZ36" i="66" s="1"/>
  <c r="J35" i="66"/>
  <c r="J34" i="66"/>
  <c r="J33" i="66"/>
  <c r="J32" i="66"/>
  <c r="J31" i="66"/>
  <c r="J30" i="66"/>
  <c r="J29" i="66"/>
  <c r="EV29" i="66" s="1"/>
  <c r="J28" i="66"/>
  <c r="EV28" i="66" s="1"/>
  <c r="J27" i="66"/>
  <c r="J26" i="66"/>
  <c r="J25" i="66"/>
  <c r="J24" i="66"/>
  <c r="J23" i="66"/>
  <c r="J22" i="66"/>
  <c r="J21" i="66"/>
  <c r="FO21" i="66" s="1"/>
  <c r="J20" i="66"/>
  <c r="J19" i="66"/>
  <c r="J18" i="66"/>
  <c r="J17" i="66"/>
  <c r="J16" i="66"/>
  <c r="J15" i="66"/>
  <c r="GC15" i="66"/>
  <c r="J14" i="66"/>
  <c r="J44" i="64"/>
  <c r="EZ44" i="64" s="1"/>
  <c r="J43" i="64"/>
  <c r="EZ43" i="64" s="1"/>
  <c r="J42" i="64"/>
  <c r="J41" i="64"/>
  <c r="J40" i="64"/>
  <c r="J39" i="64"/>
  <c r="J38" i="64"/>
  <c r="J37" i="64"/>
  <c r="J36" i="64"/>
  <c r="J35" i="64"/>
  <c r="EZ35" i="64" s="1"/>
  <c r="J34" i="64"/>
  <c r="J33" i="64"/>
  <c r="J32" i="64"/>
  <c r="J31" i="64"/>
  <c r="J30" i="64"/>
  <c r="J29" i="64"/>
  <c r="J28" i="64"/>
  <c r="J27" i="64"/>
  <c r="EV27" i="64" s="1"/>
  <c r="J26" i="64"/>
  <c r="EY26" i="64" s="1"/>
  <c r="J25" i="64"/>
  <c r="J24" i="64"/>
  <c r="J23" i="64"/>
  <c r="J22" i="64"/>
  <c r="J21" i="64"/>
  <c r="J20" i="64"/>
  <c r="EZ20" i="64" s="1"/>
  <c r="J19" i="64"/>
  <c r="FO19" i="64" s="1"/>
  <c r="J18" i="64"/>
  <c r="J17" i="64"/>
  <c r="J16" i="64"/>
  <c r="J15" i="64"/>
  <c r="J14" i="64"/>
  <c r="GP43" i="72"/>
  <c r="GN43" i="72"/>
  <c r="GM43" i="72"/>
  <c r="GL43" i="72"/>
  <c r="GK43" i="72"/>
  <c r="GJ43" i="72"/>
  <c r="GI43" i="72"/>
  <c r="GH43" i="72"/>
  <c r="GG43" i="72"/>
  <c r="GF43" i="72"/>
  <c r="GE43" i="72"/>
  <c r="GD43" i="72"/>
  <c r="GC43" i="72"/>
  <c r="GB43" i="72"/>
  <c r="GA43" i="72"/>
  <c r="FZ43" i="72"/>
  <c r="FY43" i="72"/>
  <c r="FW43" i="72"/>
  <c r="FU43" i="72"/>
  <c r="FT43" i="72"/>
  <c r="FS43" i="72"/>
  <c r="FQ43" i="72"/>
  <c r="FO43" i="72"/>
  <c r="FM43" i="72"/>
  <c r="FJ43" i="72"/>
  <c r="FI43" i="72"/>
  <c r="FH43" i="72"/>
  <c r="FG43" i="72"/>
  <c r="FF43" i="72"/>
  <c r="FE43" i="72"/>
  <c r="FD43" i="72"/>
  <c r="FC43" i="72"/>
  <c r="FB43" i="72"/>
  <c r="FA43" i="72"/>
  <c r="EX43" i="72"/>
  <c r="EW43" i="72"/>
  <c r="ET43" i="72"/>
  <c r="ES43" i="72"/>
  <c r="EP43" i="72"/>
  <c r="EO43" i="72"/>
  <c r="EL43" i="72"/>
  <c r="EK43" i="72"/>
  <c r="EH43" i="72"/>
  <c r="EG43" i="72"/>
  <c r="ED43" i="72"/>
  <c r="EC43" i="72"/>
  <c r="EB43" i="72"/>
  <c r="EA43" i="72"/>
  <c r="DY43" i="72"/>
  <c r="DW43" i="72"/>
  <c r="DV43" i="72"/>
  <c r="DU43" i="72"/>
  <c r="DT43" i="72"/>
  <c r="DS43" i="72"/>
  <c r="DQ43" i="72"/>
  <c r="DO43" i="72"/>
  <c r="GP42" i="72"/>
  <c r="GN42" i="72"/>
  <c r="GM42" i="72"/>
  <c r="GL42" i="72"/>
  <c r="GK42" i="72"/>
  <c r="GJ42" i="72"/>
  <c r="GI42" i="72"/>
  <c r="GH42" i="72"/>
  <c r="GG42" i="72"/>
  <c r="GF42" i="72"/>
  <c r="GE42" i="72"/>
  <c r="GD42" i="72"/>
  <c r="GC42" i="72"/>
  <c r="GB42" i="72"/>
  <c r="GA42" i="72"/>
  <c r="FZ42" i="72"/>
  <c r="FY42" i="72"/>
  <c r="FW42" i="72"/>
  <c r="FU42" i="72"/>
  <c r="FT42" i="72"/>
  <c r="FS42" i="72"/>
  <c r="FQ42" i="72"/>
  <c r="FM42" i="72"/>
  <c r="FJ42" i="72"/>
  <c r="FI42" i="72"/>
  <c r="FH42" i="72"/>
  <c r="FG42" i="72"/>
  <c r="FF42" i="72"/>
  <c r="FE42" i="72"/>
  <c r="FD42" i="72"/>
  <c r="FC42" i="72"/>
  <c r="FB42" i="72"/>
  <c r="FA42" i="72"/>
  <c r="EX42" i="72"/>
  <c r="EW42" i="72"/>
  <c r="ET42" i="72"/>
  <c r="ES42" i="72"/>
  <c r="EP42" i="72"/>
  <c r="EO42" i="72"/>
  <c r="EL42" i="72"/>
  <c r="EK42" i="72"/>
  <c r="EH42" i="72"/>
  <c r="EG42" i="72"/>
  <c r="ED42" i="72"/>
  <c r="EC42" i="72"/>
  <c r="EB42" i="72"/>
  <c r="EA42" i="72"/>
  <c r="DY42" i="72"/>
  <c r="DW42" i="72"/>
  <c r="DV42" i="72"/>
  <c r="DU42" i="72"/>
  <c r="DT42" i="72"/>
  <c r="DS42" i="72"/>
  <c r="DQ42" i="72"/>
  <c r="DO42" i="72"/>
  <c r="GN41" i="72"/>
  <c r="GM41" i="72"/>
  <c r="GL41" i="72"/>
  <c r="GK41" i="72"/>
  <c r="GJ41" i="72"/>
  <c r="FQ41" i="72"/>
  <c r="ET41" i="72"/>
  <c r="ES41" i="72"/>
  <c r="EL41" i="72"/>
  <c r="EK41" i="72"/>
  <c r="EC41" i="72"/>
  <c r="EA41" i="72"/>
  <c r="DY41" i="72"/>
  <c r="DW41" i="72"/>
  <c r="DU41" i="72"/>
  <c r="DS41" i="72"/>
  <c r="DQ41" i="72"/>
  <c r="DO41" i="72"/>
  <c r="GN40" i="72"/>
  <c r="GM40" i="72"/>
  <c r="GL40" i="72"/>
  <c r="GK40" i="72"/>
  <c r="GJ40" i="72"/>
  <c r="FQ40" i="72"/>
  <c r="ET40" i="72"/>
  <c r="ES40" i="72"/>
  <c r="EL40" i="72"/>
  <c r="EK40" i="72"/>
  <c r="EC40" i="72"/>
  <c r="EA40" i="72"/>
  <c r="DY40" i="72"/>
  <c r="DW40" i="72"/>
  <c r="DU40" i="72"/>
  <c r="DS40" i="72"/>
  <c r="DQ40" i="72"/>
  <c r="DO40" i="72"/>
  <c r="GN39" i="72"/>
  <c r="GM39" i="72"/>
  <c r="GL39" i="72"/>
  <c r="GK39" i="72"/>
  <c r="GJ39" i="72"/>
  <c r="FQ39" i="72"/>
  <c r="ET39" i="72"/>
  <c r="ES39" i="72"/>
  <c r="EL39" i="72"/>
  <c r="EK39" i="72"/>
  <c r="EC39" i="72"/>
  <c r="EA39" i="72"/>
  <c r="DY39" i="72"/>
  <c r="DW39" i="72"/>
  <c r="DU39" i="72"/>
  <c r="DS39" i="72"/>
  <c r="DQ39" i="72"/>
  <c r="DO39" i="72"/>
  <c r="GP38" i="72"/>
  <c r="GN38" i="72"/>
  <c r="GM38" i="72"/>
  <c r="GL38" i="72"/>
  <c r="GK38" i="72"/>
  <c r="GJ38" i="72"/>
  <c r="GI38" i="72"/>
  <c r="GH38" i="72"/>
  <c r="GG38" i="72"/>
  <c r="GF38" i="72"/>
  <c r="GE38" i="72"/>
  <c r="GD38" i="72"/>
  <c r="GC38" i="72"/>
  <c r="GB38" i="72"/>
  <c r="GA38" i="72"/>
  <c r="FZ38" i="72"/>
  <c r="FY38" i="72"/>
  <c r="FW38" i="72"/>
  <c r="FU38" i="72"/>
  <c r="FT38" i="72"/>
  <c r="FS38" i="72"/>
  <c r="FQ38" i="72"/>
  <c r="FM38" i="72"/>
  <c r="FJ38" i="72"/>
  <c r="FI38" i="72"/>
  <c r="FH38" i="72"/>
  <c r="FG38" i="72"/>
  <c r="FF38" i="72"/>
  <c r="FE38" i="72"/>
  <c r="FD38" i="72"/>
  <c r="FC38" i="72"/>
  <c r="FB38" i="72"/>
  <c r="FA38" i="72"/>
  <c r="EZ38" i="72"/>
  <c r="EX38" i="72"/>
  <c r="EW38" i="72"/>
  <c r="EV38" i="72"/>
  <c r="ET38" i="72"/>
  <c r="ES38" i="72"/>
  <c r="ER38" i="72"/>
  <c r="EP38" i="72"/>
  <c r="EO38" i="72"/>
  <c r="EN38" i="72"/>
  <c r="EL38" i="72"/>
  <c r="EK38" i="72"/>
  <c r="EJ38" i="72"/>
  <c r="EH38" i="72"/>
  <c r="EG38" i="72"/>
  <c r="EF38" i="72"/>
  <c r="ED38" i="72"/>
  <c r="EC38" i="72"/>
  <c r="EB38" i="72"/>
  <c r="EA38" i="72"/>
  <c r="DZ38" i="72"/>
  <c r="DY38" i="72"/>
  <c r="DX38" i="72"/>
  <c r="DW38" i="72"/>
  <c r="DV38" i="72"/>
  <c r="DU38" i="72"/>
  <c r="DT38" i="72"/>
  <c r="DS38" i="72"/>
  <c r="DR38" i="72"/>
  <c r="DQ38" i="72"/>
  <c r="DP38" i="72"/>
  <c r="DO38" i="72"/>
  <c r="GP37" i="72"/>
  <c r="GN37" i="72"/>
  <c r="GM37" i="72"/>
  <c r="GL37" i="72"/>
  <c r="GK37" i="72"/>
  <c r="GJ37" i="72"/>
  <c r="GI37" i="72"/>
  <c r="GH37" i="72"/>
  <c r="GG37" i="72"/>
  <c r="GF37" i="72"/>
  <c r="GE37" i="72"/>
  <c r="GD37" i="72"/>
  <c r="GC37" i="72"/>
  <c r="GB37" i="72"/>
  <c r="GA37" i="72"/>
  <c r="FZ37" i="72"/>
  <c r="FY37" i="72"/>
  <c r="FW37" i="72"/>
  <c r="FU37" i="72"/>
  <c r="FT37" i="72"/>
  <c r="FS37" i="72"/>
  <c r="FQ37" i="72"/>
  <c r="FO37" i="72"/>
  <c r="FM37" i="72"/>
  <c r="FK37" i="72"/>
  <c r="FJ37" i="72"/>
  <c r="FI37" i="72"/>
  <c r="FH37" i="72"/>
  <c r="FG37" i="72"/>
  <c r="FF37" i="72"/>
  <c r="FE37" i="72"/>
  <c r="FD37" i="72"/>
  <c r="FC37" i="72"/>
  <c r="FB37" i="72"/>
  <c r="FA37" i="72"/>
  <c r="EZ37" i="72"/>
  <c r="EY37" i="72"/>
  <c r="EX37" i="72"/>
  <c r="EW37" i="72"/>
  <c r="EV37" i="72"/>
  <c r="EU37" i="72"/>
  <c r="ET37" i="72"/>
  <c r="ES37" i="72"/>
  <c r="ER37" i="72"/>
  <c r="EQ37" i="72"/>
  <c r="EP37" i="72"/>
  <c r="EO37" i="72"/>
  <c r="EN37" i="72"/>
  <c r="EM37" i="72"/>
  <c r="EL37" i="72"/>
  <c r="EK37" i="72"/>
  <c r="EJ37" i="72"/>
  <c r="EI37" i="72"/>
  <c r="EH37" i="72"/>
  <c r="EG37" i="72"/>
  <c r="EF37" i="72"/>
  <c r="EE37" i="72"/>
  <c r="ED37" i="72"/>
  <c r="EC37" i="72"/>
  <c r="EB37" i="72"/>
  <c r="EA37" i="72"/>
  <c r="DZ37" i="72"/>
  <c r="DY37" i="72"/>
  <c r="DX37" i="72"/>
  <c r="DW37" i="72"/>
  <c r="DV37" i="72"/>
  <c r="DU37" i="72"/>
  <c r="DT37" i="72"/>
  <c r="DS37" i="72"/>
  <c r="DR37" i="72"/>
  <c r="DQ37" i="72"/>
  <c r="DP37" i="72"/>
  <c r="DO37" i="72"/>
  <c r="GP36" i="72"/>
  <c r="GN36" i="72"/>
  <c r="GM36" i="72"/>
  <c r="GL36" i="72"/>
  <c r="GK36" i="72"/>
  <c r="GJ36" i="72"/>
  <c r="GI36" i="72"/>
  <c r="GH36" i="72"/>
  <c r="GG36" i="72"/>
  <c r="GF36" i="72"/>
  <c r="GE36" i="72"/>
  <c r="GD36" i="72"/>
  <c r="GC36" i="72"/>
  <c r="GB36" i="72"/>
  <c r="GA36" i="72"/>
  <c r="FZ36" i="72"/>
  <c r="FY36" i="72"/>
  <c r="FW36" i="72"/>
  <c r="FU36" i="72"/>
  <c r="FT36" i="72"/>
  <c r="FS36" i="72"/>
  <c r="FQ36" i="72"/>
  <c r="FO36" i="72"/>
  <c r="FM36" i="72"/>
  <c r="FK36" i="72"/>
  <c r="FJ36" i="72"/>
  <c r="FI36" i="72"/>
  <c r="FH36" i="72"/>
  <c r="FG36" i="72"/>
  <c r="FF36" i="72"/>
  <c r="FE36" i="72"/>
  <c r="FD36" i="72"/>
  <c r="FC36" i="72"/>
  <c r="FB36" i="72"/>
  <c r="FA36" i="72"/>
  <c r="EZ36" i="72"/>
  <c r="EY36" i="72"/>
  <c r="EX36" i="72"/>
  <c r="EW36" i="72"/>
  <c r="EV36" i="72"/>
  <c r="EU36" i="72"/>
  <c r="ET36" i="72"/>
  <c r="ES36" i="72"/>
  <c r="ER36" i="72"/>
  <c r="EQ36" i="72"/>
  <c r="EP36" i="72"/>
  <c r="EO36" i="72"/>
  <c r="EN36" i="72"/>
  <c r="EM36" i="72"/>
  <c r="EL36" i="72"/>
  <c r="EK36" i="72"/>
  <c r="EJ36" i="72"/>
  <c r="EI36" i="72"/>
  <c r="EH36" i="72"/>
  <c r="EG36" i="72"/>
  <c r="EF36" i="72"/>
  <c r="EE36" i="72"/>
  <c r="ED36" i="72"/>
  <c r="EC36" i="72"/>
  <c r="EB36" i="72"/>
  <c r="EA36" i="72"/>
  <c r="DZ36" i="72"/>
  <c r="DY36" i="72"/>
  <c r="DX36" i="72"/>
  <c r="DW36" i="72"/>
  <c r="DV36" i="72"/>
  <c r="DU36" i="72"/>
  <c r="DT36" i="72"/>
  <c r="DS36" i="72"/>
  <c r="DR36" i="72"/>
  <c r="DQ36" i="72"/>
  <c r="DP36" i="72"/>
  <c r="DO36" i="72"/>
  <c r="GP35" i="72"/>
  <c r="GN35" i="72"/>
  <c r="GM35" i="72"/>
  <c r="GL35" i="72"/>
  <c r="GK35" i="72"/>
  <c r="GJ35" i="72"/>
  <c r="GI35" i="72"/>
  <c r="GH35" i="72"/>
  <c r="GG35" i="72"/>
  <c r="GF35" i="72"/>
  <c r="GE35" i="72"/>
  <c r="GD35" i="72"/>
  <c r="GC35" i="72"/>
  <c r="GB35" i="72"/>
  <c r="GA35" i="72"/>
  <c r="FZ35" i="72"/>
  <c r="FY35" i="72"/>
  <c r="FW35" i="72"/>
  <c r="FU35" i="72"/>
  <c r="FT35" i="72"/>
  <c r="FS35" i="72"/>
  <c r="FQ35" i="72"/>
  <c r="FM35" i="72"/>
  <c r="FK35" i="72"/>
  <c r="FJ35" i="72"/>
  <c r="FI35" i="72"/>
  <c r="FH35" i="72"/>
  <c r="FG35" i="72"/>
  <c r="FF35" i="72"/>
  <c r="FE35" i="72"/>
  <c r="FD35" i="72"/>
  <c r="FC35" i="72"/>
  <c r="FB35" i="72"/>
  <c r="FA35" i="72"/>
  <c r="EX35" i="72"/>
  <c r="EW35" i="72"/>
  <c r="ET35" i="72"/>
  <c r="ES35" i="72"/>
  <c r="EP35" i="72"/>
  <c r="EO35" i="72"/>
  <c r="EM35" i="72"/>
  <c r="EL35" i="72"/>
  <c r="EK35" i="72"/>
  <c r="EH35" i="72"/>
  <c r="EG35" i="72"/>
  <c r="EE35" i="72"/>
  <c r="ED35" i="72"/>
  <c r="EC35" i="72"/>
  <c r="EB35" i="72"/>
  <c r="EA35" i="72"/>
  <c r="DY35" i="72"/>
  <c r="DW35" i="72"/>
  <c r="DV35" i="72"/>
  <c r="DU35" i="72"/>
  <c r="DT35" i="72"/>
  <c r="DS35" i="72"/>
  <c r="DQ35" i="72"/>
  <c r="DO35" i="72"/>
  <c r="GN34" i="72"/>
  <c r="GM34" i="72"/>
  <c r="GL34" i="72"/>
  <c r="GK34" i="72"/>
  <c r="GJ34" i="72"/>
  <c r="FQ34" i="72"/>
  <c r="ET34" i="72"/>
  <c r="ES34" i="72"/>
  <c r="EL34" i="72"/>
  <c r="EK34" i="72"/>
  <c r="EC34" i="72"/>
  <c r="EA34" i="72"/>
  <c r="DY34" i="72"/>
  <c r="DW34" i="72"/>
  <c r="DU34" i="72"/>
  <c r="DS34" i="72"/>
  <c r="DQ34" i="72"/>
  <c r="DO34" i="72"/>
  <c r="GN33" i="72"/>
  <c r="GM33" i="72"/>
  <c r="GL33" i="72"/>
  <c r="GK33" i="72"/>
  <c r="GJ33" i="72"/>
  <c r="FQ33" i="72"/>
  <c r="ET33" i="72"/>
  <c r="ES33" i="72"/>
  <c r="EL33" i="72"/>
  <c r="EK33" i="72"/>
  <c r="EC33" i="72"/>
  <c r="EA33" i="72"/>
  <c r="DY33" i="72"/>
  <c r="DW33" i="72"/>
  <c r="DU33" i="72"/>
  <c r="DS33" i="72"/>
  <c r="DQ33" i="72"/>
  <c r="DO33" i="72"/>
  <c r="GN32" i="72"/>
  <c r="GM32" i="72"/>
  <c r="GL32" i="72"/>
  <c r="GK32" i="72"/>
  <c r="GJ32" i="72"/>
  <c r="FQ32" i="72"/>
  <c r="ET32" i="72"/>
  <c r="ES32" i="72"/>
  <c r="EL32" i="72"/>
  <c r="EK32" i="72"/>
  <c r="EC32" i="72"/>
  <c r="EA32" i="72"/>
  <c r="DY32" i="72"/>
  <c r="DW32" i="72"/>
  <c r="DU32" i="72"/>
  <c r="DS32" i="72"/>
  <c r="DQ32" i="72"/>
  <c r="DO32" i="72"/>
  <c r="GP31" i="72"/>
  <c r="GN31" i="72"/>
  <c r="GM31" i="72"/>
  <c r="GL31" i="72"/>
  <c r="GK31" i="72"/>
  <c r="GJ31" i="72"/>
  <c r="GI31" i="72"/>
  <c r="GH31" i="72"/>
  <c r="GG31" i="72"/>
  <c r="GF31" i="72"/>
  <c r="GE31" i="72"/>
  <c r="GD31" i="72"/>
  <c r="GC31" i="72"/>
  <c r="GB31" i="72"/>
  <c r="GA31" i="72"/>
  <c r="FZ31" i="72"/>
  <c r="FY31" i="72"/>
  <c r="FW31" i="72"/>
  <c r="FU31" i="72"/>
  <c r="FT31" i="72"/>
  <c r="FS31" i="72"/>
  <c r="FQ31" i="72"/>
  <c r="FO31" i="72"/>
  <c r="FM31" i="72"/>
  <c r="FK31" i="72"/>
  <c r="FJ31" i="72"/>
  <c r="FI31" i="72"/>
  <c r="FH31" i="72"/>
  <c r="FG31" i="72"/>
  <c r="FF31" i="72"/>
  <c r="FE31" i="72"/>
  <c r="FD31" i="72"/>
  <c r="FC31" i="72"/>
  <c r="FB31" i="72"/>
  <c r="FA31" i="72"/>
  <c r="EZ31" i="72"/>
  <c r="EY31" i="72"/>
  <c r="EX31" i="72"/>
  <c r="EW31" i="72"/>
  <c r="ET31" i="72"/>
  <c r="ES31" i="72"/>
  <c r="EQ31" i="72"/>
  <c r="EP31" i="72"/>
  <c r="EO31" i="72"/>
  <c r="EN31" i="72"/>
  <c r="EM31" i="72"/>
  <c r="EL31" i="72"/>
  <c r="EK31" i="72"/>
  <c r="EI31" i="72"/>
  <c r="EH31" i="72"/>
  <c r="EG31" i="72"/>
  <c r="EF31" i="72"/>
  <c r="EE31" i="72"/>
  <c r="ED31" i="72"/>
  <c r="EC31" i="72"/>
  <c r="EB31" i="72"/>
  <c r="EA31" i="72"/>
  <c r="DY31" i="72"/>
  <c r="DW31" i="72"/>
  <c r="DV31" i="72"/>
  <c r="DU31" i="72"/>
  <c r="DT31" i="72"/>
  <c r="DS31" i="72"/>
  <c r="DQ31" i="72"/>
  <c r="DO31" i="72"/>
  <c r="GP30" i="72"/>
  <c r="GN30" i="72"/>
  <c r="GM30" i="72"/>
  <c r="GL30" i="72"/>
  <c r="GK30" i="72"/>
  <c r="GJ30" i="72"/>
  <c r="GI30" i="72"/>
  <c r="GH30" i="72"/>
  <c r="GG30" i="72"/>
  <c r="GF30" i="72"/>
  <c r="GE30" i="72"/>
  <c r="GD30" i="72"/>
  <c r="GC30" i="72"/>
  <c r="GB30" i="72"/>
  <c r="GA30" i="72"/>
  <c r="FZ30" i="72"/>
  <c r="FY30" i="72"/>
  <c r="FW30" i="72"/>
  <c r="FU30" i="72"/>
  <c r="FT30" i="72"/>
  <c r="FS30" i="72"/>
  <c r="FQ30" i="72"/>
  <c r="FO30" i="72"/>
  <c r="FM30" i="72"/>
  <c r="FJ30" i="72"/>
  <c r="FI30" i="72"/>
  <c r="FH30" i="72"/>
  <c r="FG30" i="72"/>
  <c r="FF30" i="72"/>
  <c r="FE30" i="72"/>
  <c r="FD30" i="72"/>
  <c r="FC30" i="72"/>
  <c r="FB30" i="72"/>
  <c r="FA30" i="72"/>
  <c r="EZ30" i="72"/>
  <c r="EY30" i="72"/>
  <c r="EX30" i="72"/>
  <c r="EW30" i="72"/>
  <c r="EV30" i="72"/>
  <c r="EU30" i="72"/>
  <c r="ET30" i="72"/>
  <c r="ES30" i="72"/>
  <c r="ER30" i="72"/>
  <c r="EQ30" i="72"/>
  <c r="EP30" i="72"/>
  <c r="EO30" i="72"/>
  <c r="EN30" i="72"/>
  <c r="EM30" i="72"/>
  <c r="EL30" i="72"/>
  <c r="EK30" i="72"/>
  <c r="EJ30" i="72"/>
  <c r="EI30" i="72"/>
  <c r="EH30" i="72"/>
  <c r="EG30" i="72"/>
  <c r="EF30" i="72"/>
  <c r="EE30" i="72"/>
  <c r="ED30" i="72"/>
  <c r="EC30" i="72"/>
  <c r="EB30" i="72"/>
  <c r="EA30" i="72"/>
  <c r="DZ30" i="72"/>
  <c r="DY30" i="72"/>
  <c r="DX30" i="72"/>
  <c r="DW30" i="72"/>
  <c r="DV30" i="72"/>
  <c r="DU30" i="72"/>
  <c r="DT30" i="72"/>
  <c r="DS30" i="72"/>
  <c r="DR30" i="72"/>
  <c r="DQ30" i="72"/>
  <c r="DP30" i="72"/>
  <c r="DO30" i="72"/>
  <c r="GP29" i="72"/>
  <c r="GN29" i="72"/>
  <c r="GM29" i="72"/>
  <c r="GL29" i="72"/>
  <c r="GK29" i="72"/>
  <c r="GJ29" i="72"/>
  <c r="GI29" i="72"/>
  <c r="GH29" i="72"/>
  <c r="GG29" i="72"/>
  <c r="GF29" i="72"/>
  <c r="GE29" i="72"/>
  <c r="GD29" i="72"/>
  <c r="GC29" i="72"/>
  <c r="GB29" i="72"/>
  <c r="GA29" i="72"/>
  <c r="FZ29" i="72"/>
  <c r="FY29" i="72"/>
  <c r="FW29" i="72"/>
  <c r="FU29" i="72"/>
  <c r="FT29" i="72"/>
  <c r="FS29" i="72"/>
  <c r="FQ29" i="72"/>
  <c r="FO29" i="72"/>
  <c r="FM29" i="72"/>
  <c r="FK29" i="72"/>
  <c r="FJ29" i="72"/>
  <c r="FI29" i="72"/>
  <c r="FH29" i="72"/>
  <c r="FG29" i="72"/>
  <c r="FF29" i="72"/>
  <c r="FE29" i="72"/>
  <c r="FD29" i="72"/>
  <c r="FC29" i="72"/>
  <c r="FB29" i="72"/>
  <c r="FA29" i="72"/>
  <c r="EZ29" i="72"/>
  <c r="EY29" i="72"/>
  <c r="EX29" i="72"/>
  <c r="EW29" i="72"/>
  <c r="EV29" i="72"/>
  <c r="EU29" i="72"/>
  <c r="ET29" i="72"/>
  <c r="ES29" i="72"/>
  <c r="ER29" i="72"/>
  <c r="EQ29" i="72"/>
  <c r="EP29" i="72"/>
  <c r="EO29" i="72"/>
  <c r="EN29" i="72"/>
  <c r="EM29" i="72"/>
  <c r="EL29" i="72"/>
  <c r="EK29" i="72"/>
  <c r="EJ29" i="72"/>
  <c r="EI29" i="72"/>
  <c r="EH29" i="72"/>
  <c r="EG29" i="72"/>
  <c r="EF29" i="72"/>
  <c r="EE29" i="72"/>
  <c r="ED29" i="72"/>
  <c r="EC29" i="72"/>
  <c r="EB29" i="72"/>
  <c r="EA29" i="72"/>
  <c r="DZ29" i="72"/>
  <c r="DY29" i="72"/>
  <c r="DX29" i="72"/>
  <c r="DW29" i="72"/>
  <c r="DV29" i="72"/>
  <c r="DU29" i="72"/>
  <c r="DT29" i="72"/>
  <c r="DS29" i="72"/>
  <c r="DR29" i="72"/>
  <c r="DQ29" i="72"/>
  <c r="DP29" i="72"/>
  <c r="DO29" i="72"/>
  <c r="GP28" i="72"/>
  <c r="GN28" i="72"/>
  <c r="GM28" i="72"/>
  <c r="GL28" i="72"/>
  <c r="GK28" i="72"/>
  <c r="GJ28" i="72"/>
  <c r="GI28" i="72"/>
  <c r="GH28" i="72"/>
  <c r="GG28" i="72"/>
  <c r="GF28" i="72"/>
  <c r="GE28" i="72"/>
  <c r="GD28" i="72"/>
  <c r="GC28" i="72"/>
  <c r="GB28" i="72"/>
  <c r="GA28" i="72"/>
  <c r="FZ28" i="72"/>
  <c r="FY28" i="72"/>
  <c r="FW28" i="72"/>
  <c r="FU28" i="72"/>
  <c r="FT28" i="72"/>
  <c r="FS28" i="72"/>
  <c r="FQ28" i="72"/>
  <c r="FM28" i="72"/>
  <c r="FJ28" i="72"/>
  <c r="FI28" i="72"/>
  <c r="FH28" i="72"/>
  <c r="FG28" i="72"/>
  <c r="FF28" i="72"/>
  <c r="FE28" i="72"/>
  <c r="FD28" i="72"/>
  <c r="FC28" i="72"/>
  <c r="FB28" i="72"/>
  <c r="FA28" i="72"/>
  <c r="EX28" i="72"/>
  <c r="EW28" i="72"/>
  <c r="ET28" i="72"/>
  <c r="ES28" i="72"/>
  <c r="EP28" i="72"/>
  <c r="EO28" i="72"/>
  <c r="EL28" i="72"/>
  <c r="EK28" i="72"/>
  <c r="EH28" i="72"/>
  <c r="EG28" i="72"/>
  <c r="ED28" i="72"/>
  <c r="EC28" i="72"/>
  <c r="EB28" i="72"/>
  <c r="EA28" i="72"/>
  <c r="DY28" i="72"/>
  <c r="DW28" i="72"/>
  <c r="DV28" i="72"/>
  <c r="DU28" i="72"/>
  <c r="DT28" i="72"/>
  <c r="DS28" i="72"/>
  <c r="DQ28" i="72"/>
  <c r="DO28" i="72"/>
  <c r="GN27" i="72"/>
  <c r="GM27" i="72"/>
  <c r="GL27" i="72"/>
  <c r="GK27" i="72"/>
  <c r="GJ27" i="72"/>
  <c r="FQ27" i="72"/>
  <c r="ET27" i="72"/>
  <c r="ES27" i="72"/>
  <c r="EL27" i="72"/>
  <c r="EK27" i="72"/>
  <c r="EC27" i="72"/>
  <c r="EA27" i="72"/>
  <c r="DY27" i="72"/>
  <c r="DW27" i="72"/>
  <c r="DU27" i="72"/>
  <c r="DS27" i="72"/>
  <c r="DQ27" i="72"/>
  <c r="DO27" i="72"/>
  <c r="GN26" i="72"/>
  <c r="GM26" i="72"/>
  <c r="GL26" i="72"/>
  <c r="GK26" i="72"/>
  <c r="GJ26" i="72"/>
  <c r="FQ26" i="72"/>
  <c r="ET26" i="72"/>
  <c r="ES26" i="72"/>
  <c r="EL26" i="72"/>
  <c r="EK26" i="72"/>
  <c r="EC26" i="72"/>
  <c r="EA26" i="72"/>
  <c r="DY26" i="72"/>
  <c r="DW26" i="72"/>
  <c r="DU26" i="72"/>
  <c r="DS26" i="72"/>
  <c r="DQ26" i="72"/>
  <c r="DO26" i="72"/>
  <c r="GN25" i="72"/>
  <c r="GM25" i="72"/>
  <c r="GL25" i="72"/>
  <c r="GK25" i="72"/>
  <c r="GJ25" i="72"/>
  <c r="FQ25" i="72"/>
  <c r="ET25" i="72"/>
  <c r="ES25" i="72"/>
  <c r="EL25" i="72"/>
  <c r="EK25" i="72"/>
  <c r="EC25" i="72"/>
  <c r="EA25" i="72"/>
  <c r="DY25" i="72"/>
  <c r="DW25" i="72"/>
  <c r="DU25" i="72"/>
  <c r="DS25" i="72"/>
  <c r="DQ25" i="72"/>
  <c r="DO25" i="72"/>
  <c r="GP24" i="72"/>
  <c r="GN24" i="72"/>
  <c r="GM24" i="72"/>
  <c r="GL24" i="72"/>
  <c r="GK24" i="72"/>
  <c r="GJ24" i="72"/>
  <c r="GI24" i="72"/>
  <c r="GH24" i="72"/>
  <c r="GG24" i="72"/>
  <c r="GF24" i="72"/>
  <c r="GE24" i="72"/>
  <c r="GD24" i="72"/>
  <c r="GC24" i="72"/>
  <c r="GB24" i="72"/>
  <c r="GA24" i="72"/>
  <c r="FZ24" i="72"/>
  <c r="FY24" i="72"/>
  <c r="FW24" i="72"/>
  <c r="FU24" i="72"/>
  <c r="FT24" i="72"/>
  <c r="FS24" i="72"/>
  <c r="FQ24" i="72"/>
  <c r="FO24" i="72"/>
  <c r="FM24" i="72"/>
  <c r="FK24" i="72"/>
  <c r="FJ24" i="72"/>
  <c r="FI24" i="72"/>
  <c r="FH24" i="72"/>
  <c r="FG24" i="72"/>
  <c r="FF24" i="72"/>
  <c r="FE24" i="72"/>
  <c r="FD24" i="72"/>
  <c r="FC24" i="72"/>
  <c r="FB24" i="72"/>
  <c r="FA24" i="72"/>
  <c r="EZ24" i="72"/>
  <c r="EY24" i="72"/>
  <c r="EX24" i="72"/>
  <c r="EW24" i="72"/>
  <c r="EV24" i="72"/>
  <c r="EU24" i="72"/>
  <c r="ET24" i="72"/>
  <c r="ES24" i="72"/>
  <c r="ER24" i="72"/>
  <c r="EQ24" i="72"/>
  <c r="EP24" i="72"/>
  <c r="EO24" i="72"/>
  <c r="EN24" i="72"/>
  <c r="EM24" i="72"/>
  <c r="EL24" i="72"/>
  <c r="EK24" i="72"/>
  <c r="EJ24" i="72"/>
  <c r="EI24" i="72"/>
  <c r="EH24" i="72"/>
  <c r="EG24" i="72"/>
  <c r="EF24" i="72"/>
  <c r="EE24" i="72"/>
  <c r="ED24" i="72"/>
  <c r="EC24" i="72"/>
  <c r="EB24" i="72"/>
  <c r="EA24" i="72"/>
  <c r="DZ24" i="72"/>
  <c r="DY24" i="72"/>
  <c r="DX24" i="72"/>
  <c r="DW24" i="72"/>
  <c r="DV24" i="72"/>
  <c r="DU24" i="72"/>
  <c r="DT24" i="72"/>
  <c r="DS24" i="72"/>
  <c r="DR24" i="72"/>
  <c r="DQ24" i="72"/>
  <c r="DP24" i="72"/>
  <c r="DO24" i="72"/>
  <c r="GP23" i="72"/>
  <c r="GN23" i="72"/>
  <c r="GM23" i="72"/>
  <c r="GL23" i="72"/>
  <c r="GK23" i="72"/>
  <c r="GJ23" i="72"/>
  <c r="GI23" i="72"/>
  <c r="GH23" i="72"/>
  <c r="GG23" i="72"/>
  <c r="GF23" i="72"/>
  <c r="GE23" i="72"/>
  <c r="GD23" i="72"/>
  <c r="GC23" i="72"/>
  <c r="GB23" i="72"/>
  <c r="GA23" i="72"/>
  <c r="FZ23" i="72"/>
  <c r="FY23" i="72"/>
  <c r="FW23" i="72"/>
  <c r="FU23" i="72"/>
  <c r="FT23" i="72"/>
  <c r="FS23" i="72"/>
  <c r="FQ23" i="72"/>
  <c r="FO23" i="72"/>
  <c r="FM23" i="72"/>
  <c r="FK23" i="72"/>
  <c r="FJ23" i="72"/>
  <c r="FI23" i="72"/>
  <c r="FH23" i="72"/>
  <c r="FG23" i="72"/>
  <c r="FF23" i="72"/>
  <c r="FE23" i="72"/>
  <c r="FD23" i="72"/>
  <c r="FC23" i="72"/>
  <c r="FB23" i="72"/>
  <c r="FA23" i="72"/>
  <c r="EZ23" i="72"/>
  <c r="EY23" i="72"/>
  <c r="EX23" i="72"/>
  <c r="EW23" i="72"/>
  <c r="EV23" i="72"/>
  <c r="EU23" i="72"/>
  <c r="ET23" i="72"/>
  <c r="ES23" i="72"/>
  <c r="ER23" i="72"/>
  <c r="EQ23" i="72"/>
  <c r="EP23" i="72"/>
  <c r="EO23" i="72"/>
  <c r="EN23" i="72"/>
  <c r="EM23" i="72"/>
  <c r="EL23" i="72"/>
  <c r="EK23" i="72"/>
  <c r="EJ23" i="72"/>
  <c r="EI23" i="72"/>
  <c r="EH23" i="72"/>
  <c r="EG23" i="72"/>
  <c r="EF23" i="72"/>
  <c r="EE23" i="72"/>
  <c r="ED23" i="72"/>
  <c r="EC23" i="72"/>
  <c r="EB23" i="72"/>
  <c r="EA23" i="72"/>
  <c r="DZ23" i="72"/>
  <c r="DY23" i="72"/>
  <c r="DX23" i="72"/>
  <c r="DW23" i="72"/>
  <c r="DV23" i="72"/>
  <c r="DU23" i="72"/>
  <c r="DT23" i="72"/>
  <c r="DS23" i="72"/>
  <c r="DR23" i="72"/>
  <c r="DQ23" i="72"/>
  <c r="DP23" i="72"/>
  <c r="DO23" i="72"/>
  <c r="GP22" i="72"/>
  <c r="GN22" i="72"/>
  <c r="GM22" i="72"/>
  <c r="GL22" i="72"/>
  <c r="GK22" i="72"/>
  <c r="GJ22" i="72"/>
  <c r="GI22" i="72"/>
  <c r="GH22" i="72"/>
  <c r="GG22" i="72"/>
  <c r="GF22" i="72"/>
  <c r="GE22" i="72"/>
  <c r="GD22" i="72"/>
  <c r="GC22" i="72"/>
  <c r="GB22" i="72"/>
  <c r="GA22" i="72"/>
  <c r="FZ22" i="72"/>
  <c r="FY22" i="72"/>
  <c r="FW22" i="72"/>
  <c r="FU22" i="72"/>
  <c r="FT22" i="72"/>
  <c r="FS22" i="72"/>
  <c r="FQ22" i="72"/>
  <c r="FO22" i="72"/>
  <c r="FM22" i="72"/>
  <c r="FK22" i="72"/>
  <c r="FJ22" i="72"/>
  <c r="FI22" i="72"/>
  <c r="FH22" i="72"/>
  <c r="FG22" i="72"/>
  <c r="FF22" i="72"/>
  <c r="FE22" i="72"/>
  <c r="FD22" i="72"/>
  <c r="FC22" i="72"/>
  <c r="FB22" i="72"/>
  <c r="FA22" i="72"/>
  <c r="EZ22" i="72"/>
  <c r="EY22" i="72"/>
  <c r="EX22" i="72"/>
  <c r="EW22" i="72"/>
  <c r="EV22" i="72"/>
  <c r="EU22" i="72"/>
  <c r="ET22" i="72"/>
  <c r="ES22" i="72"/>
  <c r="ER22" i="72"/>
  <c r="EQ22" i="72"/>
  <c r="EP22" i="72"/>
  <c r="EO22" i="72"/>
  <c r="EN22" i="72"/>
  <c r="EM22" i="72"/>
  <c r="EL22" i="72"/>
  <c r="EK22" i="72"/>
  <c r="EJ22" i="72"/>
  <c r="EI22" i="72"/>
  <c r="EH22" i="72"/>
  <c r="EG22" i="72"/>
  <c r="EF22" i="72"/>
  <c r="EE22" i="72"/>
  <c r="ED22" i="72"/>
  <c r="EC22" i="72"/>
  <c r="EB22" i="72"/>
  <c r="EA22" i="72"/>
  <c r="DZ22" i="72"/>
  <c r="DY22" i="72"/>
  <c r="DX22" i="72"/>
  <c r="DW22" i="72"/>
  <c r="DV22" i="72"/>
  <c r="DU22" i="72"/>
  <c r="DT22" i="72"/>
  <c r="DS22" i="72"/>
  <c r="DR22" i="72"/>
  <c r="DQ22" i="72"/>
  <c r="DP22" i="72"/>
  <c r="DO22" i="72"/>
  <c r="GP21" i="72"/>
  <c r="GN21" i="72"/>
  <c r="GM21" i="72"/>
  <c r="GL21" i="72"/>
  <c r="GK21" i="72"/>
  <c r="GJ21" i="72"/>
  <c r="GI21" i="72"/>
  <c r="GH21" i="72"/>
  <c r="GG21" i="72"/>
  <c r="GF21" i="72"/>
  <c r="GE21" i="72"/>
  <c r="GD21" i="72"/>
  <c r="GC21" i="72"/>
  <c r="GB21" i="72"/>
  <c r="GA21" i="72"/>
  <c r="FZ21" i="72"/>
  <c r="FY21" i="72"/>
  <c r="FW21" i="72"/>
  <c r="FU21" i="72"/>
  <c r="FT21" i="72"/>
  <c r="FS21" i="72"/>
  <c r="FQ21" i="72"/>
  <c r="FO21" i="72"/>
  <c r="FM21" i="72"/>
  <c r="FK21" i="72"/>
  <c r="FJ21" i="72"/>
  <c r="FI21" i="72"/>
  <c r="FH21" i="72"/>
  <c r="FG21" i="72"/>
  <c r="FF21" i="72"/>
  <c r="FE21" i="72"/>
  <c r="FD21" i="72"/>
  <c r="FC21" i="72"/>
  <c r="FB21" i="72"/>
  <c r="FA21" i="72"/>
  <c r="EZ21" i="72"/>
  <c r="EY21" i="72"/>
  <c r="EX21" i="72"/>
  <c r="EW21" i="72"/>
  <c r="EV21" i="72"/>
  <c r="EU21" i="72"/>
  <c r="ET21" i="72"/>
  <c r="ES21" i="72"/>
  <c r="ER21" i="72"/>
  <c r="EQ21" i="72"/>
  <c r="EP21" i="72"/>
  <c r="EO21" i="72"/>
  <c r="EN21" i="72"/>
  <c r="EM21" i="72"/>
  <c r="EL21" i="72"/>
  <c r="EK21" i="72"/>
  <c r="EJ21" i="72"/>
  <c r="EI21" i="72"/>
  <c r="EH21" i="72"/>
  <c r="EG21" i="72"/>
  <c r="EF21" i="72"/>
  <c r="EE21" i="72"/>
  <c r="ED21" i="72"/>
  <c r="EC21" i="72"/>
  <c r="EB21" i="72"/>
  <c r="EA21" i="72"/>
  <c r="DZ21" i="72"/>
  <c r="DY21" i="72"/>
  <c r="DX21" i="72"/>
  <c r="DW21" i="72"/>
  <c r="DV21" i="72"/>
  <c r="DU21" i="72"/>
  <c r="DT21" i="72"/>
  <c r="DS21" i="72"/>
  <c r="DR21" i="72"/>
  <c r="DQ21" i="72"/>
  <c r="DP21" i="72"/>
  <c r="DO21" i="72"/>
  <c r="GN20" i="72"/>
  <c r="GM20" i="72"/>
  <c r="GL20" i="72"/>
  <c r="GK20" i="72"/>
  <c r="GJ20" i="72"/>
  <c r="FQ20" i="72"/>
  <c r="ET20" i="72"/>
  <c r="ES20" i="72"/>
  <c r="EL20" i="72"/>
  <c r="EK20" i="72"/>
  <c r="EC20" i="72"/>
  <c r="EA20" i="72"/>
  <c r="DY20" i="72"/>
  <c r="DW20" i="72"/>
  <c r="DU20" i="72"/>
  <c r="DS20" i="72"/>
  <c r="DQ20" i="72"/>
  <c r="DO20" i="72"/>
  <c r="GN19" i="72"/>
  <c r="GM19" i="72"/>
  <c r="GL19" i="72"/>
  <c r="GK19" i="72"/>
  <c r="GJ19" i="72"/>
  <c r="FQ19" i="72"/>
  <c r="ET19" i="72"/>
  <c r="ES19" i="72"/>
  <c r="EL19" i="72"/>
  <c r="EK19" i="72"/>
  <c r="EC19" i="72"/>
  <c r="EA19" i="72"/>
  <c r="DY19" i="72"/>
  <c r="DW19" i="72"/>
  <c r="DU19" i="72"/>
  <c r="DS19" i="72"/>
  <c r="DQ19" i="72"/>
  <c r="DO19" i="72"/>
  <c r="GN18" i="72"/>
  <c r="GM18" i="72"/>
  <c r="GL18" i="72"/>
  <c r="GK18" i="72"/>
  <c r="GJ18" i="72"/>
  <c r="FQ18" i="72"/>
  <c r="ET18" i="72"/>
  <c r="ES18" i="72"/>
  <c r="EL18" i="72"/>
  <c r="EK18" i="72"/>
  <c r="EC18" i="72"/>
  <c r="EA18" i="72"/>
  <c r="DY18" i="72"/>
  <c r="DW18" i="72"/>
  <c r="DU18" i="72"/>
  <c r="DS18" i="72"/>
  <c r="DQ18" i="72"/>
  <c r="DO18" i="72"/>
  <c r="GP17" i="72"/>
  <c r="GN17" i="72"/>
  <c r="GM17" i="72"/>
  <c r="GL17" i="72"/>
  <c r="GK17" i="72"/>
  <c r="GJ17" i="72"/>
  <c r="GI17" i="72"/>
  <c r="GH17" i="72"/>
  <c r="GG17" i="72"/>
  <c r="GF17" i="72"/>
  <c r="GE17" i="72"/>
  <c r="GD17" i="72"/>
  <c r="GC17" i="72"/>
  <c r="GB17" i="72"/>
  <c r="GA17" i="72"/>
  <c r="FZ17" i="72"/>
  <c r="FY17" i="72"/>
  <c r="FW17" i="72"/>
  <c r="FU17" i="72"/>
  <c r="FT17" i="72"/>
  <c r="FS17" i="72"/>
  <c r="FQ17" i="72"/>
  <c r="FM17" i="72"/>
  <c r="FK17" i="72"/>
  <c r="FJ17" i="72"/>
  <c r="FI17" i="72"/>
  <c r="FH17" i="72"/>
  <c r="FG17" i="72"/>
  <c r="FF17" i="72"/>
  <c r="FE17" i="72"/>
  <c r="FD17" i="72"/>
  <c r="FC17" i="72"/>
  <c r="FB17" i="72"/>
  <c r="FA17" i="72"/>
  <c r="EZ17" i="72"/>
  <c r="EY17" i="72"/>
  <c r="EX17" i="72"/>
  <c r="EW17" i="72"/>
  <c r="EV17" i="72"/>
  <c r="EU17" i="72"/>
  <c r="ET17" i="72"/>
  <c r="ES17" i="72"/>
  <c r="ER17" i="72"/>
  <c r="EQ17" i="72"/>
  <c r="EP17" i="72"/>
  <c r="EO17" i="72"/>
  <c r="EN17" i="72"/>
  <c r="EM17" i="72"/>
  <c r="EL17" i="72"/>
  <c r="EK17" i="72"/>
  <c r="EJ17" i="72"/>
  <c r="EI17" i="72"/>
  <c r="EH17" i="72"/>
  <c r="EG17" i="72"/>
  <c r="EF17" i="72"/>
  <c r="EE17" i="72"/>
  <c r="ED17" i="72"/>
  <c r="EC17" i="72"/>
  <c r="EB17" i="72"/>
  <c r="EA17" i="72"/>
  <c r="DY17" i="72"/>
  <c r="DX17" i="72"/>
  <c r="DW17" i="72"/>
  <c r="DV17" i="72"/>
  <c r="DU17" i="72"/>
  <c r="DT17" i="72"/>
  <c r="DS17" i="72"/>
  <c r="DQ17" i="72"/>
  <c r="DP17" i="72"/>
  <c r="DO17" i="72"/>
  <c r="GP16" i="72"/>
  <c r="GN16" i="72"/>
  <c r="GM16" i="72"/>
  <c r="GL16" i="72"/>
  <c r="GK16" i="72"/>
  <c r="GJ16" i="72"/>
  <c r="GI16" i="72"/>
  <c r="GH16" i="72"/>
  <c r="GG16" i="72"/>
  <c r="GF16" i="72"/>
  <c r="GE16" i="72"/>
  <c r="GD16" i="72"/>
  <c r="GC16" i="72"/>
  <c r="GB16" i="72"/>
  <c r="GA16" i="72"/>
  <c r="FZ16" i="72"/>
  <c r="FY16" i="72"/>
  <c r="FW16" i="72"/>
  <c r="FU16" i="72"/>
  <c r="FT16" i="72"/>
  <c r="FS16" i="72"/>
  <c r="FQ16" i="72"/>
  <c r="FO16" i="72"/>
  <c r="FM16" i="72"/>
  <c r="FK16" i="72"/>
  <c r="FJ16" i="72"/>
  <c r="FI16" i="72"/>
  <c r="FH16" i="72"/>
  <c r="FG16" i="72"/>
  <c r="FF16" i="72"/>
  <c r="FE16" i="72"/>
  <c r="FD16" i="72"/>
  <c r="FC16" i="72"/>
  <c r="FB16" i="72"/>
  <c r="FA16" i="72"/>
  <c r="EZ16" i="72"/>
  <c r="EY16" i="72"/>
  <c r="EX16" i="72"/>
  <c r="EW16" i="72"/>
  <c r="EV16" i="72"/>
  <c r="EU16" i="72"/>
  <c r="ET16" i="72"/>
  <c r="ES16" i="72"/>
  <c r="ER16" i="72"/>
  <c r="EQ16" i="72"/>
  <c r="EP16" i="72"/>
  <c r="EO16" i="72"/>
  <c r="EN16" i="72"/>
  <c r="EM16" i="72"/>
  <c r="EL16" i="72"/>
  <c r="EK16" i="72"/>
  <c r="EJ16" i="72"/>
  <c r="EI16" i="72"/>
  <c r="EH16" i="72"/>
  <c r="EG16" i="72"/>
  <c r="EF16" i="72"/>
  <c r="EE16" i="72"/>
  <c r="ED16" i="72"/>
  <c r="EC16" i="72"/>
  <c r="EB16" i="72"/>
  <c r="EA16" i="72"/>
  <c r="DZ16" i="72"/>
  <c r="DY16" i="72"/>
  <c r="DX16" i="72"/>
  <c r="DW16" i="72"/>
  <c r="DV16" i="72"/>
  <c r="DU16" i="72"/>
  <c r="DT16" i="72"/>
  <c r="DS16" i="72"/>
  <c r="DR16" i="72"/>
  <c r="DQ16" i="72"/>
  <c r="DP16" i="72"/>
  <c r="DO16" i="72"/>
  <c r="GP15" i="72"/>
  <c r="GN15" i="72"/>
  <c r="GM15" i="72"/>
  <c r="GL15" i="72"/>
  <c r="GK15" i="72"/>
  <c r="GJ15" i="72"/>
  <c r="GI15" i="72"/>
  <c r="GH15" i="72"/>
  <c r="GG15" i="72"/>
  <c r="GF15" i="72"/>
  <c r="GE15" i="72"/>
  <c r="GD15" i="72"/>
  <c r="GC15" i="72"/>
  <c r="GB15" i="72"/>
  <c r="GA15" i="72"/>
  <c r="FZ15" i="72"/>
  <c r="FY15" i="72"/>
  <c r="FW15" i="72"/>
  <c r="FU15" i="72"/>
  <c r="FT15" i="72"/>
  <c r="FS15" i="72"/>
  <c r="FQ15" i="72"/>
  <c r="FM15" i="72"/>
  <c r="FJ15" i="72"/>
  <c r="FI15" i="72"/>
  <c r="FH15" i="72"/>
  <c r="FG15" i="72"/>
  <c r="FF15" i="72"/>
  <c r="FE15" i="72"/>
  <c r="FD15" i="72"/>
  <c r="FC15" i="72"/>
  <c r="FB15" i="72"/>
  <c r="FA15" i="72"/>
  <c r="EX15" i="72"/>
  <c r="EW15" i="72"/>
  <c r="ET15" i="72"/>
  <c r="ES15" i="72"/>
  <c r="EP15" i="72"/>
  <c r="EO15" i="72"/>
  <c r="EL15" i="72"/>
  <c r="EK15" i="72"/>
  <c r="EH15" i="72"/>
  <c r="EG15" i="72"/>
  <c r="ED15" i="72"/>
  <c r="EC15" i="72"/>
  <c r="EB15" i="72"/>
  <c r="EA15" i="72"/>
  <c r="DY15" i="72"/>
  <c r="DW15" i="72"/>
  <c r="DV15" i="72"/>
  <c r="DU15" i="72"/>
  <c r="DT15" i="72"/>
  <c r="DS15" i="72"/>
  <c r="DQ15" i="72"/>
  <c r="DO15" i="72"/>
  <c r="GP14" i="72"/>
  <c r="GN14" i="72"/>
  <c r="GM14" i="72"/>
  <c r="GL14" i="72"/>
  <c r="GK14" i="72"/>
  <c r="GI14" i="72"/>
  <c r="GH14" i="72"/>
  <c r="GG14" i="72"/>
  <c r="GF14" i="72"/>
  <c r="GE14" i="72"/>
  <c r="GD14" i="72"/>
  <c r="GC14" i="72"/>
  <c r="GB14" i="72"/>
  <c r="GA14" i="72"/>
  <c r="FZ14" i="72"/>
  <c r="FY14" i="72"/>
  <c r="FW14" i="72"/>
  <c r="FU14" i="72"/>
  <c r="FT14" i="72"/>
  <c r="FS14" i="72"/>
  <c r="FR14" i="72"/>
  <c r="FQ14" i="72"/>
  <c r="FP14" i="72"/>
  <c r="FN14" i="72"/>
  <c r="FM14" i="72"/>
  <c r="FL14" i="72"/>
  <c r="FJ14" i="72"/>
  <c r="FI14" i="72"/>
  <c r="FH14" i="72"/>
  <c r="FG14" i="72"/>
  <c r="FF14" i="72"/>
  <c r="FE14" i="72"/>
  <c r="FD14" i="72"/>
  <c r="FC14" i="72"/>
  <c r="FB14" i="72"/>
  <c r="FA14" i="72"/>
  <c r="EX14" i="72"/>
  <c r="EW14" i="72"/>
  <c r="ET14" i="72"/>
  <c r="ES14" i="72"/>
  <c r="EP14" i="72"/>
  <c r="EO14" i="72"/>
  <c r="EL14" i="72"/>
  <c r="EK14" i="72"/>
  <c r="EJ14" i="72"/>
  <c r="EH14" i="72"/>
  <c r="EG14" i="72"/>
  <c r="ED14" i="72"/>
  <c r="EC14" i="72"/>
  <c r="EB14" i="72"/>
  <c r="EA14" i="72"/>
  <c r="DY14" i="72"/>
  <c r="DW14" i="72"/>
  <c r="DV14" i="72"/>
  <c r="DU14" i="72"/>
  <c r="DT14" i="72"/>
  <c r="DS14" i="72"/>
  <c r="DQ14" i="72"/>
  <c r="DO14" i="72"/>
  <c r="FG12" i="72"/>
  <c r="ED12" i="72"/>
  <c r="EB12" i="72"/>
  <c r="DV12" i="72"/>
  <c r="DT12" i="72"/>
  <c r="GP43" i="70"/>
  <c r="GN43" i="70"/>
  <c r="GM43" i="70"/>
  <c r="GL43" i="70"/>
  <c r="GK43" i="70"/>
  <c r="GJ43" i="70"/>
  <c r="GI43" i="70"/>
  <c r="GH43" i="70"/>
  <c r="GG43" i="70"/>
  <c r="GF43" i="70"/>
  <c r="GE43" i="70"/>
  <c r="GD43" i="70"/>
  <c r="GC43" i="70"/>
  <c r="GB43" i="70"/>
  <c r="GA43" i="70"/>
  <c r="FZ43" i="70"/>
  <c r="FY43" i="70"/>
  <c r="FW43" i="70"/>
  <c r="FU43" i="70"/>
  <c r="FT43" i="70"/>
  <c r="FS43" i="70"/>
  <c r="FQ43" i="70"/>
  <c r="FO43" i="70"/>
  <c r="FM43" i="70"/>
  <c r="FJ43" i="70"/>
  <c r="FI43" i="70"/>
  <c r="FH43" i="70"/>
  <c r="FG43" i="70"/>
  <c r="FF43" i="70"/>
  <c r="FE43" i="70"/>
  <c r="FD43" i="70"/>
  <c r="FC43" i="70"/>
  <c r="FB43" i="70"/>
  <c r="FA43" i="70"/>
  <c r="EY43" i="70"/>
  <c r="EX43" i="70"/>
  <c r="EW43" i="70"/>
  <c r="EV43" i="70"/>
  <c r="EU43" i="70"/>
  <c r="ET43" i="70"/>
  <c r="ES43" i="70"/>
  <c r="EP43" i="70"/>
  <c r="EO43" i="70"/>
  <c r="EN43" i="70"/>
  <c r="EM43" i="70"/>
  <c r="EL43" i="70"/>
  <c r="EK43" i="70"/>
  <c r="EI43" i="70"/>
  <c r="EH43" i="70"/>
  <c r="EG43" i="70"/>
  <c r="EE43" i="70"/>
  <c r="ED43" i="70"/>
  <c r="EC43" i="70"/>
  <c r="EB43" i="70"/>
  <c r="EA43" i="70"/>
  <c r="DY43" i="70"/>
  <c r="DW43" i="70"/>
  <c r="DV43" i="70"/>
  <c r="DU43" i="70"/>
  <c r="DT43" i="70"/>
  <c r="DS43" i="70"/>
  <c r="DR43" i="70"/>
  <c r="DQ43" i="70"/>
  <c r="DO43" i="70"/>
  <c r="GP42" i="70"/>
  <c r="GN42" i="70"/>
  <c r="GM42" i="70"/>
  <c r="GL42" i="70"/>
  <c r="GK42" i="70"/>
  <c r="GJ42" i="70"/>
  <c r="GI42" i="70"/>
  <c r="GH42" i="70"/>
  <c r="GG42" i="70"/>
  <c r="GF42" i="70"/>
  <c r="GE42" i="70"/>
  <c r="GD42" i="70"/>
  <c r="GC42" i="70"/>
  <c r="GB42" i="70"/>
  <c r="GA42" i="70"/>
  <c r="FZ42" i="70"/>
  <c r="FY42" i="70"/>
  <c r="FW42" i="70"/>
  <c r="FU42" i="70"/>
  <c r="FT42" i="70"/>
  <c r="FS42" i="70"/>
  <c r="FQ42" i="70"/>
  <c r="FM42" i="70"/>
  <c r="FJ42" i="70"/>
  <c r="FI42" i="70"/>
  <c r="FH42" i="70"/>
  <c r="FG42" i="70"/>
  <c r="FF42" i="70"/>
  <c r="FE42" i="70"/>
  <c r="FD42" i="70"/>
  <c r="FC42" i="70"/>
  <c r="FB42" i="70"/>
  <c r="FA42" i="70"/>
  <c r="EX42" i="70"/>
  <c r="EW42" i="70"/>
  <c r="ET42" i="70"/>
  <c r="ES42" i="70"/>
  <c r="EP42" i="70"/>
  <c r="EO42" i="70"/>
  <c r="EL42" i="70"/>
  <c r="EK42" i="70"/>
  <c r="EH42" i="70"/>
  <c r="EG42" i="70"/>
  <c r="ED42" i="70"/>
  <c r="EC42" i="70"/>
  <c r="EB42" i="70"/>
  <c r="EA42" i="70"/>
  <c r="DY42" i="70"/>
  <c r="DW42" i="70"/>
  <c r="DV42" i="70"/>
  <c r="DU42" i="70"/>
  <c r="DT42" i="70"/>
  <c r="DS42" i="70"/>
  <c r="DQ42" i="70"/>
  <c r="DO42" i="70"/>
  <c r="GP41" i="70"/>
  <c r="GN41" i="70"/>
  <c r="GM41" i="70"/>
  <c r="GL41" i="70"/>
  <c r="GK41" i="70"/>
  <c r="GJ41" i="70"/>
  <c r="GI41" i="70"/>
  <c r="GH41" i="70"/>
  <c r="GG41" i="70"/>
  <c r="GF41" i="70"/>
  <c r="GE41" i="70"/>
  <c r="GD41" i="70"/>
  <c r="GC41" i="70"/>
  <c r="GB41" i="70"/>
  <c r="GA41" i="70"/>
  <c r="FZ41" i="70"/>
  <c r="FY41" i="70"/>
  <c r="FW41" i="70"/>
  <c r="FU41" i="70"/>
  <c r="FT41" i="70"/>
  <c r="FS41" i="70"/>
  <c r="FQ41" i="70"/>
  <c r="FM41" i="70"/>
  <c r="FJ41" i="70"/>
  <c r="FI41" i="70"/>
  <c r="FH41" i="70"/>
  <c r="FG41" i="70"/>
  <c r="FF41" i="70"/>
  <c r="FE41" i="70"/>
  <c r="FD41" i="70"/>
  <c r="FC41" i="70"/>
  <c r="FB41" i="70"/>
  <c r="FA41" i="70"/>
  <c r="EX41" i="70"/>
  <c r="EW41" i="70"/>
  <c r="ET41" i="70"/>
  <c r="ES41" i="70"/>
  <c r="EP41" i="70"/>
  <c r="EO41" i="70"/>
  <c r="EL41" i="70"/>
  <c r="EK41" i="70"/>
  <c r="EH41" i="70"/>
  <c r="EG41" i="70"/>
  <c r="ED41" i="70"/>
  <c r="EC41" i="70"/>
  <c r="EB41" i="70"/>
  <c r="EA41" i="70"/>
  <c r="DY41" i="70"/>
  <c r="DW41" i="70"/>
  <c r="DV41" i="70"/>
  <c r="DU41" i="70"/>
  <c r="DT41" i="70"/>
  <c r="DS41" i="70"/>
  <c r="DQ41" i="70"/>
  <c r="DO41" i="70"/>
  <c r="GP40" i="70"/>
  <c r="GN40" i="70"/>
  <c r="GM40" i="70"/>
  <c r="GL40" i="70"/>
  <c r="GK40" i="70"/>
  <c r="GJ40" i="70"/>
  <c r="GI40" i="70"/>
  <c r="GH40" i="70"/>
  <c r="GG40" i="70"/>
  <c r="GF40" i="70"/>
  <c r="GE40" i="70"/>
  <c r="GD40" i="70"/>
  <c r="GC40" i="70"/>
  <c r="GB40" i="70"/>
  <c r="GA40" i="70"/>
  <c r="FZ40" i="70"/>
  <c r="FY40" i="70"/>
  <c r="FW40" i="70"/>
  <c r="FU40" i="70"/>
  <c r="FT40" i="70"/>
  <c r="FS40" i="70"/>
  <c r="FQ40" i="70"/>
  <c r="FM40" i="70"/>
  <c r="FJ40" i="70"/>
  <c r="FI40" i="70"/>
  <c r="FH40" i="70"/>
  <c r="FG40" i="70"/>
  <c r="FF40" i="70"/>
  <c r="FE40" i="70"/>
  <c r="FD40" i="70"/>
  <c r="FC40" i="70"/>
  <c r="FB40" i="70"/>
  <c r="FA40" i="70"/>
  <c r="EX40" i="70"/>
  <c r="EW40" i="70"/>
  <c r="ET40" i="70"/>
  <c r="ES40" i="70"/>
  <c r="EP40" i="70"/>
  <c r="EO40" i="70"/>
  <c r="EL40" i="70"/>
  <c r="EK40" i="70"/>
  <c r="EH40" i="70"/>
  <c r="EG40" i="70"/>
  <c r="ED40" i="70"/>
  <c r="EC40" i="70"/>
  <c r="EB40" i="70"/>
  <c r="EA40" i="70"/>
  <c r="DZ40" i="70"/>
  <c r="DY40" i="70"/>
  <c r="DW40" i="70"/>
  <c r="DV40" i="70"/>
  <c r="DU40" i="70"/>
  <c r="DT40" i="70"/>
  <c r="DS40" i="70"/>
  <c r="DR40" i="70"/>
  <c r="DQ40" i="70"/>
  <c r="DO40" i="70"/>
  <c r="GN39" i="70"/>
  <c r="GM39" i="70"/>
  <c r="GL39" i="70"/>
  <c r="GK39" i="70"/>
  <c r="GJ39" i="70"/>
  <c r="FQ39" i="70"/>
  <c r="ET39" i="70"/>
  <c r="ES39" i="70"/>
  <c r="EL39" i="70"/>
  <c r="EK39" i="70"/>
  <c r="EC39" i="70"/>
  <c r="EA39" i="70"/>
  <c r="DY39" i="70"/>
  <c r="DW39" i="70"/>
  <c r="DU39" i="70"/>
  <c r="DS39" i="70"/>
  <c r="DQ39" i="70"/>
  <c r="DO39" i="70"/>
  <c r="GN38" i="70"/>
  <c r="GM38" i="70"/>
  <c r="GL38" i="70"/>
  <c r="GK38" i="70"/>
  <c r="GJ38" i="70"/>
  <c r="FQ38" i="70"/>
  <c r="ET38" i="70"/>
  <c r="ES38" i="70"/>
  <c r="EL38" i="70"/>
  <c r="EK38" i="70"/>
  <c r="EC38" i="70"/>
  <c r="EA38" i="70"/>
  <c r="DY38" i="70"/>
  <c r="DW38" i="70"/>
  <c r="DU38" i="70"/>
  <c r="DS38" i="70"/>
  <c r="DQ38" i="70"/>
  <c r="DO38" i="70"/>
  <c r="GN37" i="70"/>
  <c r="GM37" i="70"/>
  <c r="GL37" i="70"/>
  <c r="GK37" i="70"/>
  <c r="GJ37" i="70"/>
  <c r="FQ37" i="70"/>
  <c r="ET37" i="70"/>
  <c r="ES37" i="70"/>
  <c r="EL37" i="70"/>
  <c r="EK37" i="70"/>
  <c r="EC37" i="70"/>
  <c r="EA37" i="70"/>
  <c r="DY37" i="70"/>
  <c r="DW37" i="70"/>
  <c r="DU37" i="70"/>
  <c r="DS37" i="70"/>
  <c r="DQ37" i="70"/>
  <c r="DO37" i="70"/>
  <c r="GP36" i="70"/>
  <c r="GN36" i="70"/>
  <c r="GM36" i="70"/>
  <c r="GL36" i="70"/>
  <c r="GK36" i="70"/>
  <c r="GJ36" i="70"/>
  <c r="GI36" i="70"/>
  <c r="GH36" i="70"/>
  <c r="GG36" i="70"/>
  <c r="GF36" i="70"/>
  <c r="GE36" i="70"/>
  <c r="GD36" i="70"/>
  <c r="GC36" i="70"/>
  <c r="GB36" i="70"/>
  <c r="GA36" i="70"/>
  <c r="FZ36" i="70"/>
  <c r="FY36" i="70"/>
  <c r="FW36" i="70"/>
  <c r="FU36" i="70"/>
  <c r="FT36" i="70"/>
  <c r="FS36" i="70"/>
  <c r="FQ36" i="70"/>
  <c r="FO36" i="70"/>
  <c r="FM36" i="70"/>
  <c r="FK36" i="70"/>
  <c r="FJ36" i="70"/>
  <c r="FI36" i="70"/>
  <c r="FH36" i="70"/>
  <c r="FG36" i="70"/>
  <c r="FF36" i="70"/>
  <c r="FE36" i="70"/>
  <c r="FD36" i="70"/>
  <c r="FC36" i="70"/>
  <c r="FB36" i="70"/>
  <c r="FA36" i="70"/>
  <c r="EZ36" i="70"/>
  <c r="EY36" i="70"/>
  <c r="EX36" i="70"/>
  <c r="EW36" i="70"/>
  <c r="EV36" i="70"/>
  <c r="EU36" i="70"/>
  <c r="ET36" i="70"/>
  <c r="ES36" i="70"/>
  <c r="ER36" i="70"/>
  <c r="EQ36" i="70"/>
  <c r="EP36" i="70"/>
  <c r="EO36" i="70"/>
  <c r="EN36" i="70"/>
  <c r="EM36" i="70"/>
  <c r="EL36" i="70"/>
  <c r="EK36" i="70"/>
  <c r="EJ36" i="70"/>
  <c r="EI36" i="70"/>
  <c r="EH36" i="70"/>
  <c r="EG36" i="70"/>
  <c r="EF36" i="70"/>
  <c r="EE36" i="70"/>
  <c r="ED36" i="70"/>
  <c r="EC36" i="70"/>
  <c r="EB36" i="70"/>
  <c r="EA36" i="70"/>
  <c r="DZ36" i="70"/>
  <c r="DY36" i="70"/>
  <c r="DX36" i="70"/>
  <c r="DW36" i="70"/>
  <c r="DV36" i="70"/>
  <c r="DU36" i="70"/>
  <c r="DT36" i="70"/>
  <c r="DS36" i="70"/>
  <c r="DR36" i="70"/>
  <c r="DQ36" i="70"/>
  <c r="DP36" i="70"/>
  <c r="DO36" i="70"/>
  <c r="GP35" i="70"/>
  <c r="GN35" i="70"/>
  <c r="GM35" i="70"/>
  <c r="GL35" i="70"/>
  <c r="GK35" i="70"/>
  <c r="GJ35" i="70"/>
  <c r="GI35" i="70"/>
  <c r="GH35" i="70"/>
  <c r="GG35" i="70"/>
  <c r="GF35" i="70"/>
  <c r="GE35" i="70"/>
  <c r="GD35" i="70"/>
  <c r="GC35" i="70"/>
  <c r="GB35" i="70"/>
  <c r="GA35" i="70"/>
  <c r="FZ35" i="70"/>
  <c r="FY35" i="70"/>
  <c r="FW35" i="70"/>
  <c r="FU35" i="70"/>
  <c r="FT35" i="70"/>
  <c r="FS35" i="70"/>
  <c r="FQ35" i="70"/>
  <c r="FM35" i="70"/>
  <c r="FJ35" i="70"/>
  <c r="FI35" i="70"/>
  <c r="FH35" i="70"/>
  <c r="FG35" i="70"/>
  <c r="FF35" i="70"/>
  <c r="FE35" i="70"/>
  <c r="FD35" i="70"/>
  <c r="FC35" i="70"/>
  <c r="FB35" i="70"/>
  <c r="FA35" i="70"/>
  <c r="EY35" i="70"/>
  <c r="EX35" i="70"/>
  <c r="EW35" i="70"/>
  <c r="ET35" i="70"/>
  <c r="ES35" i="70"/>
  <c r="EQ35" i="70"/>
  <c r="EP35" i="70"/>
  <c r="EO35" i="70"/>
  <c r="EL35" i="70"/>
  <c r="EK35" i="70"/>
  <c r="EI35" i="70"/>
  <c r="EH35" i="70"/>
  <c r="EG35" i="70"/>
  <c r="ED35" i="70"/>
  <c r="EC35" i="70"/>
  <c r="EB35" i="70"/>
  <c r="EA35" i="70"/>
  <c r="DY35" i="70"/>
  <c r="DW35" i="70"/>
  <c r="DV35" i="70"/>
  <c r="DU35" i="70"/>
  <c r="DT35" i="70"/>
  <c r="DS35" i="70"/>
  <c r="DQ35" i="70"/>
  <c r="DO35" i="70"/>
  <c r="GP34" i="70"/>
  <c r="GN34" i="70"/>
  <c r="GM34" i="70"/>
  <c r="GL34" i="70"/>
  <c r="GK34" i="70"/>
  <c r="GJ34" i="70"/>
  <c r="GI34" i="70"/>
  <c r="GH34" i="70"/>
  <c r="GG34" i="70"/>
  <c r="GF34" i="70"/>
  <c r="GE34" i="70"/>
  <c r="GD34" i="70"/>
  <c r="GC34" i="70"/>
  <c r="GB34" i="70"/>
  <c r="GA34" i="70"/>
  <c r="FZ34" i="70"/>
  <c r="FY34" i="70"/>
  <c r="FW34" i="70"/>
  <c r="FU34" i="70"/>
  <c r="FT34" i="70"/>
  <c r="FS34" i="70"/>
  <c r="FQ34" i="70"/>
  <c r="FM34" i="70"/>
  <c r="FJ34" i="70"/>
  <c r="FI34" i="70"/>
  <c r="FH34" i="70"/>
  <c r="FG34" i="70"/>
  <c r="FF34" i="70"/>
  <c r="FE34" i="70"/>
  <c r="FD34" i="70"/>
  <c r="FC34" i="70"/>
  <c r="FB34" i="70"/>
  <c r="FA34" i="70"/>
  <c r="EX34" i="70"/>
  <c r="EW34" i="70"/>
  <c r="ET34" i="70"/>
  <c r="ES34" i="70"/>
  <c r="EP34" i="70"/>
  <c r="EO34" i="70"/>
  <c r="EL34" i="70"/>
  <c r="EK34" i="70"/>
  <c r="EH34" i="70"/>
  <c r="EG34" i="70"/>
  <c r="ED34" i="70"/>
  <c r="EC34" i="70"/>
  <c r="EB34" i="70"/>
  <c r="EA34" i="70"/>
  <c r="DY34" i="70"/>
  <c r="DW34" i="70"/>
  <c r="DV34" i="70"/>
  <c r="DU34" i="70"/>
  <c r="DT34" i="70"/>
  <c r="DS34" i="70"/>
  <c r="DQ34" i="70"/>
  <c r="DO34" i="70"/>
  <c r="GP33" i="70"/>
  <c r="GN33" i="70"/>
  <c r="GM33" i="70"/>
  <c r="GL33" i="70"/>
  <c r="GK33" i="70"/>
  <c r="GJ33" i="70"/>
  <c r="GI33" i="70"/>
  <c r="GH33" i="70"/>
  <c r="GG33" i="70"/>
  <c r="GF33" i="70"/>
  <c r="GE33" i="70"/>
  <c r="GD33" i="70"/>
  <c r="GC33" i="70"/>
  <c r="GB33" i="70"/>
  <c r="GA33" i="70"/>
  <c r="FZ33" i="70"/>
  <c r="FY33" i="70"/>
  <c r="FW33" i="70"/>
  <c r="FU33" i="70"/>
  <c r="FT33" i="70"/>
  <c r="FS33" i="70"/>
  <c r="FQ33" i="70"/>
  <c r="FO33" i="70"/>
  <c r="FM33" i="70"/>
  <c r="FK33" i="70"/>
  <c r="FJ33" i="70"/>
  <c r="FI33" i="70"/>
  <c r="FH33" i="70"/>
  <c r="FG33" i="70"/>
  <c r="FF33" i="70"/>
  <c r="FE33" i="70"/>
  <c r="FD33" i="70"/>
  <c r="FC33" i="70"/>
  <c r="FB33" i="70"/>
  <c r="FA33" i="70"/>
  <c r="EZ33" i="70"/>
  <c r="EY33" i="70"/>
  <c r="EX33" i="70"/>
  <c r="EW33" i="70"/>
  <c r="EV33" i="70"/>
  <c r="EU33" i="70"/>
  <c r="ET33" i="70"/>
  <c r="ES33" i="70"/>
  <c r="ER33" i="70"/>
  <c r="EQ33" i="70"/>
  <c r="EP33" i="70"/>
  <c r="EO33" i="70"/>
  <c r="EN33" i="70"/>
  <c r="EM33" i="70"/>
  <c r="EL33" i="70"/>
  <c r="EK33" i="70"/>
  <c r="EJ33" i="70"/>
  <c r="EI33" i="70"/>
  <c r="EH33" i="70"/>
  <c r="EG33" i="70"/>
  <c r="EF33" i="70"/>
  <c r="EE33" i="70"/>
  <c r="ED33" i="70"/>
  <c r="EC33" i="70"/>
  <c r="EB33" i="70"/>
  <c r="EA33" i="70"/>
  <c r="DZ33" i="70"/>
  <c r="DY33" i="70"/>
  <c r="DX33" i="70"/>
  <c r="DW33" i="70"/>
  <c r="DV33" i="70"/>
  <c r="DU33" i="70"/>
  <c r="DT33" i="70"/>
  <c r="DS33" i="70"/>
  <c r="DR33" i="70"/>
  <c r="DQ33" i="70"/>
  <c r="DP33" i="70"/>
  <c r="DO33" i="70"/>
  <c r="GN32" i="70"/>
  <c r="GM32" i="70"/>
  <c r="GL32" i="70"/>
  <c r="GK32" i="70"/>
  <c r="GJ32" i="70"/>
  <c r="FQ32" i="70"/>
  <c r="ET32" i="70"/>
  <c r="ES32" i="70"/>
  <c r="EL32" i="70"/>
  <c r="EK32" i="70"/>
  <c r="EC32" i="70"/>
  <c r="EA32" i="70"/>
  <c r="DY32" i="70"/>
  <c r="DW32" i="70"/>
  <c r="DU32" i="70"/>
  <c r="DS32" i="70"/>
  <c r="DQ32" i="70"/>
  <c r="DO32" i="70"/>
  <c r="GN31" i="70"/>
  <c r="GM31" i="70"/>
  <c r="GL31" i="70"/>
  <c r="GK31" i="70"/>
  <c r="GJ31" i="70"/>
  <c r="FQ31" i="70"/>
  <c r="ET31" i="70"/>
  <c r="ES31" i="70"/>
  <c r="EL31" i="70"/>
  <c r="EK31" i="70"/>
  <c r="EC31" i="70"/>
  <c r="EA31" i="70"/>
  <c r="DY31" i="70"/>
  <c r="DW31" i="70"/>
  <c r="DU31" i="70"/>
  <c r="DS31" i="70"/>
  <c r="DQ31" i="70"/>
  <c r="DO31" i="70"/>
  <c r="GN30" i="70"/>
  <c r="GM30" i="70"/>
  <c r="GL30" i="70"/>
  <c r="GK30" i="70"/>
  <c r="GJ30" i="70"/>
  <c r="FQ30" i="70"/>
  <c r="ET30" i="70"/>
  <c r="ES30" i="70"/>
  <c r="EL30" i="70"/>
  <c r="EK30" i="70"/>
  <c r="EC30" i="70"/>
  <c r="EA30" i="70"/>
  <c r="DY30" i="70"/>
  <c r="DW30" i="70"/>
  <c r="DU30" i="70"/>
  <c r="DS30" i="70"/>
  <c r="DQ30" i="70"/>
  <c r="DO30" i="70"/>
  <c r="GP29" i="70"/>
  <c r="GN29" i="70"/>
  <c r="GM29" i="70"/>
  <c r="GL29" i="70"/>
  <c r="GK29" i="70"/>
  <c r="GJ29" i="70"/>
  <c r="GI29" i="70"/>
  <c r="GH29" i="70"/>
  <c r="GG29" i="70"/>
  <c r="GF29" i="70"/>
  <c r="GE29" i="70"/>
  <c r="GD29" i="70"/>
  <c r="GC29" i="70"/>
  <c r="GB29" i="70"/>
  <c r="GA29" i="70"/>
  <c r="FZ29" i="70"/>
  <c r="FY29" i="70"/>
  <c r="FW29" i="70"/>
  <c r="FU29" i="70"/>
  <c r="FT29" i="70"/>
  <c r="FS29" i="70"/>
  <c r="FQ29" i="70"/>
  <c r="FO29" i="70"/>
  <c r="FM29" i="70"/>
  <c r="FK29" i="70"/>
  <c r="FJ29" i="70"/>
  <c r="FI29" i="70"/>
  <c r="FH29" i="70"/>
  <c r="FG29" i="70"/>
  <c r="FF29" i="70"/>
  <c r="FE29" i="70"/>
  <c r="FD29" i="70"/>
  <c r="FC29" i="70"/>
  <c r="FB29" i="70"/>
  <c r="FA29" i="70"/>
  <c r="EZ29" i="70"/>
  <c r="EY29" i="70"/>
  <c r="EX29" i="70"/>
  <c r="EW29" i="70"/>
  <c r="EV29" i="70"/>
  <c r="EU29" i="70"/>
  <c r="ET29" i="70"/>
  <c r="ES29" i="70"/>
  <c r="ER29" i="70"/>
  <c r="EQ29" i="70"/>
  <c r="EP29" i="70"/>
  <c r="EO29" i="70"/>
  <c r="EN29" i="70"/>
  <c r="EM29" i="70"/>
  <c r="EL29" i="70"/>
  <c r="EK29" i="70"/>
  <c r="EJ29" i="70"/>
  <c r="EI29" i="70"/>
  <c r="EH29" i="70"/>
  <c r="EG29" i="70"/>
  <c r="EF29" i="70"/>
  <c r="EE29" i="70"/>
  <c r="ED29" i="70"/>
  <c r="EC29" i="70"/>
  <c r="EB29" i="70"/>
  <c r="EA29" i="70"/>
  <c r="DZ29" i="70"/>
  <c r="DY29" i="70"/>
  <c r="DX29" i="70"/>
  <c r="DW29" i="70"/>
  <c r="DV29" i="70"/>
  <c r="DU29" i="70"/>
  <c r="DT29" i="70"/>
  <c r="DS29" i="70"/>
  <c r="DR29" i="70"/>
  <c r="DQ29" i="70"/>
  <c r="DP29" i="70"/>
  <c r="DO29" i="70"/>
  <c r="GP28" i="70"/>
  <c r="GN28" i="70"/>
  <c r="GM28" i="70"/>
  <c r="GL28" i="70"/>
  <c r="GK28" i="70"/>
  <c r="GJ28" i="70"/>
  <c r="GI28" i="70"/>
  <c r="GH28" i="70"/>
  <c r="GG28" i="70"/>
  <c r="GF28" i="70"/>
  <c r="GE28" i="70"/>
  <c r="GD28" i="70"/>
  <c r="GC28" i="70"/>
  <c r="GB28" i="70"/>
  <c r="GA28" i="70"/>
  <c r="FZ28" i="70"/>
  <c r="FY28" i="70"/>
  <c r="FW28" i="70"/>
  <c r="FU28" i="70"/>
  <c r="FT28" i="70"/>
  <c r="FS28" i="70"/>
  <c r="FQ28" i="70"/>
  <c r="FO28" i="70"/>
  <c r="FM28" i="70"/>
  <c r="FK28" i="70"/>
  <c r="FJ28" i="70"/>
  <c r="FI28" i="70"/>
  <c r="FH28" i="70"/>
  <c r="FG28" i="70"/>
  <c r="FF28" i="70"/>
  <c r="FE28" i="70"/>
  <c r="FD28" i="70"/>
  <c r="FC28" i="70"/>
  <c r="FB28" i="70"/>
  <c r="FA28" i="70"/>
  <c r="EZ28" i="70"/>
  <c r="EY28" i="70"/>
  <c r="EX28" i="70"/>
  <c r="EW28" i="70"/>
  <c r="EV28" i="70"/>
  <c r="EU28" i="70"/>
  <c r="ET28" i="70"/>
  <c r="ES28" i="70"/>
  <c r="ER28" i="70"/>
  <c r="EQ28" i="70"/>
  <c r="EP28" i="70"/>
  <c r="EO28" i="70"/>
  <c r="EN28" i="70"/>
  <c r="EM28" i="70"/>
  <c r="EL28" i="70"/>
  <c r="EK28" i="70"/>
  <c r="EJ28" i="70"/>
  <c r="EI28" i="70"/>
  <c r="EH28" i="70"/>
  <c r="EG28" i="70"/>
  <c r="EF28" i="70"/>
  <c r="EE28" i="70"/>
  <c r="ED28" i="70"/>
  <c r="EC28" i="70"/>
  <c r="EB28" i="70"/>
  <c r="EA28" i="70"/>
  <c r="DZ28" i="70"/>
  <c r="DY28" i="70"/>
  <c r="DX28" i="70"/>
  <c r="DW28" i="70"/>
  <c r="DV28" i="70"/>
  <c r="DU28" i="70"/>
  <c r="DT28" i="70"/>
  <c r="DS28" i="70"/>
  <c r="DR28" i="70"/>
  <c r="DQ28" i="70"/>
  <c r="DP28" i="70"/>
  <c r="DO28" i="70"/>
  <c r="GP27" i="70"/>
  <c r="GN27" i="70"/>
  <c r="GM27" i="70"/>
  <c r="GL27" i="70"/>
  <c r="GK27" i="70"/>
  <c r="GJ27" i="70"/>
  <c r="GI27" i="70"/>
  <c r="GH27" i="70"/>
  <c r="GG27" i="70"/>
  <c r="GF27" i="70"/>
  <c r="GE27" i="70"/>
  <c r="GD27" i="70"/>
  <c r="GC27" i="70"/>
  <c r="GB27" i="70"/>
  <c r="GA27" i="70"/>
  <c r="FZ27" i="70"/>
  <c r="FY27" i="70"/>
  <c r="FW27" i="70"/>
  <c r="FU27" i="70"/>
  <c r="FT27" i="70"/>
  <c r="FS27" i="70"/>
  <c r="FQ27" i="70"/>
  <c r="FO27" i="70"/>
  <c r="FM27" i="70"/>
  <c r="FK27" i="70"/>
  <c r="FJ27" i="70"/>
  <c r="FI27" i="70"/>
  <c r="FH27" i="70"/>
  <c r="FG27" i="70"/>
  <c r="FF27" i="70"/>
  <c r="FE27" i="70"/>
  <c r="FD27" i="70"/>
  <c r="FC27" i="70"/>
  <c r="FB27" i="70"/>
  <c r="FA27" i="70"/>
  <c r="EZ27" i="70"/>
  <c r="EY27" i="70"/>
  <c r="EX27" i="70"/>
  <c r="EW27" i="70"/>
  <c r="EV27" i="70"/>
  <c r="EU27" i="70"/>
  <c r="ET27" i="70"/>
  <c r="ES27" i="70"/>
  <c r="ER27" i="70"/>
  <c r="EQ27" i="70"/>
  <c r="EP27" i="70"/>
  <c r="EO27" i="70"/>
  <c r="EN27" i="70"/>
  <c r="EM27" i="70"/>
  <c r="EL27" i="70"/>
  <c r="EK27" i="70"/>
  <c r="EJ27" i="70"/>
  <c r="EI27" i="70"/>
  <c r="EH27" i="70"/>
  <c r="EG27" i="70"/>
  <c r="EF27" i="70"/>
  <c r="EE27" i="70"/>
  <c r="ED27" i="70"/>
  <c r="EC27" i="70"/>
  <c r="EB27" i="70"/>
  <c r="EA27" i="70"/>
  <c r="DZ27" i="70"/>
  <c r="DY27" i="70"/>
  <c r="DX27" i="70"/>
  <c r="DW27" i="70"/>
  <c r="DV27" i="70"/>
  <c r="DU27" i="70"/>
  <c r="DT27" i="70"/>
  <c r="DS27" i="70"/>
  <c r="DR27" i="70"/>
  <c r="DQ27" i="70"/>
  <c r="DP27" i="70"/>
  <c r="DO27" i="70"/>
  <c r="GP26" i="70"/>
  <c r="GN26" i="70"/>
  <c r="GM26" i="70"/>
  <c r="GL26" i="70"/>
  <c r="GK26" i="70"/>
  <c r="GJ26" i="70"/>
  <c r="GI26" i="70"/>
  <c r="GH26" i="70"/>
  <c r="GG26" i="70"/>
  <c r="GF26" i="70"/>
  <c r="GE26" i="70"/>
  <c r="GD26" i="70"/>
  <c r="GC26" i="70"/>
  <c r="GB26" i="70"/>
  <c r="GA26" i="70"/>
  <c r="FZ26" i="70"/>
  <c r="FY26" i="70"/>
  <c r="FW26" i="70"/>
  <c r="FU26" i="70"/>
  <c r="FT26" i="70"/>
  <c r="FS26" i="70"/>
  <c r="FQ26" i="70"/>
  <c r="FM26" i="70"/>
  <c r="FJ26" i="70"/>
  <c r="FI26" i="70"/>
  <c r="FH26" i="70"/>
  <c r="FG26" i="70"/>
  <c r="FF26" i="70"/>
  <c r="FE26" i="70"/>
  <c r="FD26" i="70"/>
  <c r="FC26" i="70"/>
  <c r="FB26" i="70"/>
  <c r="FA26" i="70"/>
  <c r="EY26" i="70"/>
  <c r="EX26" i="70"/>
  <c r="EW26" i="70"/>
  <c r="ET26" i="70"/>
  <c r="ES26" i="70"/>
  <c r="EQ26" i="70"/>
  <c r="EP26" i="70"/>
  <c r="EO26" i="70"/>
  <c r="EL26" i="70"/>
  <c r="EK26" i="70"/>
  <c r="EI26" i="70"/>
  <c r="EH26" i="70"/>
  <c r="EG26" i="70"/>
  <c r="ED26" i="70"/>
  <c r="EC26" i="70"/>
  <c r="EB26" i="70"/>
  <c r="EA26" i="70"/>
  <c r="DY26" i="70"/>
  <c r="DW26" i="70"/>
  <c r="DV26" i="70"/>
  <c r="DU26" i="70"/>
  <c r="DT26" i="70"/>
  <c r="DS26" i="70"/>
  <c r="DQ26" i="70"/>
  <c r="DO26" i="70"/>
  <c r="GN25" i="70"/>
  <c r="GM25" i="70"/>
  <c r="GL25" i="70"/>
  <c r="GK25" i="70"/>
  <c r="GJ25" i="70"/>
  <c r="FQ25" i="70"/>
  <c r="ET25" i="70"/>
  <c r="ES25" i="70"/>
  <c r="EL25" i="70"/>
  <c r="EK25" i="70"/>
  <c r="EC25" i="70"/>
  <c r="EA25" i="70"/>
  <c r="DY25" i="70"/>
  <c r="DW25" i="70"/>
  <c r="DU25" i="70"/>
  <c r="DS25" i="70"/>
  <c r="DQ25" i="70"/>
  <c r="DO25" i="70"/>
  <c r="GN24" i="70"/>
  <c r="GM24" i="70"/>
  <c r="GL24" i="70"/>
  <c r="GK24" i="70"/>
  <c r="GJ24" i="70"/>
  <c r="FQ24" i="70"/>
  <c r="ET24" i="70"/>
  <c r="ES24" i="70"/>
  <c r="EL24" i="70"/>
  <c r="EK24" i="70"/>
  <c r="EC24" i="70"/>
  <c r="EA24" i="70"/>
  <c r="DY24" i="70"/>
  <c r="DW24" i="70"/>
  <c r="DU24" i="70"/>
  <c r="DS24" i="70"/>
  <c r="DQ24" i="70"/>
  <c r="DO24" i="70"/>
  <c r="GN23" i="70"/>
  <c r="GM23" i="70"/>
  <c r="GL23" i="70"/>
  <c r="GK23" i="70"/>
  <c r="GJ23" i="70"/>
  <c r="FQ23" i="70"/>
  <c r="ET23" i="70"/>
  <c r="ES23" i="70"/>
  <c r="EL23" i="70"/>
  <c r="EK23" i="70"/>
  <c r="EC23" i="70"/>
  <c r="EA23" i="70"/>
  <c r="DY23" i="70"/>
  <c r="DW23" i="70"/>
  <c r="DU23" i="70"/>
  <c r="DS23" i="70"/>
  <c r="DQ23" i="70"/>
  <c r="DO23" i="70"/>
  <c r="GP22" i="70"/>
  <c r="GN22" i="70"/>
  <c r="GM22" i="70"/>
  <c r="GL22" i="70"/>
  <c r="GK22" i="70"/>
  <c r="GJ22" i="70"/>
  <c r="GI22" i="70"/>
  <c r="GH22" i="70"/>
  <c r="GG22" i="70"/>
  <c r="GF22" i="70"/>
  <c r="GE22" i="70"/>
  <c r="GD22" i="70"/>
  <c r="GC22" i="70"/>
  <c r="GB22" i="70"/>
  <c r="GA22" i="70"/>
  <c r="FZ22" i="70"/>
  <c r="FY22" i="70"/>
  <c r="FW22" i="70"/>
  <c r="FU22" i="70"/>
  <c r="FT22" i="70"/>
  <c r="FS22" i="70"/>
  <c r="FQ22" i="70"/>
  <c r="FO22" i="70"/>
  <c r="FM22" i="70"/>
  <c r="FK22" i="70"/>
  <c r="FJ22" i="70"/>
  <c r="FI22" i="70"/>
  <c r="FH22" i="70"/>
  <c r="FG22" i="70"/>
  <c r="FF22" i="70"/>
  <c r="FE22" i="70"/>
  <c r="FD22" i="70"/>
  <c r="FC22" i="70"/>
  <c r="FB22" i="70"/>
  <c r="FA22" i="70"/>
  <c r="EX22" i="70"/>
  <c r="EW22" i="70"/>
  <c r="EV22" i="70"/>
  <c r="EU22" i="70"/>
  <c r="ET22" i="70"/>
  <c r="ES22" i="70"/>
  <c r="EQ22" i="70"/>
  <c r="EP22" i="70"/>
  <c r="EO22" i="70"/>
  <c r="EM22" i="70"/>
  <c r="EL22" i="70"/>
  <c r="EK22" i="70"/>
  <c r="EJ22" i="70"/>
  <c r="EI22" i="70"/>
  <c r="EH22" i="70"/>
  <c r="EG22" i="70"/>
  <c r="ED22" i="70"/>
  <c r="EC22" i="70"/>
  <c r="EB22" i="70"/>
  <c r="EA22" i="70"/>
  <c r="DZ22" i="70"/>
  <c r="DY22" i="70"/>
  <c r="DW22" i="70"/>
  <c r="DV22" i="70"/>
  <c r="DU22" i="70"/>
  <c r="DT22" i="70"/>
  <c r="DS22" i="70"/>
  <c r="DR22" i="70"/>
  <c r="DQ22" i="70"/>
  <c r="DP22" i="70"/>
  <c r="DO22" i="70"/>
  <c r="GP21" i="70"/>
  <c r="GN21" i="70"/>
  <c r="GM21" i="70"/>
  <c r="GL21" i="70"/>
  <c r="GK21" i="70"/>
  <c r="GJ21" i="70"/>
  <c r="GI21" i="70"/>
  <c r="GH21" i="70"/>
  <c r="GG21" i="70"/>
  <c r="GF21" i="70"/>
  <c r="GE21" i="70"/>
  <c r="GD21" i="70"/>
  <c r="GC21" i="70"/>
  <c r="GB21" i="70"/>
  <c r="GA21" i="70"/>
  <c r="FZ21" i="70"/>
  <c r="FY21" i="70"/>
  <c r="FW21" i="70"/>
  <c r="FU21" i="70"/>
  <c r="FT21" i="70"/>
  <c r="FS21" i="70"/>
  <c r="FQ21" i="70"/>
  <c r="FO21" i="70"/>
  <c r="FM21" i="70"/>
  <c r="FJ21" i="70"/>
  <c r="FI21" i="70"/>
  <c r="FH21" i="70"/>
  <c r="FG21" i="70"/>
  <c r="FF21" i="70"/>
  <c r="FE21" i="70"/>
  <c r="FD21" i="70"/>
  <c r="FC21" i="70"/>
  <c r="FB21" i="70"/>
  <c r="FA21" i="70"/>
  <c r="EX21" i="70"/>
  <c r="EW21" i="70"/>
  <c r="ET21" i="70"/>
  <c r="ES21" i="70"/>
  <c r="ER21" i="70"/>
  <c r="EQ21" i="70"/>
  <c r="EP21" i="70"/>
  <c r="EO21" i="70"/>
  <c r="EL21" i="70"/>
  <c r="EK21" i="70"/>
  <c r="EH21" i="70"/>
  <c r="EG21" i="70"/>
  <c r="ED21" i="70"/>
  <c r="EC21" i="70"/>
  <c r="EB21" i="70"/>
  <c r="EA21" i="70"/>
  <c r="DZ21" i="70"/>
  <c r="DY21" i="70"/>
  <c r="DW21" i="70"/>
  <c r="DV21" i="70"/>
  <c r="DU21" i="70"/>
  <c r="DT21" i="70"/>
  <c r="DS21" i="70"/>
  <c r="DR21" i="70"/>
  <c r="DQ21" i="70"/>
  <c r="DO21" i="70"/>
  <c r="GP20" i="70"/>
  <c r="GN20" i="70"/>
  <c r="GM20" i="70"/>
  <c r="GL20" i="70"/>
  <c r="GK20" i="70"/>
  <c r="GJ20" i="70"/>
  <c r="GI20" i="70"/>
  <c r="GH20" i="70"/>
  <c r="GG20" i="70"/>
  <c r="GF20" i="70"/>
  <c r="GE20" i="70"/>
  <c r="GD20" i="70"/>
  <c r="GC20" i="70"/>
  <c r="GB20" i="70"/>
  <c r="GA20" i="70"/>
  <c r="FZ20" i="70"/>
  <c r="FY20" i="70"/>
  <c r="FW20" i="70"/>
  <c r="FU20" i="70"/>
  <c r="FT20" i="70"/>
  <c r="FS20" i="70"/>
  <c r="FQ20" i="70"/>
  <c r="FM20" i="70"/>
  <c r="FJ20" i="70"/>
  <c r="FI20" i="70"/>
  <c r="FH20" i="70"/>
  <c r="FG20" i="70"/>
  <c r="FF20" i="70"/>
  <c r="FE20" i="70"/>
  <c r="FD20" i="70"/>
  <c r="FC20" i="70"/>
  <c r="FB20" i="70"/>
  <c r="FA20" i="70"/>
  <c r="EX20" i="70"/>
  <c r="EW20" i="70"/>
  <c r="ET20" i="70"/>
  <c r="ES20" i="70"/>
  <c r="EP20" i="70"/>
  <c r="EO20" i="70"/>
  <c r="EL20" i="70"/>
  <c r="EK20" i="70"/>
  <c r="EH20" i="70"/>
  <c r="EG20" i="70"/>
  <c r="ED20" i="70"/>
  <c r="EC20" i="70"/>
  <c r="EB20" i="70"/>
  <c r="EA20" i="70"/>
  <c r="DZ20" i="70"/>
  <c r="DY20" i="70"/>
  <c r="DW20" i="70"/>
  <c r="DV20" i="70"/>
  <c r="DU20" i="70"/>
  <c r="DT20" i="70"/>
  <c r="DS20" i="70"/>
  <c r="DR20" i="70"/>
  <c r="DQ20" i="70"/>
  <c r="DO20" i="70"/>
  <c r="GN19" i="70"/>
  <c r="GM19" i="70"/>
  <c r="GL19" i="70"/>
  <c r="GK19" i="70"/>
  <c r="GJ19" i="70"/>
  <c r="FQ19" i="70"/>
  <c r="ET19" i="70"/>
  <c r="ES19" i="70"/>
  <c r="EL19" i="70"/>
  <c r="EK19" i="70"/>
  <c r="EC19" i="70"/>
  <c r="EA19" i="70"/>
  <c r="DY19" i="70"/>
  <c r="DW19" i="70"/>
  <c r="DU19" i="70"/>
  <c r="DS19" i="70"/>
  <c r="DQ19" i="70"/>
  <c r="DO19" i="70"/>
  <c r="GN18" i="70"/>
  <c r="GM18" i="70"/>
  <c r="GL18" i="70"/>
  <c r="GK18" i="70"/>
  <c r="GJ18" i="70"/>
  <c r="FQ18" i="70"/>
  <c r="ET18" i="70"/>
  <c r="ES18" i="70"/>
  <c r="EL18" i="70"/>
  <c r="EK18" i="70"/>
  <c r="EC18" i="70"/>
  <c r="EA18" i="70"/>
  <c r="DY18" i="70"/>
  <c r="DW18" i="70"/>
  <c r="DU18" i="70"/>
  <c r="DS18" i="70"/>
  <c r="DQ18" i="70"/>
  <c r="DO18" i="70"/>
  <c r="GN17" i="70"/>
  <c r="GM17" i="70"/>
  <c r="GL17" i="70"/>
  <c r="GK17" i="70"/>
  <c r="GJ17" i="70"/>
  <c r="FQ17" i="70"/>
  <c r="ET17" i="70"/>
  <c r="ES17" i="70"/>
  <c r="EL17" i="70"/>
  <c r="EK17" i="70"/>
  <c r="EC17" i="70"/>
  <c r="EA17" i="70"/>
  <c r="DY17" i="70"/>
  <c r="DW17" i="70"/>
  <c r="DU17" i="70"/>
  <c r="DS17" i="70"/>
  <c r="DQ17" i="70"/>
  <c r="DO17" i="70"/>
  <c r="GN16" i="70"/>
  <c r="GM16" i="70"/>
  <c r="GL16" i="70"/>
  <c r="GK16" i="70"/>
  <c r="GJ16" i="70"/>
  <c r="FQ16" i="70"/>
  <c r="ET16" i="70"/>
  <c r="ES16" i="70"/>
  <c r="EL16" i="70"/>
  <c r="EK16" i="70"/>
  <c r="EC16" i="70"/>
  <c r="EA16" i="70"/>
  <c r="DY16" i="70"/>
  <c r="DW16" i="70"/>
  <c r="DU16" i="70"/>
  <c r="DS16" i="70"/>
  <c r="DQ16" i="70"/>
  <c r="DO16" i="70"/>
  <c r="GN15" i="70"/>
  <c r="GM15" i="70"/>
  <c r="GL15" i="70"/>
  <c r="GK15" i="70"/>
  <c r="GJ15" i="70"/>
  <c r="FQ15" i="70"/>
  <c r="ET15" i="70"/>
  <c r="ES15" i="70"/>
  <c r="EL15" i="70"/>
  <c r="EK15" i="70"/>
  <c r="EC15" i="70"/>
  <c r="EA15" i="70"/>
  <c r="DY15" i="70"/>
  <c r="DW15" i="70"/>
  <c r="DU15" i="70"/>
  <c r="DS15" i="70"/>
  <c r="DQ15" i="70"/>
  <c r="DO15" i="70"/>
  <c r="GP14" i="70"/>
  <c r="GN14" i="70"/>
  <c r="GM14" i="70"/>
  <c r="GL14" i="70"/>
  <c r="GK14" i="70"/>
  <c r="GI14" i="70"/>
  <c r="GH14" i="70"/>
  <c r="GG14" i="70"/>
  <c r="GF14" i="70"/>
  <c r="GE14" i="70"/>
  <c r="GD14" i="70"/>
  <c r="GC14" i="70"/>
  <c r="GB14" i="70"/>
  <c r="GA14" i="70"/>
  <c r="FZ14" i="70"/>
  <c r="FY14" i="70"/>
  <c r="FW14" i="70"/>
  <c r="FU14" i="70"/>
  <c r="FT14" i="70"/>
  <c r="FS14" i="70"/>
  <c r="FR14" i="70"/>
  <c r="FQ14" i="70"/>
  <c r="FP14" i="70"/>
  <c r="FO14" i="70"/>
  <c r="FN14" i="70"/>
  <c r="FM14" i="70"/>
  <c r="FL14" i="70"/>
  <c r="FJ14" i="70"/>
  <c r="FI14" i="70"/>
  <c r="FH14" i="70"/>
  <c r="FG14" i="70"/>
  <c r="FF14" i="70"/>
  <c r="FE14" i="70"/>
  <c r="FD14" i="70"/>
  <c r="FC14" i="70"/>
  <c r="FB14" i="70"/>
  <c r="FA14" i="70"/>
  <c r="EX14" i="70"/>
  <c r="EW14" i="70"/>
  <c r="ET14" i="70"/>
  <c r="ES14" i="70"/>
  <c r="EP14" i="70"/>
  <c r="EO14" i="70"/>
  <c r="EH14" i="70"/>
  <c r="EG14" i="70"/>
  <c r="ED14" i="70"/>
  <c r="EC14" i="70"/>
  <c r="EB14" i="70"/>
  <c r="EA14" i="70"/>
  <c r="DY14" i="70"/>
  <c r="DW14" i="70"/>
  <c r="DV14" i="70"/>
  <c r="DU14" i="70"/>
  <c r="DT14" i="70"/>
  <c r="DS14" i="70"/>
  <c r="DQ14" i="70"/>
  <c r="DO14" i="70"/>
  <c r="FG12" i="70"/>
  <c r="ED12" i="70"/>
  <c r="EB12" i="70"/>
  <c r="DV12" i="70"/>
  <c r="DT12" i="70"/>
  <c r="GP43" i="68"/>
  <c r="GN43" i="68"/>
  <c r="GM43" i="68"/>
  <c r="GL43" i="68"/>
  <c r="GK43" i="68"/>
  <c r="GI43" i="68"/>
  <c r="GH43" i="68"/>
  <c r="GG43" i="68"/>
  <c r="GF43" i="68"/>
  <c r="GE43" i="68"/>
  <c r="GD43" i="68"/>
  <c r="GC43" i="68"/>
  <c r="GB43" i="68"/>
  <c r="GA43" i="68"/>
  <c r="FZ43" i="68"/>
  <c r="FY43" i="68"/>
  <c r="FW43" i="68"/>
  <c r="FU43" i="68"/>
  <c r="FT43" i="68"/>
  <c r="FS43" i="68"/>
  <c r="FQ43" i="68"/>
  <c r="FO43" i="68"/>
  <c r="FM43" i="68"/>
  <c r="FK43" i="68"/>
  <c r="FJ43" i="68"/>
  <c r="FI43" i="68"/>
  <c r="FH43" i="68"/>
  <c r="FG43" i="68"/>
  <c r="FF43" i="68"/>
  <c r="FE43" i="68"/>
  <c r="FD43" i="68"/>
  <c r="FC43" i="68"/>
  <c r="FB43" i="68"/>
  <c r="FA43" i="68"/>
  <c r="EZ43" i="68"/>
  <c r="EY43" i="68"/>
  <c r="EX43" i="68"/>
  <c r="EW43" i="68"/>
  <c r="EV43" i="68"/>
  <c r="EU43" i="68"/>
  <c r="ES43" i="68"/>
  <c r="ER43" i="68"/>
  <c r="EQ43" i="68"/>
  <c r="EP43" i="68"/>
  <c r="EO43" i="68"/>
  <c r="EN43" i="68"/>
  <c r="EM43" i="68"/>
  <c r="EK43" i="68"/>
  <c r="EJ43" i="68"/>
  <c r="EI43" i="68"/>
  <c r="EH43" i="68"/>
  <c r="EG43" i="68"/>
  <c r="EF43" i="68"/>
  <c r="EE43" i="68"/>
  <c r="ED43" i="68"/>
  <c r="EC43" i="68"/>
  <c r="EB43" i="68"/>
  <c r="EA43" i="68"/>
  <c r="DZ43" i="68"/>
  <c r="DY43" i="68"/>
  <c r="DX43" i="68"/>
  <c r="DW43" i="68"/>
  <c r="DV43" i="68"/>
  <c r="DU43" i="68"/>
  <c r="DT43" i="68"/>
  <c r="DS43" i="68"/>
  <c r="DR43" i="68"/>
  <c r="DQ43" i="68"/>
  <c r="DP43" i="68"/>
  <c r="DO43" i="68"/>
  <c r="GP42" i="68"/>
  <c r="GN42" i="68"/>
  <c r="GM42" i="68"/>
  <c r="GL42" i="68"/>
  <c r="GK42" i="68"/>
  <c r="GO42" i="68" s="1"/>
  <c r="GI42" i="68"/>
  <c r="GH42" i="68"/>
  <c r="GG42" i="68"/>
  <c r="GF42" i="68"/>
  <c r="GE42" i="68"/>
  <c r="GD42" i="68"/>
  <c r="GC42" i="68"/>
  <c r="GB42" i="68"/>
  <c r="GA42" i="68"/>
  <c r="FZ42" i="68"/>
  <c r="FY42" i="68"/>
  <c r="FW42" i="68"/>
  <c r="FU42" i="68"/>
  <c r="FT42" i="68"/>
  <c r="FS42" i="68"/>
  <c r="FQ42" i="68"/>
  <c r="FO42" i="68"/>
  <c r="FM42" i="68"/>
  <c r="FK42" i="68"/>
  <c r="FJ42" i="68"/>
  <c r="FI42" i="68"/>
  <c r="FH42" i="68"/>
  <c r="FG42" i="68"/>
  <c r="FF42" i="68"/>
  <c r="FE42" i="68"/>
  <c r="FD42" i="68"/>
  <c r="FC42" i="68"/>
  <c r="FB42" i="68"/>
  <c r="FA42" i="68"/>
  <c r="EZ42" i="68"/>
  <c r="EY42" i="68"/>
  <c r="EX42" i="68"/>
  <c r="EW42" i="68"/>
  <c r="EV42" i="68"/>
  <c r="EU42" i="68"/>
  <c r="ET42" i="68"/>
  <c r="ES42" i="68"/>
  <c r="ER42" i="68"/>
  <c r="EQ42" i="68"/>
  <c r="EP42" i="68"/>
  <c r="EO42" i="68"/>
  <c r="EN42" i="68"/>
  <c r="EM42" i="68"/>
  <c r="EL42" i="68"/>
  <c r="EK42" i="68"/>
  <c r="EJ42" i="68"/>
  <c r="EI42" i="68"/>
  <c r="EH42" i="68"/>
  <c r="EG42" i="68"/>
  <c r="EF42" i="68"/>
  <c r="EE42" i="68"/>
  <c r="ED42" i="68"/>
  <c r="EC42" i="68"/>
  <c r="EB42" i="68"/>
  <c r="EA42" i="68"/>
  <c r="DZ42" i="68"/>
  <c r="DY42" i="68"/>
  <c r="DX42" i="68"/>
  <c r="DW42" i="68"/>
  <c r="DV42" i="68"/>
  <c r="DU42" i="68"/>
  <c r="DT42" i="68"/>
  <c r="DS42" i="68"/>
  <c r="DR42" i="68"/>
  <c r="DQ42" i="68"/>
  <c r="DP42" i="68"/>
  <c r="DO42" i="68"/>
  <c r="GN41" i="68"/>
  <c r="GM41" i="68"/>
  <c r="GL41" i="68"/>
  <c r="GK41" i="68"/>
  <c r="FQ41" i="68"/>
  <c r="ET41" i="68"/>
  <c r="ES41" i="68"/>
  <c r="EL41" i="68"/>
  <c r="EK41" i="68"/>
  <c r="EC41" i="68"/>
  <c r="EA41" i="68"/>
  <c r="DY41" i="68"/>
  <c r="DW41" i="68"/>
  <c r="DU41" i="68"/>
  <c r="DS41" i="68"/>
  <c r="DQ41" i="68"/>
  <c r="DO41" i="68"/>
  <c r="GN40" i="68"/>
  <c r="GM40" i="68"/>
  <c r="GL40" i="68"/>
  <c r="GK40" i="68"/>
  <c r="FQ40" i="68"/>
  <c r="ET40" i="68"/>
  <c r="ES40" i="68"/>
  <c r="EL40" i="68"/>
  <c r="EK40" i="68"/>
  <c r="EC40" i="68"/>
  <c r="EA40" i="68"/>
  <c r="DY40" i="68"/>
  <c r="DW40" i="68"/>
  <c r="DU40" i="68"/>
  <c r="DS40" i="68"/>
  <c r="DQ40" i="68"/>
  <c r="DO40" i="68"/>
  <c r="GP39" i="68"/>
  <c r="GN39" i="68"/>
  <c r="GM39" i="68"/>
  <c r="GL39" i="68"/>
  <c r="GK39" i="68"/>
  <c r="GI39" i="68"/>
  <c r="GH39" i="68"/>
  <c r="GG39" i="68"/>
  <c r="GF39" i="68"/>
  <c r="GE39" i="68"/>
  <c r="GD39" i="68"/>
  <c r="GC39" i="68"/>
  <c r="GB39" i="68"/>
  <c r="GA39" i="68"/>
  <c r="FZ39" i="68"/>
  <c r="FY39" i="68"/>
  <c r="FW39" i="68"/>
  <c r="FU39" i="68"/>
  <c r="FT39" i="68"/>
  <c r="FS39" i="68"/>
  <c r="FQ39" i="68"/>
  <c r="FO39" i="68"/>
  <c r="FM39" i="68"/>
  <c r="FK39" i="68"/>
  <c r="FJ39" i="68"/>
  <c r="FI39" i="68"/>
  <c r="FH39" i="68"/>
  <c r="FG39" i="68"/>
  <c r="FF39" i="68"/>
  <c r="FE39" i="68"/>
  <c r="FD39" i="68"/>
  <c r="FC39" i="68"/>
  <c r="FB39" i="68"/>
  <c r="FA39" i="68"/>
  <c r="EZ39" i="68"/>
  <c r="EY39" i="68"/>
  <c r="EX39" i="68"/>
  <c r="EW39" i="68"/>
  <c r="EV39" i="68"/>
  <c r="EU39" i="68"/>
  <c r="ET39" i="68"/>
  <c r="ES39" i="68"/>
  <c r="ER39" i="68"/>
  <c r="EQ39" i="68"/>
  <c r="EP39" i="68"/>
  <c r="EO39" i="68"/>
  <c r="EN39" i="68"/>
  <c r="EM39" i="68"/>
  <c r="EL39" i="68"/>
  <c r="EK39" i="68"/>
  <c r="EJ39" i="68"/>
  <c r="EI39" i="68"/>
  <c r="EH39" i="68"/>
  <c r="EG39" i="68"/>
  <c r="EF39" i="68"/>
  <c r="EE39" i="68"/>
  <c r="ED39" i="68"/>
  <c r="EC39" i="68"/>
  <c r="EB39" i="68"/>
  <c r="EA39" i="68"/>
  <c r="DZ39" i="68"/>
  <c r="DY39" i="68"/>
  <c r="DX39" i="68"/>
  <c r="DW39" i="68"/>
  <c r="DV39" i="68"/>
  <c r="DU39" i="68"/>
  <c r="DT39" i="68"/>
  <c r="DS39" i="68"/>
  <c r="DR39" i="68"/>
  <c r="DQ39" i="68"/>
  <c r="DP39" i="68"/>
  <c r="DO39" i="68"/>
  <c r="GP38" i="68"/>
  <c r="GN38" i="68"/>
  <c r="GM38" i="68"/>
  <c r="GL38" i="68"/>
  <c r="GK38" i="68"/>
  <c r="GI38" i="68"/>
  <c r="GH38" i="68"/>
  <c r="GG38" i="68"/>
  <c r="GF38" i="68"/>
  <c r="GE38" i="68"/>
  <c r="GD38" i="68"/>
  <c r="GC38" i="68"/>
  <c r="GB38" i="68"/>
  <c r="GA38" i="68"/>
  <c r="FZ38" i="68"/>
  <c r="FY38" i="68"/>
  <c r="FW38" i="68"/>
  <c r="FU38" i="68"/>
  <c r="FT38" i="68"/>
  <c r="FS38" i="68"/>
  <c r="FQ38" i="68"/>
  <c r="FO38" i="68"/>
  <c r="FM38" i="68"/>
  <c r="FK38" i="68"/>
  <c r="FJ38" i="68"/>
  <c r="FI38" i="68"/>
  <c r="FH38" i="68"/>
  <c r="FG38" i="68"/>
  <c r="FF38" i="68"/>
  <c r="FE38" i="68"/>
  <c r="FD38" i="68"/>
  <c r="FC38" i="68"/>
  <c r="FB38" i="68"/>
  <c r="FA38" i="68"/>
  <c r="EZ38" i="68"/>
  <c r="EY38" i="68"/>
  <c r="EX38" i="68"/>
  <c r="EW38" i="68"/>
  <c r="EV38" i="68"/>
  <c r="EU38" i="68"/>
  <c r="ET38" i="68"/>
  <c r="ES38" i="68"/>
  <c r="ER38" i="68"/>
  <c r="EQ38" i="68"/>
  <c r="EP38" i="68"/>
  <c r="EO38" i="68"/>
  <c r="EN38" i="68"/>
  <c r="EM38" i="68"/>
  <c r="EL38" i="68"/>
  <c r="EK38" i="68"/>
  <c r="EJ38" i="68"/>
  <c r="EI38" i="68"/>
  <c r="EH38" i="68"/>
  <c r="EG38" i="68"/>
  <c r="EF38" i="68"/>
  <c r="EE38" i="68"/>
  <c r="ED38" i="68"/>
  <c r="EC38" i="68"/>
  <c r="EB38" i="68"/>
  <c r="EA38" i="68"/>
  <c r="DZ38" i="68"/>
  <c r="DY38" i="68"/>
  <c r="DX38" i="68"/>
  <c r="DW38" i="68"/>
  <c r="DV38" i="68"/>
  <c r="DU38" i="68"/>
  <c r="DT38" i="68"/>
  <c r="DS38" i="68"/>
  <c r="DR38" i="68"/>
  <c r="DQ38" i="68"/>
  <c r="DP38" i="68"/>
  <c r="DO38" i="68"/>
  <c r="GP37" i="68"/>
  <c r="GN37" i="68"/>
  <c r="GM37" i="68"/>
  <c r="GL37" i="68"/>
  <c r="GK37" i="68"/>
  <c r="GI37" i="68"/>
  <c r="GH37" i="68"/>
  <c r="GG37" i="68"/>
  <c r="GF37" i="68"/>
  <c r="GE37" i="68"/>
  <c r="GD37" i="68"/>
  <c r="GC37" i="68"/>
  <c r="GB37" i="68"/>
  <c r="GA37" i="68"/>
  <c r="FZ37" i="68"/>
  <c r="FY37" i="68"/>
  <c r="FW37" i="68"/>
  <c r="FU37" i="68"/>
  <c r="FT37" i="68"/>
  <c r="FS37" i="68"/>
  <c r="FQ37" i="68"/>
  <c r="FO37" i="68"/>
  <c r="FM37" i="68"/>
  <c r="FJ37" i="68"/>
  <c r="FI37" i="68"/>
  <c r="FH37" i="68"/>
  <c r="FG37" i="68"/>
  <c r="FF37" i="68"/>
  <c r="FE37" i="68"/>
  <c r="FD37" i="68"/>
  <c r="FC37" i="68"/>
  <c r="FB37" i="68"/>
  <c r="FA37" i="68"/>
  <c r="EX37" i="68"/>
  <c r="EW37" i="68"/>
  <c r="ET37" i="68"/>
  <c r="ES37" i="68"/>
  <c r="EP37" i="68"/>
  <c r="EO37" i="68"/>
  <c r="EL37" i="68"/>
  <c r="EK37" i="68"/>
  <c r="EH37" i="68"/>
  <c r="EG37" i="68"/>
  <c r="ED37" i="68"/>
  <c r="EC37" i="68"/>
  <c r="EB37" i="68"/>
  <c r="EA37" i="68"/>
  <c r="DY37" i="68"/>
  <c r="DW37" i="68"/>
  <c r="DV37" i="68"/>
  <c r="DU37" i="68"/>
  <c r="DT37" i="68"/>
  <c r="DS37" i="68"/>
  <c r="DQ37" i="68"/>
  <c r="DO37" i="68"/>
  <c r="GP36" i="68"/>
  <c r="GN36" i="68"/>
  <c r="GM36" i="68"/>
  <c r="GL36" i="68"/>
  <c r="GK36" i="68"/>
  <c r="GI36" i="68"/>
  <c r="GH36" i="68"/>
  <c r="GG36" i="68"/>
  <c r="GF36" i="68"/>
  <c r="GE36" i="68"/>
  <c r="GD36" i="68"/>
  <c r="GC36" i="68"/>
  <c r="GB36" i="68"/>
  <c r="GA36" i="68"/>
  <c r="FZ36" i="68"/>
  <c r="FY36" i="68"/>
  <c r="FW36" i="68"/>
  <c r="FU36" i="68"/>
  <c r="FT36" i="68"/>
  <c r="FS36" i="68"/>
  <c r="FQ36" i="68"/>
  <c r="FM36" i="68"/>
  <c r="FJ36" i="68"/>
  <c r="FI36" i="68"/>
  <c r="FH36" i="68"/>
  <c r="FG36" i="68"/>
  <c r="FF36" i="68"/>
  <c r="FE36" i="68"/>
  <c r="FD36" i="68"/>
  <c r="FC36" i="68"/>
  <c r="FB36" i="68"/>
  <c r="FA36" i="68"/>
  <c r="EX36" i="68"/>
  <c r="EW36" i="68"/>
  <c r="ET36" i="68"/>
  <c r="ES36" i="68"/>
  <c r="EP36" i="68"/>
  <c r="EO36" i="68"/>
  <c r="EL36" i="68"/>
  <c r="EK36" i="68"/>
  <c r="EH36" i="68"/>
  <c r="EG36" i="68"/>
  <c r="ED36" i="68"/>
  <c r="EC36" i="68"/>
  <c r="EB36" i="68"/>
  <c r="EA36" i="68"/>
  <c r="DY36" i="68"/>
  <c r="DW36" i="68"/>
  <c r="DV36" i="68"/>
  <c r="DU36" i="68"/>
  <c r="DT36" i="68"/>
  <c r="DS36" i="68"/>
  <c r="DQ36" i="68"/>
  <c r="DO36" i="68"/>
  <c r="GN35" i="68"/>
  <c r="GM35" i="68"/>
  <c r="GL35" i="68"/>
  <c r="GK35" i="68"/>
  <c r="FQ35" i="68"/>
  <c r="ET35" i="68"/>
  <c r="ES35" i="68"/>
  <c r="EL35" i="68"/>
  <c r="EK35" i="68"/>
  <c r="EC35" i="68"/>
  <c r="EA35" i="68"/>
  <c r="DY35" i="68"/>
  <c r="DW35" i="68"/>
  <c r="DU35" i="68"/>
  <c r="DS35" i="68"/>
  <c r="DQ35" i="68"/>
  <c r="DO35" i="68"/>
  <c r="GN34" i="68"/>
  <c r="GM34" i="68"/>
  <c r="GL34" i="68"/>
  <c r="GK34" i="68"/>
  <c r="FQ34" i="68"/>
  <c r="ET34" i="68"/>
  <c r="ES34" i="68"/>
  <c r="EL34" i="68"/>
  <c r="EK34" i="68"/>
  <c r="EC34" i="68"/>
  <c r="EA34" i="68"/>
  <c r="DY34" i="68"/>
  <c r="DW34" i="68"/>
  <c r="DU34" i="68"/>
  <c r="DS34" i="68"/>
  <c r="DQ34" i="68"/>
  <c r="DO34" i="68"/>
  <c r="GN33" i="68"/>
  <c r="GM33" i="68"/>
  <c r="GL33" i="68"/>
  <c r="GK33" i="68"/>
  <c r="FQ33" i="68"/>
  <c r="ET33" i="68"/>
  <c r="ES33" i="68"/>
  <c r="EL33" i="68"/>
  <c r="EK33" i="68"/>
  <c r="EC33" i="68"/>
  <c r="EA33" i="68"/>
  <c r="DY33" i="68"/>
  <c r="DW33" i="68"/>
  <c r="DU33" i="68"/>
  <c r="DS33" i="68"/>
  <c r="DQ33" i="68"/>
  <c r="DO33" i="68"/>
  <c r="GP32" i="68"/>
  <c r="GN32" i="68"/>
  <c r="GM32" i="68"/>
  <c r="GL32" i="68"/>
  <c r="GK32" i="68"/>
  <c r="GI32" i="68"/>
  <c r="GH32" i="68"/>
  <c r="GG32" i="68"/>
  <c r="GF32" i="68"/>
  <c r="GE32" i="68"/>
  <c r="GD32" i="68"/>
  <c r="GC32" i="68"/>
  <c r="GB32" i="68"/>
  <c r="GA32" i="68"/>
  <c r="FZ32" i="68"/>
  <c r="FY32" i="68"/>
  <c r="FW32" i="68"/>
  <c r="FU32" i="68"/>
  <c r="FT32" i="68"/>
  <c r="FS32" i="68"/>
  <c r="FQ32" i="68"/>
  <c r="FO32" i="68"/>
  <c r="FM32" i="68"/>
  <c r="FK32" i="68"/>
  <c r="FJ32" i="68"/>
  <c r="FI32" i="68"/>
  <c r="FH32" i="68"/>
  <c r="FG32" i="68"/>
  <c r="FF32" i="68"/>
  <c r="FE32" i="68"/>
  <c r="FD32" i="68"/>
  <c r="FC32" i="68"/>
  <c r="FB32" i="68"/>
  <c r="FA32" i="68"/>
  <c r="EZ32" i="68"/>
  <c r="EY32" i="68"/>
  <c r="EX32" i="68"/>
  <c r="EW32" i="68"/>
  <c r="EV32" i="68"/>
  <c r="EU32" i="68"/>
  <c r="ET32" i="68"/>
  <c r="ES32" i="68"/>
  <c r="ER32" i="68"/>
  <c r="EQ32" i="68"/>
  <c r="EP32" i="68"/>
  <c r="EO32" i="68"/>
  <c r="EN32" i="68"/>
  <c r="EM32" i="68"/>
  <c r="EL32" i="68"/>
  <c r="EK32" i="68"/>
  <c r="EJ32" i="68"/>
  <c r="EI32" i="68"/>
  <c r="EH32" i="68"/>
  <c r="EG32" i="68"/>
  <c r="EF32" i="68"/>
  <c r="EE32" i="68"/>
  <c r="ED32" i="68"/>
  <c r="EC32" i="68"/>
  <c r="EB32" i="68"/>
  <c r="EA32" i="68"/>
  <c r="DZ32" i="68"/>
  <c r="DY32" i="68"/>
  <c r="DX32" i="68"/>
  <c r="DW32" i="68"/>
  <c r="DV32" i="68"/>
  <c r="DU32" i="68"/>
  <c r="DT32" i="68"/>
  <c r="DS32" i="68"/>
  <c r="DR32" i="68"/>
  <c r="DQ32" i="68"/>
  <c r="DP32" i="68"/>
  <c r="DO32" i="68"/>
  <c r="GP31" i="68"/>
  <c r="GN31" i="68"/>
  <c r="GM31" i="68"/>
  <c r="GL31" i="68"/>
  <c r="GK31" i="68"/>
  <c r="GI31" i="68"/>
  <c r="GH31" i="68"/>
  <c r="GG31" i="68"/>
  <c r="GF31" i="68"/>
  <c r="GE31" i="68"/>
  <c r="GD31" i="68"/>
  <c r="GC31" i="68"/>
  <c r="GB31" i="68"/>
  <c r="GA31" i="68"/>
  <c r="FZ31" i="68"/>
  <c r="FY31" i="68"/>
  <c r="FW31" i="68"/>
  <c r="FU31" i="68"/>
  <c r="FT31" i="68"/>
  <c r="FS31" i="68"/>
  <c r="FQ31" i="68"/>
  <c r="FM31" i="68"/>
  <c r="FJ31" i="68"/>
  <c r="FI31" i="68"/>
  <c r="FH31" i="68"/>
  <c r="FG31" i="68"/>
  <c r="FF31" i="68"/>
  <c r="FE31" i="68"/>
  <c r="FD31" i="68"/>
  <c r="FC31" i="68"/>
  <c r="FB31" i="68"/>
  <c r="FA31" i="68"/>
  <c r="EX31" i="68"/>
  <c r="EW31" i="68"/>
  <c r="ET31" i="68"/>
  <c r="ES31" i="68"/>
  <c r="EP31" i="68"/>
  <c r="EO31" i="68"/>
  <c r="EL31" i="68"/>
  <c r="EK31" i="68"/>
  <c r="EH31" i="68"/>
  <c r="EG31" i="68"/>
  <c r="ED31" i="68"/>
  <c r="EC31" i="68"/>
  <c r="EB31" i="68"/>
  <c r="EA31" i="68"/>
  <c r="DY31" i="68"/>
  <c r="DW31" i="68"/>
  <c r="DV31" i="68"/>
  <c r="DU31" i="68"/>
  <c r="DT31" i="68"/>
  <c r="DS31" i="68"/>
  <c r="DQ31" i="68"/>
  <c r="DO31" i="68"/>
  <c r="GP30" i="68"/>
  <c r="GN30" i="68"/>
  <c r="GM30" i="68"/>
  <c r="GL30" i="68"/>
  <c r="GK30" i="68"/>
  <c r="GI30" i="68"/>
  <c r="GH30" i="68"/>
  <c r="GG30" i="68"/>
  <c r="GF30" i="68"/>
  <c r="GE30" i="68"/>
  <c r="GD30" i="68"/>
  <c r="GC30" i="68"/>
  <c r="GB30" i="68"/>
  <c r="GA30" i="68"/>
  <c r="FZ30" i="68"/>
  <c r="FY30" i="68"/>
  <c r="FW30" i="68"/>
  <c r="FU30" i="68"/>
  <c r="FT30" i="68"/>
  <c r="FS30" i="68"/>
  <c r="FQ30" i="68"/>
  <c r="FM30" i="68"/>
  <c r="FJ30" i="68"/>
  <c r="FI30" i="68"/>
  <c r="FH30" i="68"/>
  <c r="FG30" i="68"/>
  <c r="FF30" i="68"/>
  <c r="FE30" i="68"/>
  <c r="FD30" i="68"/>
  <c r="FC30" i="68"/>
  <c r="FB30" i="68"/>
  <c r="FA30" i="68"/>
  <c r="EZ30" i="68"/>
  <c r="EX30" i="68"/>
  <c r="EW30" i="68"/>
  <c r="ET30" i="68"/>
  <c r="ES30" i="68"/>
  <c r="EP30" i="68"/>
  <c r="EO30" i="68"/>
  <c r="EL30" i="68"/>
  <c r="EK30" i="68"/>
  <c r="EH30" i="68"/>
  <c r="EG30" i="68"/>
  <c r="ED30" i="68"/>
  <c r="EC30" i="68"/>
  <c r="EB30" i="68"/>
  <c r="EA30" i="68"/>
  <c r="DY30" i="68"/>
  <c r="DW30" i="68"/>
  <c r="DV30" i="68"/>
  <c r="DU30" i="68"/>
  <c r="DT30" i="68"/>
  <c r="DS30" i="68"/>
  <c r="DQ30" i="68"/>
  <c r="DO30" i="68"/>
  <c r="GP29" i="68"/>
  <c r="GN29" i="68"/>
  <c r="GM29" i="68"/>
  <c r="GL29" i="68"/>
  <c r="GK29" i="68"/>
  <c r="GI29" i="68"/>
  <c r="GH29" i="68"/>
  <c r="GG29" i="68"/>
  <c r="GF29" i="68"/>
  <c r="GE29" i="68"/>
  <c r="GD29" i="68"/>
  <c r="GC29" i="68"/>
  <c r="GB29" i="68"/>
  <c r="GA29" i="68"/>
  <c r="FZ29" i="68"/>
  <c r="FY29" i="68"/>
  <c r="FW29" i="68"/>
  <c r="FU29" i="68"/>
  <c r="FT29" i="68"/>
  <c r="FS29" i="68"/>
  <c r="FQ29" i="68"/>
  <c r="FM29" i="68"/>
  <c r="FJ29" i="68"/>
  <c r="FI29" i="68"/>
  <c r="FH29" i="68"/>
  <c r="FG29" i="68"/>
  <c r="FF29" i="68"/>
  <c r="FE29" i="68"/>
  <c r="FD29" i="68"/>
  <c r="FC29" i="68"/>
  <c r="FB29" i="68"/>
  <c r="FA29" i="68"/>
  <c r="EX29" i="68"/>
  <c r="EW29" i="68"/>
  <c r="ET29" i="68"/>
  <c r="ES29" i="68"/>
  <c r="EP29" i="68"/>
  <c r="EO29" i="68"/>
  <c r="EL29" i="68"/>
  <c r="EK29" i="68"/>
  <c r="EH29" i="68"/>
  <c r="EG29" i="68"/>
  <c r="ED29" i="68"/>
  <c r="EC29" i="68"/>
  <c r="EB29" i="68"/>
  <c r="EA29" i="68"/>
  <c r="DY29" i="68"/>
  <c r="DW29" i="68"/>
  <c r="DV29" i="68"/>
  <c r="DU29" i="68"/>
  <c r="DT29" i="68"/>
  <c r="DS29" i="68"/>
  <c r="DQ29" i="68"/>
  <c r="DO29" i="68"/>
  <c r="GN28" i="68"/>
  <c r="GM28" i="68"/>
  <c r="GL28" i="68"/>
  <c r="GK28" i="68"/>
  <c r="FQ28" i="68"/>
  <c r="ET28" i="68"/>
  <c r="ES28" i="68"/>
  <c r="EL28" i="68"/>
  <c r="EK28" i="68"/>
  <c r="EC28" i="68"/>
  <c r="EA28" i="68"/>
  <c r="DY28" i="68"/>
  <c r="DW28" i="68"/>
  <c r="DU28" i="68"/>
  <c r="DS28" i="68"/>
  <c r="DQ28" i="68"/>
  <c r="DO28" i="68"/>
  <c r="GN27" i="68"/>
  <c r="GM27" i="68"/>
  <c r="GL27" i="68"/>
  <c r="GK27" i="68"/>
  <c r="FQ27" i="68"/>
  <c r="ET27" i="68"/>
  <c r="ES27" i="68"/>
  <c r="EL27" i="68"/>
  <c r="EK27" i="68"/>
  <c r="EC27" i="68"/>
  <c r="EA27" i="68"/>
  <c r="DY27" i="68"/>
  <c r="DW27" i="68"/>
  <c r="DU27" i="68"/>
  <c r="DS27" i="68"/>
  <c r="DQ27" i="68"/>
  <c r="DO27" i="68"/>
  <c r="GN26" i="68"/>
  <c r="GM26" i="68"/>
  <c r="GL26" i="68"/>
  <c r="GK26" i="68"/>
  <c r="FQ26" i="68"/>
  <c r="ET26" i="68"/>
  <c r="ES26" i="68"/>
  <c r="EL26" i="68"/>
  <c r="EK26" i="68"/>
  <c r="EC26" i="68"/>
  <c r="EA26" i="68"/>
  <c r="DY26" i="68"/>
  <c r="DW26" i="68"/>
  <c r="DU26" i="68"/>
  <c r="DS26" i="68"/>
  <c r="DQ26" i="68"/>
  <c r="DO26" i="68"/>
  <c r="GP25" i="68"/>
  <c r="GN25" i="68"/>
  <c r="GM25" i="68"/>
  <c r="GL25" i="68"/>
  <c r="GK25" i="68"/>
  <c r="GI25" i="68"/>
  <c r="GH25" i="68"/>
  <c r="GG25" i="68"/>
  <c r="GF25" i="68"/>
  <c r="GE25" i="68"/>
  <c r="GD25" i="68"/>
  <c r="GC25" i="68"/>
  <c r="GB25" i="68"/>
  <c r="GA25" i="68"/>
  <c r="FZ25" i="68"/>
  <c r="FY25" i="68"/>
  <c r="FW25" i="68"/>
  <c r="FU25" i="68"/>
  <c r="FT25" i="68"/>
  <c r="FS25" i="68"/>
  <c r="FQ25" i="68"/>
  <c r="FM25" i="68"/>
  <c r="FJ25" i="68"/>
  <c r="FI25" i="68"/>
  <c r="FH25" i="68"/>
  <c r="FG25" i="68"/>
  <c r="FF25" i="68"/>
  <c r="FE25" i="68"/>
  <c r="FD25" i="68"/>
  <c r="FC25" i="68"/>
  <c r="FB25" i="68"/>
  <c r="FA25" i="68"/>
  <c r="EX25" i="68"/>
  <c r="EW25" i="68"/>
  <c r="ET25" i="68"/>
  <c r="ES25" i="68"/>
  <c r="EP25" i="68"/>
  <c r="EO25" i="68"/>
  <c r="EM25" i="68"/>
  <c r="EL25" i="68"/>
  <c r="EK25" i="68"/>
  <c r="EH25" i="68"/>
  <c r="EG25" i="68"/>
  <c r="ED25" i="68"/>
  <c r="EC25" i="68"/>
  <c r="EB25" i="68"/>
  <c r="EA25" i="68"/>
  <c r="DY25" i="68"/>
  <c r="DW25" i="68"/>
  <c r="DV25" i="68"/>
  <c r="DU25" i="68"/>
  <c r="DT25" i="68"/>
  <c r="DS25" i="68"/>
  <c r="DQ25" i="68"/>
  <c r="DO25" i="68"/>
  <c r="GP24" i="68"/>
  <c r="GN24" i="68"/>
  <c r="GM24" i="68"/>
  <c r="GL24" i="68"/>
  <c r="GK24" i="68"/>
  <c r="GI24" i="68"/>
  <c r="GH24" i="68"/>
  <c r="GG24" i="68"/>
  <c r="GF24" i="68"/>
  <c r="GE24" i="68"/>
  <c r="GD24" i="68"/>
  <c r="GC24" i="68"/>
  <c r="GB24" i="68"/>
  <c r="GA24" i="68"/>
  <c r="FZ24" i="68"/>
  <c r="FY24" i="68"/>
  <c r="FW24" i="68"/>
  <c r="FU24" i="68"/>
  <c r="FT24" i="68"/>
  <c r="FS24" i="68"/>
  <c r="FQ24" i="68"/>
  <c r="FO24" i="68"/>
  <c r="FM24" i="68"/>
  <c r="FK24" i="68"/>
  <c r="FJ24" i="68"/>
  <c r="FI24" i="68"/>
  <c r="FH24" i="68"/>
  <c r="FG24" i="68"/>
  <c r="FF24" i="68"/>
  <c r="FE24" i="68"/>
  <c r="FD24" i="68"/>
  <c r="FC24" i="68"/>
  <c r="FB24" i="68"/>
  <c r="FA24" i="68"/>
  <c r="EZ24" i="68"/>
  <c r="EY24" i="68"/>
  <c r="EX24" i="68"/>
  <c r="EW24" i="68"/>
  <c r="EV24" i="68"/>
  <c r="EU24" i="68"/>
  <c r="ET24" i="68"/>
  <c r="ES24" i="68"/>
  <c r="ER24" i="68"/>
  <c r="EQ24" i="68"/>
  <c r="EP24" i="68"/>
  <c r="EO24" i="68"/>
  <c r="EN24" i="68"/>
  <c r="EM24" i="68"/>
  <c r="EL24" i="68"/>
  <c r="EK24" i="68"/>
  <c r="EJ24" i="68"/>
  <c r="EI24" i="68"/>
  <c r="EH24" i="68"/>
  <c r="EG24" i="68"/>
  <c r="EF24" i="68"/>
  <c r="EE24" i="68"/>
  <c r="ED24" i="68"/>
  <c r="EC24" i="68"/>
  <c r="EB24" i="68"/>
  <c r="EA24" i="68"/>
  <c r="DZ24" i="68"/>
  <c r="DY24" i="68"/>
  <c r="DX24" i="68"/>
  <c r="DW24" i="68"/>
  <c r="DV24" i="68"/>
  <c r="DU24" i="68"/>
  <c r="DT24" i="68"/>
  <c r="DS24" i="68"/>
  <c r="DR24" i="68"/>
  <c r="DQ24" i="68"/>
  <c r="DP24" i="68"/>
  <c r="DO24" i="68"/>
  <c r="GP23" i="68"/>
  <c r="GN23" i="68"/>
  <c r="GM23" i="68"/>
  <c r="GL23" i="68"/>
  <c r="GK23" i="68"/>
  <c r="GI23" i="68"/>
  <c r="GH23" i="68"/>
  <c r="GG23" i="68"/>
  <c r="GF23" i="68"/>
  <c r="GE23" i="68"/>
  <c r="GD23" i="68"/>
  <c r="GC23" i="68"/>
  <c r="GB23" i="68"/>
  <c r="GA23" i="68"/>
  <c r="FZ23" i="68"/>
  <c r="FY23" i="68"/>
  <c r="FW23" i="68"/>
  <c r="FU23" i="68"/>
  <c r="FT23" i="68"/>
  <c r="FS23" i="68"/>
  <c r="FQ23" i="68"/>
  <c r="FO23" i="68"/>
  <c r="FM23" i="68"/>
  <c r="FK23" i="68"/>
  <c r="FJ23" i="68"/>
  <c r="FI23" i="68"/>
  <c r="FH23" i="68"/>
  <c r="FG23" i="68"/>
  <c r="FF23" i="68"/>
  <c r="FE23" i="68"/>
  <c r="FD23" i="68"/>
  <c r="FC23" i="68"/>
  <c r="FB23" i="68"/>
  <c r="FA23" i="68"/>
  <c r="EZ23" i="68"/>
  <c r="EY23" i="68"/>
  <c r="EX23" i="68"/>
  <c r="EW23" i="68"/>
  <c r="EV23" i="68"/>
  <c r="EU23" i="68"/>
  <c r="ET23" i="68"/>
  <c r="ES23" i="68"/>
  <c r="ER23" i="68"/>
  <c r="EQ23" i="68"/>
  <c r="EP23" i="68"/>
  <c r="EO23" i="68"/>
  <c r="EN23" i="68"/>
  <c r="EM23" i="68"/>
  <c r="EL23" i="68"/>
  <c r="EK23" i="68"/>
  <c r="EJ23" i="68"/>
  <c r="EI23" i="68"/>
  <c r="EH23" i="68"/>
  <c r="EG23" i="68"/>
  <c r="EF23" i="68"/>
  <c r="EE23" i="68"/>
  <c r="ED23" i="68"/>
  <c r="EC23" i="68"/>
  <c r="EB23" i="68"/>
  <c r="EA23" i="68"/>
  <c r="DZ23" i="68"/>
  <c r="DY23" i="68"/>
  <c r="DX23" i="68"/>
  <c r="DW23" i="68"/>
  <c r="DV23" i="68"/>
  <c r="DU23" i="68"/>
  <c r="DT23" i="68"/>
  <c r="DS23" i="68"/>
  <c r="DR23" i="68"/>
  <c r="DQ23" i="68"/>
  <c r="DP23" i="68"/>
  <c r="DO23" i="68"/>
  <c r="GP22" i="68"/>
  <c r="GN22" i="68"/>
  <c r="GM22" i="68"/>
  <c r="GL22" i="68"/>
  <c r="GK22" i="68"/>
  <c r="GI22" i="68"/>
  <c r="GH22" i="68"/>
  <c r="GG22" i="68"/>
  <c r="GF22" i="68"/>
  <c r="GE22" i="68"/>
  <c r="GD22" i="68"/>
  <c r="GC22" i="68"/>
  <c r="GB22" i="68"/>
  <c r="GA22" i="68"/>
  <c r="FZ22" i="68"/>
  <c r="FY22" i="68"/>
  <c r="FW22" i="68"/>
  <c r="FU22" i="68"/>
  <c r="FT22" i="68"/>
  <c r="FS22" i="68"/>
  <c r="FQ22" i="68"/>
  <c r="FO22" i="68"/>
  <c r="FM22" i="68"/>
  <c r="FK22" i="68"/>
  <c r="FJ22" i="68"/>
  <c r="FI22" i="68"/>
  <c r="FH22" i="68"/>
  <c r="FG22" i="68"/>
  <c r="FF22" i="68"/>
  <c r="FE22" i="68"/>
  <c r="FD22" i="68"/>
  <c r="FC22" i="68"/>
  <c r="FB22" i="68"/>
  <c r="FA22" i="68"/>
  <c r="EZ22" i="68"/>
  <c r="EY22" i="68"/>
  <c r="EX22" i="68"/>
  <c r="EW22" i="68"/>
  <c r="EV22" i="68"/>
  <c r="EU22" i="68"/>
  <c r="ET22" i="68"/>
  <c r="ES22" i="68"/>
  <c r="ER22" i="68"/>
  <c r="EQ22" i="68"/>
  <c r="EP22" i="68"/>
  <c r="EO22" i="68"/>
  <c r="EN22" i="68"/>
  <c r="EM22" i="68"/>
  <c r="EL22" i="68"/>
  <c r="EK22" i="68"/>
  <c r="EJ22" i="68"/>
  <c r="EI22" i="68"/>
  <c r="EH22" i="68"/>
  <c r="EG22" i="68"/>
  <c r="EF22" i="68"/>
  <c r="EE22" i="68"/>
  <c r="ED22" i="68"/>
  <c r="EC22" i="68"/>
  <c r="EB22" i="68"/>
  <c r="EA22" i="68"/>
  <c r="DZ22" i="68"/>
  <c r="DY22" i="68"/>
  <c r="DX22" i="68"/>
  <c r="DW22" i="68"/>
  <c r="DV22" i="68"/>
  <c r="DU22" i="68"/>
  <c r="DT22" i="68"/>
  <c r="DS22" i="68"/>
  <c r="DR22" i="68"/>
  <c r="DQ22" i="68"/>
  <c r="DP22" i="68"/>
  <c r="DO22" i="68"/>
  <c r="GN21" i="68"/>
  <c r="GM21" i="68"/>
  <c r="GL21" i="68"/>
  <c r="GK21" i="68"/>
  <c r="FQ21" i="68"/>
  <c r="ET21" i="68"/>
  <c r="ES21" i="68"/>
  <c r="EL21" i="68"/>
  <c r="EK21" i="68"/>
  <c r="EC21" i="68"/>
  <c r="EA21" i="68"/>
  <c r="DY21" i="68"/>
  <c r="DW21" i="68"/>
  <c r="DU21" i="68"/>
  <c r="DS21" i="68"/>
  <c r="DQ21" i="68"/>
  <c r="DO21" i="68"/>
  <c r="GN20" i="68"/>
  <c r="GM20" i="68"/>
  <c r="GL20" i="68"/>
  <c r="GK20" i="68"/>
  <c r="FQ20" i="68"/>
  <c r="ET20" i="68"/>
  <c r="ES20" i="68"/>
  <c r="EL20" i="68"/>
  <c r="EK20" i="68"/>
  <c r="EC20" i="68"/>
  <c r="EA20" i="68"/>
  <c r="DY20" i="68"/>
  <c r="DW20" i="68"/>
  <c r="DU20" i="68"/>
  <c r="DS20" i="68"/>
  <c r="DQ20" i="68"/>
  <c r="DO20" i="68"/>
  <c r="GN19" i="68"/>
  <c r="GM19" i="68"/>
  <c r="GL19" i="68"/>
  <c r="GK19" i="68"/>
  <c r="FQ19" i="68"/>
  <c r="ET19" i="68"/>
  <c r="ES19" i="68"/>
  <c r="EL19" i="68"/>
  <c r="EK19" i="68"/>
  <c r="EC19" i="68"/>
  <c r="EA19" i="68"/>
  <c r="DY19" i="68"/>
  <c r="DW19" i="68"/>
  <c r="DU19" i="68"/>
  <c r="DS19" i="68"/>
  <c r="DQ19" i="68"/>
  <c r="DO19" i="68"/>
  <c r="GP18" i="68"/>
  <c r="GN18" i="68"/>
  <c r="GM18" i="68"/>
  <c r="GL18" i="68"/>
  <c r="GK18" i="68"/>
  <c r="GI18" i="68"/>
  <c r="GH18" i="68"/>
  <c r="GG18" i="68"/>
  <c r="GF18" i="68"/>
  <c r="GE18" i="68"/>
  <c r="GD18" i="68"/>
  <c r="GC18" i="68"/>
  <c r="GB18" i="68"/>
  <c r="GA18" i="68"/>
  <c r="FZ18" i="68"/>
  <c r="FY18" i="68"/>
  <c r="FW18" i="68"/>
  <c r="FU18" i="68"/>
  <c r="FT18" i="68"/>
  <c r="FS18" i="68"/>
  <c r="FQ18" i="68"/>
  <c r="FO18" i="68"/>
  <c r="FM18" i="68"/>
  <c r="FK18" i="68"/>
  <c r="FJ18" i="68"/>
  <c r="FI18" i="68"/>
  <c r="FH18" i="68"/>
  <c r="FG18" i="68"/>
  <c r="FF18" i="68"/>
  <c r="FE18" i="68"/>
  <c r="FD18" i="68"/>
  <c r="FC18" i="68"/>
  <c r="FB18" i="68"/>
  <c r="FA18" i="68"/>
  <c r="EZ18" i="68"/>
  <c r="EY18" i="68"/>
  <c r="EX18" i="68"/>
  <c r="EW18" i="68"/>
  <c r="EV18" i="68"/>
  <c r="EU18" i="68"/>
  <c r="ET18" i="68"/>
  <c r="ES18" i="68"/>
  <c r="ER18" i="68"/>
  <c r="EQ18" i="68"/>
  <c r="EP18" i="68"/>
  <c r="EO18" i="68"/>
  <c r="EN18" i="68"/>
  <c r="EM18" i="68"/>
  <c r="EL18" i="68"/>
  <c r="EK18" i="68"/>
  <c r="EJ18" i="68"/>
  <c r="EI18" i="68"/>
  <c r="EH18" i="68"/>
  <c r="EG18" i="68"/>
  <c r="EF18" i="68"/>
  <c r="EE18" i="68"/>
  <c r="ED18" i="68"/>
  <c r="EC18" i="68"/>
  <c r="EB18" i="68"/>
  <c r="EA18" i="68"/>
  <c r="DZ18" i="68"/>
  <c r="DY18" i="68"/>
  <c r="DX18" i="68"/>
  <c r="DW18" i="68"/>
  <c r="DV18" i="68"/>
  <c r="DU18" i="68"/>
  <c r="DT18" i="68"/>
  <c r="DS18" i="68"/>
  <c r="DR18" i="68"/>
  <c r="DQ18" i="68"/>
  <c r="DP18" i="68"/>
  <c r="DO18" i="68"/>
  <c r="GP17" i="68"/>
  <c r="GN17" i="68"/>
  <c r="GM17" i="68"/>
  <c r="GL17" i="68"/>
  <c r="GK17" i="68"/>
  <c r="GI17" i="68"/>
  <c r="GH17" i="68"/>
  <c r="GG17" i="68"/>
  <c r="GF17" i="68"/>
  <c r="GE17" i="68"/>
  <c r="GD17" i="68"/>
  <c r="GC17" i="68"/>
  <c r="GB17" i="68"/>
  <c r="GA17" i="68"/>
  <c r="FZ17" i="68"/>
  <c r="FY17" i="68"/>
  <c r="FW17" i="68"/>
  <c r="FU17" i="68"/>
  <c r="FT17" i="68"/>
  <c r="FS17" i="68"/>
  <c r="FQ17" i="68"/>
  <c r="FO17" i="68"/>
  <c r="FM17" i="68"/>
  <c r="FK17" i="68"/>
  <c r="FJ17" i="68"/>
  <c r="FI17" i="68"/>
  <c r="FH17" i="68"/>
  <c r="FG17" i="68"/>
  <c r="FF17" i="68"/>
  <c r="FE17" i="68"/>
  <c r="FD17" i="68"/>
  <c r="FC17" i="68"/>
  <c r="FB17" i="68"/>
  <c r="FA17" i="68"/>
  <c r="EZ17" i="68"/>
  <c r="EY17" i="68"/>
  <c r="EX17" i="68"/>
  <c r="EW17" i="68"/>
  <c r="EV17" i="68"/>
  <c r="EU17" i="68"/>
  <c r="ET17" i="68"/>
  <c r="ES17" i="68"/>
  <c r="ER17" i="68"/>
  <c r="EQ17" i="68"/>
  <c r="EP17" i="68"/>
  <c r="EO17" i="68"/>
  <c r="EN17" i="68"/>
  <c r="EM17" i="68"/>
  <c r="EL17" i="68"/>
  <c r="EK17" i="68"/>
  <c r="EJ17" i="68"/>
  <c r="EI17" i="68"/>
  <c r="EH17" i="68"/>
  <c r="EG17" i="68"/>
  <c r="EF17" i="68"/>
  <c r="EE17" i="68"/>
  <c r="ED17" i="68"/>
  <c r="EC17" i="68"/>
  <c r="EB17" i="68"/>
  <c r="EA17" i="68"/>
  <c r="DZ17" i="68"/>
  <c r="DY17" i="68"/>
  <c r="DX17" i="68"/>
  <c r="DW17" i="68"/>
  <c r="DV17" i="68"/>
  <c r="DU17" i="68"/>
  <c r="DT17" i="68"/>
  <c r="DS17" i="68"/>
  <c r="DR17" i="68"/>
  <c r="DQ17" i="68"/>
  <c r="DP17" i="68"/>
  <c r="DO17" i="68"/>
  <c r="GP16" i="68"/>
  <c r="GN16" i="68"/>
  <c r="GM16" i="68"/>
  <c r="GL16" i="68"/>
  <c r="GK16" i="68"/>
  <c r="GI16" i="68"/>
  <c r="GH16" i="68"/>
  <c r="GG16" i="68"/>
  <c r="GF16" i="68"/>
  <c r="GE16" i="68"/>
  <c r="GD16" i="68"/>
  <c r="GC16" i="68"/>
  <c r="GB16" i="68"/>
  <c r="GA16" i="68"/>
  <c r="FZ16" i="68"/>
  <c r="FY16" i="68"/>
  <c r="FW16" i="68"/>
  <c r="FU16" i="68"/>
  <c r="FT16" i="68"/>
  <c r="FS16" i="68"/>
  <c r="FQ16" i="68"/>
  <c r="FO16" i="68"/>
  <c r="FM16" i="68"/>
  <c r="FK16" i="68"/>
  <c r="FJ16" i="68"/>
  <c r="FI16" i="68"/>
  <c r="FH16" i="68"/>
  <c r="FG16" i="68"/>
  <c r="FF16" i="68"/>
  <c r="FE16" i="68"/>
  <c r="FD16" i="68"/>
  <c r="FC16" i="68"/>
  <c r="FB16" i="68"/>
  <c r="FA16" i="68"/>
  <c r="EZ16" i="68"/>
  <c r="EY16" i="68"/>
  <c r="EX16" i="68"/>
  <c r="EW16" i="68"/>
  <c r="EV16" i="68"/>
  <c r="EU16" i="68"/>
  <c r="ET16" i="68"/>
  <c r="ES16" i="68"/>
  <c r="ER16" i="68"/>
  <c r="EQ16" i="68"/>
  <c r="EP16" i="68"/>
  <c r="EO16" i="68"/>
  <c r="EN16" i="68"/>
  <c r="EM16" i="68"/>
  <c r="EL16" i="68"/>
  <c r="EK16" i="68"/>
  <c r="EJ16" i="68"/>
  <c r="EI16" i="68"/>
  <c r="EH16" i="68"/>
  <c r="EG16" i="68"/>
  <c r="EF16" i="68"/>
  <c r="EE16" i="68"/>
  <c r="ED16" i="68"/>
  <c r="EC16" i="68"/>
  <c r="EB16" i="68"/>
  <c r="EA16" i="68"/>
  <c r="DZ16" i="68"/>
  <c r="DY16" i="68"/>
  <c r="DX16" i="68"/>
  <c r="DW16" i="68"/>
  <c r="DV16" i="68"/>
  <c r="DU16" i="68"/>
  <c r="DT16" i="68"/>
  <c r="DS16" i="68"/>
  <c r="DR16" i="68"/>
  <c r="DQ16" i="68"/>
  <c r="DP16" i="68"/>
  <c r="DO16" i="68"/>
  <c r="GP15" i="68"/>
  <c r="GN15" i="68"/>
  <c r="GM15" i="68"/>
  <c r="GL15" i="68"/>
  <c r="GK15" i="68"/>
  <c r="GI15" i="68"/>
  <c r="GH15" i="68"/>
  <c r="GG15" i="68"/>
  <c r="GF15" i="68"/>
  <c r="GE15" i="68"/>
  <c r="GD15" i="68"/>
  <c r="GC15" i="68"/>
  <c r="GB15" i="68"/>
  <c r="GA15" i="68"/>
  <c r="FZ15" i="68"/>
  <c r="FY15" i="68"/>
  <c r="FW15" i="68"/>
  <c r="FU15" i="68"/>
  <c r="FT15" i="68"/>
  <c r="FS15" i="68"/>
  <c r="FQ15" i="68"/>
  <c r="FO15" i="68"/>
  <c r="FM15" i="68"/>
  <c r="FK15" i="68"/>
  <c r="FJ15" i="68"/>
  <c r="FI15" i="68"/>
  <c r="FH15" i="68"/>
  <c r="FG15" i="68"/>
  <c r="FF15" i="68"/>
  <c r="FE15" i="68"/>
  <c r="FD15" i="68"/>
  <c r="FC15" i="68"/>
  <c r="FB15" i="68"/>
  <c r="FA15" i="68"/>
  <c r="EZ15" i="68"/>
  <c r="EY15" i="68"/>
  <c r="EX15" i="68"/>
  <c r="EW15" i="68"/>
  <c r="EV15" i="68"/>
  <c r="EU15" i="68"/>
  <c r="ET15" i="68"/>
  <c r="ES15" i="68"/>
  <c r="ER15" i="68"/>
  <c r="EQ15" i="68"/>
  <c r="EP15" i="68"/>
  <c r="EO15" i="68"/>
  <c r="EN15" i="68"/>
  <c r="EM15" i="68"/>
  <c r="EL15" i="68"/>
  <c r="EK15" i="68"/>
  <c r="EJ15" i="68"/>
  <c r="EI15" i="68"/>
  <c r="EH15" i="68"/>
  <c r="EG15" i="68"/>
  <c r="EF15" i="68"/>
  <c r="EE15" i="68"/>
  <c r="ED15" i="68"/>
  <c r="EC15" i="68"/>
  <c r="EB15" i="68"/>
  <c r="EA15" i="68"/>
  <c r="DZ15" i="68"/>
  <c r="DY15" i="68"/>
  <c r="DX15" i="68"/>
  <c r="DW15" i="68"/>
  <c r="DV15" i="68"/>
  <c r="DU15" i="68"/>
  <c r="DT15" i="68"/>
  <c r="DS15" i="68"/>
  <c r="DR15" i="68"/>
  <c r="DQ15" i="68"/>
  <c r="DP15" i="68"/>
  <c r="DO15" i="68"/>
  <c r="GN14" i="68"/>
  <c r="GM14" i="68"/>
  <c r="GL14" i="68"/>
  <c r="GK14" i="68"/>
  <c r="FR14" i="68"/>
  <c r="FQ14" i="68"/>
  <c r="FP14" i="68"/>
  <c r="ET14" i="68"/>
  <c r="ES14" i="68"/>
  <c r="EL14" i="68"/>
  <c r="EK14" i="68"/>
  <c r="EC14" i="68"/>
  <c r="EA14" i="68"/>
  <c r="DY14" i="68"/>
  <c r="DW14" i="68"/>
  <c r="DU14" i="68"/>
  <c r="DS14" i="68"/>
  <c r="DQ14" i="68"/>
  <c r="DO14" i="68"/>
  <c r="FG12" i="68"/>
  <c r="ED12" i="68"/>
  <c r="EB12" i="68"/>
  <c r="DV12" i="68"/>
  <c r="DT12" i="68"/>
  <c r="GN43" i="65"/>
  <c r="GM43" i="65"/>
  <c r="GL43" i="65"/>
  <c r="GK43" i="65"/>
  <c r="GJ43" i="65"/>
  <c r="FQ43" i="65"/>
  <c r="ET43" i="65"/>
  <c r="ES43" i="65"/>
  <c r="EL43" i="65"/>
  <c r="EK43" i="65"/>
  <c r="EC43" i="65"/>
  <c r="EA43" i="65"/>
  <c r="DY43" i="65"/>
  <c r="DW43" i="65"/>
  <c r="DU43" i="65"/>
  <c r="DS43" i="65"/>
  <c r="DQ43" i="65"/>
  <c r="DO43" i="65"/>
  <c r="GN42" i="65"/>
  <c r="GM42" i="65"/>
  <c r="GL42" i="65"/>
  <c r="GK42" i="65"/>
  <c r="GJ42" i="65"/>
  <c r="FQ42" i="65"/>
  <c r="ET42" i="65"/>
  <c r="ES42" i="65"/>
  <c r="EL42" i="65"/>
  <c r="EK42" i="65"/>
  <c r="EC42" i="65"/>
  <c r="EA42" i="65"/>
  <c r="DY42" i="65"/>
  <c r="DW42" i="65"/>
  <c r="DU42" i="65"/>
  <c r="DS42" i="65"/>
  <c r="DQ42" i="65"/>
  <c r="DO42" i="65"/>
  <c r="GN41" i="65"/>
  <c r="GM41" i="65"/>
  <c r="GL41" i="65"/>
  <c r="GK41" i="65"/>
  <c r="GJ41" i="65"/>
  <c r="FQ41" i="65"/>
  <c r="ET41" i="65"/>
  <c r="ES41" i="65"/>
  <c r="EL41" i="65"/>
  <c r="EK41" i="65"/>
  <c r="EC41" i="65"/>
  <c r="EA41" i="65"/>
  <c r="DY41" i="65"/>
  <c r="DW41" i="65"/>
  <c r="DU41" i="65"/>
  <c r="DS41" i="65"/>
  <c r="DQ41" i="65"/>
  <c r="DO41" i="65"/>
  <c r="GP40" i="65"/>
  <c r="GN40" i="65"/>
  <c r="GM40" i="65"/>
  <c r="GL40" i="65"/>
  <c r="GK40" i="65"/>
  <c r="GJ40" i="65"/>
  <c r="GI40" i="65"/>
  <c r="GH40" i="65"/>
  <c r="GG40" i="65"/>
  <c r="GF40" i="65"/>
  <c r="GE40" i="65"/>
  <c r="GD40" i="65"/>
  <c r="GC40" i="65"/>
  <c r="GB40" i="65"/>
  <c r="GA40" i="65"/>
  <c r="FZ40" i="65"/>
  <c r="FY40" i="65"/>
  <c r="FW40" i="65"/>
  <c r="FU40" i="65"/>
  <c r="FT40" i="65"/>
  <c r="FS40" i="65"/>
  <c r="FQ40" i="65"/>
  <c r="FO40" i="65"/>
  <c r="FM40" i="65"/>
  <c r="FK40" i="65"/>
  <c r="FJ40" i="65"/>
  <c r="FI40" i="65"/>
  <c r="FH40" i="65"/>
  <c r="FG40" i="65"/>
  <c r="FF40" i="65"/>
  <c r="FE40" i="65"/>
  <c r="FD40" i="65"/>
  <c r="FC40" i="65"/>
  <c r="FB40" i="65"/>
  <c r="FA40" i="65"/>
  <c r="EZ40" i="65"/>
  <c r="EY40" i="65"/>
  <c r="EX40" i="65"/>
  <c r="EW40" i="65"/>
  <c r="EV40" i="65"/>
  <c r="EU40" i="65"/>
  <c r="ET40" i="65"/>
  <c r="ES40" i="65"/>
  <c r="ER40" i="65"/>
  <c r="EQ40" i="65"/>
  <c r="EP40" i="65"/>
  <c r="EO40" i="65"/>
  <c r="EN40" i="65"/>
  <c r="EM40" i="65"/>
  <c r="EL40" i="65"/>
  <c r="EK40" i="65"/>
  <c r="EJ40" i="65"/>
  <c r="EI40" i="65"/>
  <c r="EH40" i="65"/>
  <c r="EG40" i="65"/>
  <c r="EF40" i="65"/>
  <c r="EE40" i="65"/>
  <c r="ED40" i="65"/>
  <c r="EC40" i="65"/>
  <c r="EB40" i="65"/>
  <c r="EA40" i="65"/>
  <c r="DZ40" i="65"/>
  <c r="DY40" i="65"/>
  <c r="DX40" i="65"/>
  <c r="DW40" i="65"/>
  <c r="DV40" i="65"/>
  <c r="DU40" i="65"/>
  <c r="DT40" i="65"/>
  <c r="DS40" i="65"/>
  <c r="DR40" i="65"/>
  <c r="DQ40" i="65"/>
  <c r="DP40" i="65"/>
  <c r="DO40" i="65"/>
  <c r="GP39" i="65"/>
  <c r="GN39" i="65"/>
  <c r="GM39" i="65"/>
  <c r="GL39" i="65"/>
  <c r="GK39" i="65"/>
  <c r="GJ39" i="65"/>
  <c r="GI39" i="65"/>
  <c r="GH39" i="65"/>
  <c r="GG39" i="65"/>
  <c r="GF39" i="65"/>
  <c r="GE39" i="65"/>
  <c r="GD39" i="65"/>
  <c r="GC39" i="65"/>
  <c r="GB39" i="65"/>
  <c r="GA39" i="65"/>
  <c r="FZ39" i="65"/>
  <c r="FY39" i="65"/>
  <c r="FW39" i="65"/>
  <c r="FU39" i="65"/>
  <c r="FT39" i="65"/>
  <c r="FS39" i="65"/>
  <c r="FQ39" i="65"/>
  <c r="FO39" i="65"/>
  <c r="FM39" i="65"/>
  <c r="FJ39" i="65"/>
  <c r="FI39" i="65"/>
  <c r="FH39" i="65"/>
  <c r="FG39" i="65"/>
  <c r="FF39" i="65"/>
  <c r="FE39" i="65"/>
  <c r="FD39" i="65"/>
  <c r="FC39" i="65"/>
  <c r="FB39" i="65"/>
  <c r="FA39" i="65"/>
  <c r="EX39" i="65"/>
  <c r="EW39" i="65"/>
  <c r="ET39" i="65"/>
  <c r="ES39" i="65"/>
  <c r="EP39" i="65"/>
  <c r="EO39" i="65"/>
  <c r="EL39" i="65"/>
  <c r="EK39" i="65"/>
  <c r="EH39" i="65"/>
  <c r="EG39" i="65"/>
  <c r="ED39" i="65"/>
  <c r="EC39" i="65"/>
  <c r="EB39" i="65"/>
  <c r="EA39" i="65"/>
  <c r="DY39" i="65"/>
  <c r="DW39" i="65"/>
  <c r="DV39" i="65"/>
  <c r="DU39" i="65"/>
  <c r="DT39" i="65"/>
  <c r="DS39" i="65"/>
  <c r="DQ39" i="65"/>
  <c r="DO39" i="65"/>
  <c r="GP38" i="65"/>
  <c r="GN38" i="65"/>
  <c r="GM38" i="65"/>
  <c r="GL38" i="65"/>
  <c r="GK38" i="65"/>
  <c r="GJ38" i="65"/>
  <c r="GI38" i="65"/>
  <c r="GH38" i="65"/>
  <c r="GG38" i="65"/>
  <c r="GF38" i="65"/>
  <c r="GE38" i="65"/>
  <c r="GD38" i="65"/>
  <c r="GC38" i="65"/>
  <c r="GB38" i="65"/>
  <c r="GA38" i="65"/>
  <c r="FZ38" i="65"/>
  <c r="FY38" i="65"/>
  <c r="FW38" i="65"/>
  <c r="FU38" i="65"/>
  <c r="FT38" i="65"/>
  <c r="FS38" i="65"/>
  <c r="FQ38" i="65"/>
  <c r="FO38" i="65"/>
  <c r="FM38" i="65"/>
  <c r="FK38" i="65"/>
  <c r="FJ38" i="65"/>
  <c r="FI38" i="65"/>
  <c r="FH38" i="65"/>
  <c r="FG38" i="65"/>
  <c r="FF38" i="65"/>
  <c r="FE38" i="65"/>
  <c r="FD38" i="65"/>
  <c r="FC38" i="65"/>
  <c r="FB38" i="65"/>
  <c r="FA38" i="65"/>
  <c r="EZ38" i="65"/>
  <c r="EY38" i="65"/>
  <c r="EX38" i="65"/>
  <c r="EW38" i="65"/>
  <c r="EV38" i="65"/>
  <c r="EU38" i="65"/>
  <c r="ET38" i="65"/>
  <c r="ES38" i="65"/>
  <c r="ER38" i="65"/>
  <c r="EQ38" i="65"/>
  <c r="EP38" i="65"/>
  <c r="EO38" i="65"/>
  <c r="EN38" i="65"/>
  <c r="EM38" i="65"/>
  <c r="EL38" i="65"/>
  <c r="EK38" i="65"/>
  <c r="EJ38" i="65"/>
  <c r="EI38" i="65"/>
  <c r="EH38" i="65"/>
  <c r="EG38" i="65"/>
  <c r="EF38" i="65"/>
  <c r="EE38" i="65"/>
  <c r="ED38" i="65"/>
  <c r="EC38" i="65"/>
  <c r="EB38" i="65"/>
  <c r="EA38" i="65"/>
  <c r="DZ38" i="65"/>
  <c r="DY38" i="65"/>
  <c r="DX38" i="65"/>
  <c r="DW38" i="65"/>
  <c r="DV38" i="65"/>
  <c r="DU38" i="65"/>
  <c r="DT38" i="65"/>
  <c r="DS38" i="65"/>
  <c r="DR38" i="65"/>
  <c r="DQ38" i="65"/>
  <c r="DP38" i="65"/>
  <c r="DO38" i="65"/>
  <c r="GP37" i="65"/>
  <c r="GN37" i="65"/>
  <c r="GM37" i="65"/>
  <c r="GL37" i="65"/>
  <c r="GK37" i="65"/>
  <c r="GJ37" i="65"/>
  <c r="GI37" i="65"/>
  <c r="GH37" i="65"/>
  <c r="GG37" i="65"/>
  <c r="GF37" i="65"/>
  <c r="GE37" i="65"/>
  <c r="GD37" i="65"/>
  <c r="GC37" i="65"/>
  <c r="GB37" i="65"/>
  <c r="GA37" i="65"/>
  <c r="FZ37" i="65"/>
  <c r="FY37" i="65"/>
  <c r="FW37" i="65"/>
  <c r="FU37" i="65"/>
  <c r="FT37" i="65"/>
  <c r="FS37" i="65"/>
  <c r="FQ37" i="65"/>
  <c r="FO37" i="65"/>
  <c r="FM37" i="65"/>
  <c r="FK37" i="65"/>
  <c r="FJ37" i="65"/>
  <c r="FI37" i="65"/>
  <c r="FH37" i="65"/>
  <c r="FG37" i="65"/>
  <c r="FF37" i="65"/>
  <c r="FE37" i="65"/>
  <c r="FD37" i="65"/>
  <c r="FC37" i="65"/>
  <c r="FB37" i="65"/>
  <c r="FA37" i="65"/>
  <c r="EZ37" i="65"/>
  <c r="EY37" i="65"/>
  <c r="EX37" i="65"/>
  <c r="EW37" i="65"/>
  <c r="EV37" i="65"/>
  <c r="EU37" i="65"/>
  <c r="ET37" i="65"/>
  <c r="ES37" i="65"/>
  <c r="ER37" i="65"/>
  <c r="EQ37" i="65"/>
  <c r="EP37" i="65"/>
  <c r="EO37" i="65"/>
  <c r="EN37" i="65"/>
  <c r="EM37" i="65"/>
  <c r="EL37" i="65"/>
  <c r="EK37" i="65"/>
  <c r="EJ37" i="65"/>
  <c r="EI37" i="65"/>
  <c r="EH37" i="65"/>
  <c r="EG37" i="65"/>
  <c r="EF37" i="65"/>
  <c r="EE37" i="65"/>
  <c r="ED37" i="65"/>
  <c r="EC37" i="65"/>
  <c r="EB37" i="65"/>
  <c r="EA37" i="65"/>
  <c r="DZ37" i="65"/>
  <c r="DY37" i="65"/>
  <c r="DX37" i="65"/>
  <c r="DW37" i="65"/>
  <c r="DV37" i="65"/>
  <c r="DU37" i="65"/>
  <c r="DT37" i="65"/>
  <c r="DS37" i="65"/>
  <c r="DR37" i="65"/>
  <c r="DQ37" i="65"/>
  <c r="DP37" i="65"/>
  <c r="DO37" i="65"/>
  <c r="GN36" i="65"/>
  <c r="GM36" i="65"/>
  <c r="GL36" i="65"/>
  <c r="GK36" i="65"/>
  <c r="GJ36" i="65"/>
  <c r="FQ36" i="65"/>
  <c r="ET36" i="65"/>
  <c r="ES36" i="65"/>
  <c r="EL36" i="65"/>
  <c r="EK36" i="65"/>
  <c r="EC36" i="65"/>
  <c r="EA36" i="65"/>
  <c r="DY36" i="65"/>
  <c r="DW36" i="65"/>
  <c r="DU36" i="65"/>
  <c r="DS36" i="65"/>
  <c r="DQ36" i="65"/>
  <c r="DO36" i="65"/>
  <c r="GN35" i="65"/>
  <c r="GM35" i="65"/>
  <c r="GL35" i="65"/>
  <c r="GK35" i="65"/>
  <c r="GJ35" i="65"/>
  <c r="FQ35" i="65"/>
  <c r="ET35" i="65"/>
  <c r="ES35" i="65"/>
  <c r="EL35" i="65"/>
  <c r="EK35" i="65"/>
  <c r="EC35" i="65"/>
  <c r="EA35" i="65"/>
  <c r="DY35" i="65"/>
  <c r="DW35" i="65"/>
  <c r="DU35" i="65"/>
  <c r="DS35" i="65"/>
  <c r="DQ35" i="65"/>
  <c r="DO35" i="65"/>
  <c r="GP34" i="65"/>
  <c r="GN34" i="65"/>
  <c r="GM34" i="65"/>
  <c r="GL34" i="65"/>
  <c r="GK34" i="65"/>
  <c r="GJ34" i="65"/>
  <c r="GI34" i="65"/>
  <c r="GH34" i="65"/>
  <c r="GG34" i="65"/>
  <c r="GF34" i="65"/>
  <c r="GE34" i="65"/>
  <c r="GD34" i="65"/>
  <c r="GC34" i="65"/>
  <c r="GB34" i="65"/>
  <c r="GA34" i="65"/>
  <c r="FZ34" i="65"/>
  <c r="FY34" i="65"/>
  <c r="FW34" i="65"/>
  <c r="FU34" i="65"/>
  <c r="FT34" i="65"/>
  <c r="FS34" i="65"/>
  <c r="FQ34" i="65"/>
  <c r="FM34" i="65"/>
  <c r="FK34" i="65"/>
  <c r="FJ34" i="65"/>
  <c r="FI34" i="65"/>
  <c r="FH34" i="65"/>
  <c r="FG34" i="65"/>
  <c r="FF34" i="65"/>
  <c r="FE34" i="65"/>
  <c r="FD34" i="65"/>
  <c r="FC34" i="65"/>
  <c r="FB34" i="65"/>
  <c r="FA34" i="65"/>
  <c r="EX34" i="65"/>
  <c r="EW34" i="65"/>
  <c r="EU34" i="65"/>
  <c r="ET34" i="65"/>
  <c r="ES34" i="65"/>
  <c r="EP34" i="65"/>
  <c r="EO34" i="65"/>
  <c r="EM34" i="65"/>
  <c r="EL34" i="65"/>
  <c r="EK34" i="65"/>
  <c r="EH34" i="65"/>
  <c r="EG34" i="65"/>
  <c r="EE34" i="65"/>
  <c r="ED34" i="65"/>
  <c r="EC34" i="65"/>
  <c r="EB34" i="65"/>
  <c r="EA34" i="65"/>
  <c r="DY34" i="65"/>
  <c r="DW34" i="65"/>
  <c r="DV34" i="65"/>
  <c r="DU34" i="65"/>
  <c r="DT34" i="65"/>
  <c r="DS34" i="65"/>
  <c r="DQ34" i="65"/>
  <c r="DO34" i="65"/>
  <c r="GP33" i="65"/>
  <c r="GN33" i="65"/>
  <c r="GM33" i="65"/>
  <c r="GL33" i="65"/>
  <c r="GK33" i="65"/>
  <c r="GJ33" i="65"/>
  <c r="GI33" i="65"/>
  <c r="GH33" i="65"/>
  <c r="GG33" i="65"/>
  <c r="GF33" i="65"/>
  <c r="GE33" i="65"/>
  <c r="GD33" i="65"/>
  <c r="GC33" i="65"/>
  <c r="GB33" i="65"/>
  <c r="GA33" i="65"/>
  <c r="FZ33" i="65"/>
  <c r="FY33" i="65"/>
  <c r="FW33" i="65"/>
  <c r="FU33" i="65"/>
  <c r="FT33" i="65"/>
  <c r="FS33" i="65"/>
  <c r="FQ33" i="65"/>
  <c r="FO33" i="65"/>
  <c r="FM33" i="65"/>
  <c r="FK33" i="65"/>
  <c r="FJ33" i="65"/>
  <c r="FI33" i="65"/>
  <c r="FH33" i="65"/>
  <c r="FG33" i="65"/>
  <c r="FF33" i="65"/>
  <c r="FE33" i="65"/>
  <c r="FD33" i="65"/>
  <c r="FC33" i="65"/>
  <c r="FB33" i="65"/>
  <c r="FA33" i="65"/>
  <c r="EZ33" i="65"/>
  <c r="EY33" i="65"/>
  <c r="EX33" i="65"/>
  <c r="EW33" i="65"/>
  <c r="EV33" i="65"/>
  <c r="EU33" i="65"/>
  <c r="ET33" i="65"/>
  <c r="ES33" i="65"/>
  <c r="ER33" i="65"/>
  <c r="EQ33" i="65"/>
  <c r="EP33" i="65"/>
  <c r="EO33" i="65"/>
  <c r="EN33" i="65"/>
  <c r="EM33" i="65"/>
  <c r="EL33" i="65"/>
  <c r="EK33" i="65"/>
  <c r="EJ33" i="65"/>
  <c r="EI33" i="65"/>
  <c r="EH33" i="65"/>
  <c r="EG33" i="65"/>
  <c r="EF33" i="65"/>
  <c r="EE33" i="65"/>
  <c r="ED33" i="65"/>
  <c r="EC33" i="65"/>
  <c r="EB33" i="65"/>
  <c r="EA33" i="65"/>
  <c r="DZ33" i="65"/>
  <c r="DY33" i="65"/>
  <c r="DX33" i="65"/>
  <c r="DW33" i="65"/>
  <c r="DV33" i="65"/>
  <c r="DU33" i="65"/>
  <c r="DT33" i="65"/>
  <c r="DS33" i="65"/>
  <c r="DR33" i="65"/>
  <c r="DQ33" i="65"/>
  <c r="DP33" i="65"/>
  <c r="DO33" i="65"/>
  <c r="GP32" i="65"/>
  <c r="GN32" i="65"/>
  <c r="GM32" i="65"/>
  <c r="GL32" i="65"/>
  <c r="GK32" i="65"/>
  <c r="GJ32" i="65"/>
  <c r="GI32" i="65"/>
  <c r="GH32" i="65"/>
  <c r="GG32" i="65"/>
  <c r="GF32" i="65"/>
  <c r="GE32" i="65"/>
  <c r="GD32" i="65"/>
  <c r="GC32" i="65"/>
  <c r="GB32" i="65"/>
  <c r="GA32" i="65"/>
  <c r="FZ32" i="65"/>
  <c r="FY32" i="65"/>
  <c r="FW32" i="65"/>
  <c r="FU32" i="65"/>
  <c r="FT32" i="65"/>
  <c r="FS32" i="65"/>
  <c r="FQ32" i="65"/>
  <c r="FO32" i="65"/>
  <c r="FM32" i="65"/>
  <c r="FK32" i="65"/>
  <c r="FJ32" i="65"/>
  <c r="FI32" i="65"/>
  <c r="FH32" i="65"/>
  <c r="FG32" i="65"/>
  <c r="FF32" i="65"/>
  <c r="FE32" i="65"/>
  <c r="FD32" i="65"/>
  <c r="FC32" i="65"/>
  <c r="FB32" i="65"/>
  <c r="FA32" i="65"/>
  <c r="EZ32" i="65"/>
  <c r="EY32" i="65"/>
  <c r="EX32" i="65"/>
  <c r="EW32" i="65"/>
  <c r="EV32" i="65"/>
  <c r="EU32" i="65"/>
  <c r="ET32" i="65"/>
  <c r="ES32" i="65"/>
  <c r="ER32" i="65"/>
  <c r="EQ32" i="65"/>
  <c r="EP32" i="65"/>
  <c r="EO32" i="65"/>
  <c r="EN32" i="65"/>
  <c r="EM32" i="65"/>
  <c r="EL32" i="65"/>
  <c r="EK32" i="65"/>
  <c r="EJ32" i="65"/>
  <c r="EI32" i="65"/>
  <c r="EH32" i="65"/>
  <c r="EG32" i="65"/>
  <c r="EF32" i="65"/>
  <c r="EE32" i="65"/>
  <c r="ED32" i="65"/>
  <c r="EC32" i="65"/>
  <c r="EB32" i="65"/>
  <c r="EA32" i="65"/>
  <c r="DZ32" i="65"/>
  <c r="DY32" i="65"/>
  <c r="DX32" i="65"/>
  <c r="DW32" i="65"/>
  <c r="DV32" i="65"/>
  <c r="DU32" i="65"/>
  <c r="DT32" i="65"/>
  <c r="DS32" i="65"/>
  <c r="DR32" i="65"/>
  <c r="DQ32" i="65"/>
  <c r="DP32" i="65"/>
  <c r="DO32" i="65"/>
  <c r="GP31" i="65"/>
  <c r="GN31" i="65"/>
  <c r="GM31" i="65"/>
  <c r="GL31" i="65"/>
  <c r="GK31" i="65"/>
  <c r="GJ31" i="65"/>
  <c r="GI31" i="65"/>
  <c r="GH31" i="65"/>
  <c r="GG31" i="65"/>
  <c r="GF31" i="65"/>
  <c r="GE31" i="65"/>
  <c r="GD31" i="65"/>
  <c r="GC31" i="65"/>
  <c r="GB31" i="65"/>
  <c r="GA31" i="65"/>
  <c r="FZ31" i="65"/>
  <c r="FY31" i="65"/>
  <c r="FW31" i="65"/>
  <c r="FU31" i="65"/>
  <c r="FT31" i="65"/>
  <c r="FS31" i="65"/>
  <c r="FQ31" i="65"/>
  <c r="FO31" i="65"/>
  <c r="FM31" i="65"/>
  <c r="FK31" i="65"/>
  <c r="FJ31" i="65"/>
  <c r="FI31" i="65"/>
  <c r="FH31" i="65"/>
  <c r="FG31" i="65"/>
  <c r="FF31" i="65"/>
  <c r="FE31" i="65"/>
  <c r="FD31" i="65"/>
  <c r="FC31" i="65"/>
  <c r="FB31" i="65"/>
  <c r="FA31" i="65"/>
  <c r="EZ31" i="65"/>
  <c r="EY31" i="65"/>
  <c r="EX31" i="65"/>
  <c r="EW31" i="65"/>
  <c r="EV31" i="65"/>
  <c r="EU31" i="65"/>
  <c r="ET31" i="65"/>
  <c r="ES31" i="65"/>
  <c r="ER31" i="65"/>
  <c r="EQ31" i="65"/>
  <c r="EP31" i="65"/>
  <c r="EO31" i="65"/>
  <c r="EN31" i="65"/>
  <c r="EM31" i="65"/>
  <c r="EL31" i="65"/>
  <c r="EK31" i="65"/>
  <c r="EJ31" i="65"/>
  <c r="EI31" i="65"/>
  <c r="EH31" i="65"/>
  <c r="EG31" i="65"/>
  <c r="EF31" i="65"/>
  <c r="EE31" i="65"/>
  <c r="ED31" i="65"/>
  <c r="EC31" i="65"/>
  <c r="EB31" i="65"/>
  <c r="EA31" i="65"/>
  <c r="DZ31" i="65"/>
  <c r="DY31" i="65"/>
  <c r="DX31" i="65"/>
  <c r="DW31" i="65"/>
  <c r="DV31" i="65"/>
  <c r="DU31" i="65"/>
  <c r="DT31" i="65"/>
  <c r="DS31" i="65"/>
  <c r="DR31" i="65"/>
  <c r="DQ31" i="65"/>
  <c r="DP31" i="65"/>
  <c r="DO31" i="65"/>
  <c r="GP30" i="65"/>
  <c r="GN30" i="65"/>
  <c r="GM30" i="65"/>
  <c r="GL30" i="65"/>
  <c r="GK30" i="65"/>
  <c r="GJ30" i="65"/>
  <c r="GI30" i="65"/>
  <c r="GH30" i="65"/>
  <c r="GG30" i="65"/>
  <c r="GF30" i="65"/>
  <c r="GE30" i="65"/>
  <c r="GD30" i="65"/>
  <c r="GC30" i="65"/>
  <c r="GB30" i="65"/>
  <c r="GA30" i="65"/>
  <c r="FZ30" i="65"/>
  <c r="FY30" i="65"/>
  <c r="FW30" i="65"/>
  <c r="FU30" i="65"/>
  <c r="FT30" i="65"/>
  <c r="FS30" i="65"/>
  <c r="FQ30" i="65"/>
  <c r="FO30" i="65"/>
  <c r="FM30" i="65"/>
  <c r="FK30" i="65"/>
  <c r="FJ30" i="65"/>
  <c r="FI30" i="65"/>
  <c r="FH30" i="65"/>
  <c r="FG30" i="65"/>
  <c r="FF30" i="65"/>
  <c r="FE30" i="65"/>
  <c r="FD30" i="65"/>
  <c r="FC30" i="65"/>
  <c r="FB30" i="65"/>
  <c r="FA30" i="65"/>
  <c r="EZ30" i="65"/>
  <c r="EY30" i="65"/>
  <c r="EX30" i="65"/>
  <c r="EW30" i="65"/>
  <c r="EV30" i="65"/>
  <c r="EU30" i="65"/>
  <c r="ET30" i="65"/>
  <c r="ES30" i="65"/>
  <c r="ER30" i="65"/>
  <c r="EQ30" i="65"/>
  <c r="EP30" i="65"/>
  <c r="EO30" i="65"/>
  <c r="EN30" i="65"/>
  <c r="EM30" i="65"/>
  <c r="EL30" i="65"/>
  <c r="EK30" i="65"/>
  <c r="EJ30" i="65"/>
  <c r="EI30" i="65"/>
  <c r="EH30" i="65"/>
  <c r="EG30" i="65"/>
  <c r="EF30" i="65"/>
  <c r="EE30" i="65"/>
  <c r="ED30" i="65"/>
  <c r="EC30" i="65"/>
  <c r="EB30" i="65"/>
  <c r="EA30" i="65"/>
  <c r="DZ30" i="65"/>
  <c r="DY30" i="65"/>
  <c r="DX30" i="65"/>
  <c r="DW30" i="65"/>
  <c r="DV30" i="65"/>
  <c r="DU30" i="65"/>
  <c r="DT30" i="65"/>
  <c r="DS30" i="65"/>
  <c r="DR30" i="65"/>
  <c r="DQ30" i="65"/>
  <c r="DP30" i="65"/>
  <c r="DO30" i="65"/>
  <c r="GN29" i="65"/>
  <c r="GM29" i="65"/>
  <c r="GL29" i="65"/>
  <c r="GK29" i="65"/>
  <c r="GJ29" i="65"/>
  <c r="FQ29" i="65"/>
  <c r="ET29" i="65"/>
  <c r="ES29" i="65"/>
  <c r="EL29" i="65"/>
  <c r="EK29" i="65"/>
  <c r="EC29" i="65"/>
  <c r="EA29" i="65"/>
  <c r="DY29" i="65"/>
  <c r="DW29" i="65"/>
  <c r="DU29" i="65"/>
  <c r="DS29" i="65"/>
  <c r="DQ29" i="65"/>
  <c r="DO29" i="65"/>
  <c r="GN28" i="65"/>
  <c r="GM28" i="65"/>
  <c r="GL28" i="65"/>
  <c r="GK28" i="65"/>
  <c r="GJ28" i="65"/>
  <c r="FQ28" i="65"/>
  <c r="ET28" i="65"/>
  <c r="ES28" i="65"/>
  <c r="EL28" i="65"/>
  <c r="EK28" i="65"/>
  <c r="EC28" i="65"/>
  <c r="EA28" i="65"/>
  <c r="DY28" i="65"/>
  <c r="DW28" i="65"/>
  <c r="DU28" i="65"/>
  <c r="DS28" i="65"/>
  <c r="DQ28" i="65"/>
  <c r="DO28" i="65"/>
  <c r="GP27" i="65"/>
  <c r="GN27" i="65"/>
  <c r="GM27" i="65"/>
  <c r="GL27" i="65"/>
  <c r="GK27" i="65"/>
  <c r="GJ27" i="65"/>
  <c r="GI27" i="65"/>
  <c r="GH27" i="65"/>
  <c r="GG27" i="65"/>
  <c r="GF27" i="65"/>
  <c r="GE27" i="65"/>
  <c r="GD27" i="65"/>
  <c r="GC27" i="65"/>
  <c r="GB27" i="65"/>
  <c r="GA27" i="65"/>
  <c r="FZ27" i="65"/>
  <c r="FY27" i="65"/>
  <c r="FW27" i="65"/>
  <c r="FU27" i="65"/>
  <c r="FT27" i="65"/>
  <c r="FS27" i="65"/>
  <c r="FQ27" i="65"/>
  <c r="FO27" i="65"/>
  <c r="FM27" i="65"/>
  <c r="FK27" i="65"/>
  <c r="FJ27" i="65"/>
  <c r="FI27" i="65"/>
  <c r="FH27" i="65"/>
  <c r="FG27" i="65"/>
  <c r="FF27" i="65"/>
  <c r="FE27" i="65"/>
  <c r="FD27" i="65"/>
  <c r="FC27" i="65"/>
  <c r="FB27" i="65"/>
  <c r="FA27" i="65"/>
  <c r="EZ27" i="65"/>
  <c r="EY27" i="65"/>
  <c r="EX27" i="65"/>
  <c r="EW27" i="65"/>
  <c r="EV27" i="65"/>
  <c r="EU27" i="65"/>
  <c r="ET27" i="65"/>
  <c r="ES27" i="65"/>
  <c r="ER27" i="65"/>
  <c r="EQ27" i="65"/>
  <c r="EP27" i="65"/>
  <c r="EO27" i="65"/>
  <c r="EN27" i="65"/>
  <c r="EM27" i="65"/>
  <c r="EL27" i="65"/>
  <c r="EK27" i="65"/>
  <c r="EJ27" i="65"/>
  <c r="EI27" i="65"/>
  <c r="EH27" i="65"/>
  <c r="EG27" i="65"/>
  <c r="EF27" i="65"/>
  <c r="EE27" i="65"/>
  <c r="ED27" i="65"/>
  <c r="EC27" i="65"/>
  <c r="EB27" i="65"/>
  <c r="EA27" i="65"/>
  <c r="DZ27" i="65"/>
  <c r="DY27" i="65"/>
  <c r="DX27" i="65"/>
  <c r="DW27" i="65"/>
  <c r="DV27" i="65"/>
  <c r="DU27" i="65"/>
  <c r="DT27" i="65"/>
  <c r="DS27" i="65"/>
  <c r="DR27" i="65"/>
  <c r="DQ27" i="65"/>
  <c r="DP27" i="65"/>
  <c r="DO27" i="65"/>
  <c r="GP26" i="65"/>
  <c r="GN26" i="65"/>
  <c r="GM26" i="65"/>
  <c r="GL26" i="65"/>
  <c r="GK26" i="65"/>
  <c r="GJ26" i="65"/>
  <c r="GI26" i="65"/>
  <c r="GH26" i="65"/>
  <c r="GG26" i="65"/>
  <c r="GF26" i="65"/>
  <c r="GE26" i="65"/>
  <c r="GD26" i="65"/>
  <c r="GC26" i="65"/>
  <c r="GB26" i="65"/>
  <c r="GA26" i="65"/>
  <c r="FZ26" i="65"/>
  <c r="FY26" i="65"/>
  <c r="FW26" i="65"/>
  <c r="FU26" i="65"/>
  <c r="FT26" i="65"/>
  <c r="FS26" i="65"/>
  <c r="FQ26" i="65"/>
  <c r="FO26" i="65"/>
  <c r="FM26" i="65"/>
  <c r="FJ26" i="65"/>
  <c r="FI26" i="65"/>
  <c r="FH26" i="65"/>
  <c r="FG26" i="65"/>
  <c r="FF26" i="65"/>
  <c r="FE26" i="65"/>
  <c r="FD26" i="65"/>
  <c r="FC26" i="65"/>
  <c r="FB26" i="65"/>
  <c r="FA26" i="65"/>
  <c r="EX26" i="65"/>
  <c r="EW26" i="65"/>
  <c r="ET26" i="65"/>
  <c r="ES26" i="65"/>
  <c r="EP26" i="65"/>
  <c r="EO26" i="65"/>
  <c r="EL26" i="65"/>
  <c r="EK26" i="65"/>
  <c r="EH26" i="65"/>
  <c r="EG26" i="65"/>
  <c r="ED26" i="65"/>
  <c r="EC26" i="65"/>
  <c r="EB26" i="65"/>
  <c r="EA26" i="65"/>
  <c r="DY26" i="65"/>
  <c r="DW26" i="65"/>
  <c r="DV26" i="65"/>
  <c r="DU26" i="65"/>
  <c r="DT26" i="65"/>
  <c r="DS26" i="65"/>
  <c r="DQ26" i="65"/>
  <c r="DO26" i="65"/>
  <c r="GP25" i="65"/>
  <c r="GN25" i="65"/>
  <c r="GM25" i="65"/>
  <c r="GL25" i="65"/>
  <c r="GK25" i="65"/>
  <c r="GJ25" i="65"/>
  <c r="GI25" i="65"/>
  <c r="GH25" i="65"/>
  <c r="GG25" i="65"/>
  <c r="GF25" i="65"/>
  <c r="GE25" i="65"/>
  <c r="GD25" i="65"/>
  <c r="GC25" i="65"/>
  <c r="GB25" i="65"/>
  <c r="GA25" i="65"/>
  <c r="FZ25" i="65"/>
  <c r="FY25" i="65"/>
  <c r="FW25" i="65"/>
  <c r="FU25" i="65"/>
  <c r="FT25" i="65"/>
  <c r="FS25" i="65"/>
  <c r="FQ25" i="65"/>
  <c r="FO25" i="65"/>
  <c r="FM25" i="65"/>
  <c r="FK25" i="65"/>
  <c r="FJ25" i="65"/>
  <c r="FI25" i="65"/>
  <c r="FH25" i="65"/>
  <c r="FG25" i="65"/>
  <c r="FF25" i="65"/>
  <c r="FE25" i="65"/>
  <c r="FD25" i="65"/>
  <c r="FC25" i="65"/>
  <c r="FB25" i="65"/>
  <c r="FA25" i="65"/>
  <c r="EZ25" i="65"/>
  <c r="EY25" i="65"/>
  <c r="EX25" i="65"/>
  <c r="EW25" i="65"/>
  <c r="EV25" i="65"/>
  <c r="EU25" i="65"/>
  <c r="ET25" i="65"/>
  <c r="ES25" i="65"/>
  <c r="ER25" i="65"/>
  <c r="EQ25" i="65"/>
  <c r="EP25" i="65"/>
  <c r="EO25" i="65"/>
  <c r="EN25" i="65"/>
  <c r="EM25" i="65"/>
  <c r="EL25" i="65"/>
  <c r="EK25" i="65"/>
  <c r="EJ25" i="65"/>
  <c r="EI25" i="65"/>
  <c r="EH25" i="65"/>
  <c r="EG25" i="65"/>
  <c r="EF25" i="65"/>
  <c r="EE25" i="65"/>
  <c r="ED25" i="65"/>
  <c r="EC25" i="65"/>
  <c r="EB25" i="65"/>
  <c r="EA25" i="65"/>
  <c r="DZ25" i="65"/>
  <c r="DY25" i="65"/>
  <c r="DX25" i="65"/>
  <c r="DW25" i="65"/>
  <c r="DV25" i="65"/>
  <c r="DU25" i="65"/>
  <c r="DT25" i="65"/>
  <c r="DS25" i="65"/>
  <c r="DR25" i="65"/>
  <c r="DQ25" i="65"/>
  <c r="DP25" i="65"/>
  <c r="DO25" i="65"/>
  <c r="GP24" i="65"/>
  <c r="GN24" i="65"/>
  <c r="GM24" i="65"/>
  <c r="GL24" i="65"/>
  <c r="GK24" i="65"/>
  <c r="GJ24" i="65"/>
  <c r="GI24" i="65"/>
  <c r="GH24" i="65"/>
  <c r="GG24" i="65"/>
  <c r="GF24" i="65"/>
  <c r="GE24" i="65"/>
  <c r="GD24" i="65"/>
  <c r="GC24" i="65"/>
  <c r="GB24" i="65"/>
  <c r="GA24" i="65"/>
  <c r="FZ24" i="65"/>
  <c r="FY24" i="65"/>
  <c r="FW24" i="65"/>
  <c r="FU24" i="65"/>
  <c r="FT24" i="65"/>
  <c r="FS24" i="65"/>
  <c r="FQ24" i="65"/>
  <c r="FM24" i="65"/>
  <c r="FJ24" i="65"/>
  <c r="FI24" i="65"/>
  <c r="FH24" i="65"/>
  <c r="FG24" i="65"/>
  <c r="FF24" i="65"/>
  <c r="FE24" i="65"/>
  <c r="FD24" i="65"/>
  <c r="FC24" i="65"/>
  <c r="FB24" i="65"/>
  <c r="FA24" i="65"/>
  <c r="EX24" i="65"/>
  <c r="EW24" i="65"/>
  <c r="ET24" i="65"/>
  <c r="ES24" i="65"/>
  <c r="EP24" i="65"/>
  <c r="EO24" i="65"/>
  <c r="EL24" i="65"/>
  <c r="EK24" i="65"/>
  <c r="EH24" i="65"/>
  <c r="EG24" i="65"/>
  <c r="ED24" i="65"/>
  <c r="EC24" i="65"/>
  <c r="EB24" i="65"/>
  <c r="EA24" i="65"/>
  <c r="DZ24" i="65"/>
  <c r="DY24" i="65"/>
  <c r="DW24" i="65"/>
  <c r="DV24" i="65"/>
  <c r="DU24" i="65"/>
  <c r="DT24" i="65"/>
  <c r="DS24" i="65"/>
  <c r="DR24" i="65"/>
  <c r="DQ24" i="65"/>
  <c r="DO24" i="65"/>
  <c r="GP23" i="65"/>
  <c r="GN23" i="65"/>
  <c r="GM23" i="65"/>
  <c r="GL23" i="65"/>
  <c r="GK23" i="65"/>
  <c r="GJ23" i="65"/>
  <c r="GI23" i="65"/>
  <c r="GH23" i="65"/>
  <c r="GG23" i="65"/>
  <c r="GF23" i="65"/>
  <c r="GE23" i="65"/>
  <c r="GD23" i="65"/>
  <c r="GC23" i="65"/>
  <c r="GB23" i="65"/>
  <c r="GA23" i="65"/>
  <c r="FZ23" i="65"/>
  <c r="FY23" i="65"/>
  <c r="FW23" i="65"/>
  <c r="FU23" i="65"/>
  <c r="FT23" i="65"/>
  <c r="FS23" i="65"/>
  <c r="FQ23" i="65"/>
  <c r="FO23" i="65"/>
  <c r="FM23" i="65"/>
  <c r="FK23" i="65"/>
  <c r="FJ23" i="65"/>
  <c r="FI23" i="65"/>
  <c r="FH23" i="65"/>
  <c r="FG23" i="65"/>
  <c r="FF23" i="65"/>
  <c r="FE23" i="65"/>
  <c r="FD23" i="65"/>
  <c r="FC23" i="65"/>
  <c r="FB23" i="65"/>
  <c r="FA23" i="65"/>
  <c r="EZ23" i="65"/>
  <c r="EY23" i="65"/>
  <c r="EX23" i="65"/>
  <c r="EW23" i="65"/>
  <c r="EV23" i="65"/>
  <c r="EU23" i="65"/>
  <c r="ET23" i="65"/>
  <c r="ES23" i="65"/>
  <c r="ER23" i="65"/>
  <c r="EQ23" i="65"/>
  <c r="EP23" i="65"/>
  <c r="EO23" i="65"/>
  <c r="EN23" i="65"/>
  <c r="EM23" i="65"/>
  <c r="EL23" i="65"/>
  <c r="EK23" i="65"/>
  <c r="EJ23" i="65"/>
  <c r="EI23" i="65"/>
  <c r="EH23" i="65"/>
  <c r="EG23" i="65"/>
  <c r="EF23" i="65"/>
  <c r="EE23" i="65"/>
  <c r="ED23" i="65"/>
  <c r="EC23" i="65"/>
  <c r="EB23" i="65"/>
  <c r="EA23" i="65"/>
  <c r="DZ23" i="65"/>
  <c r="DY23" i="65"/>
  <c r="DX23" i="65"/>
  <c r="DW23" i="65"/>
  <c r="DV23" i="65"/>
  <c r="DU23" i="65"/>
  <c r="DT23" i="65"/>
  <c r="DS23" i="65"/>
  <c r="DR23" i="65"/>
  <c r="DQ23" i="65"/>
  <c r="DP23" i="65"/>
  <c r="DO23" i="65"/>
  <c r="GN22" i="65"/>
  <c r="GM22" i="65"/>
  <c r="GL22" i="65"/>
  <c r="GK22" i="65"/>
  <c r="GJ22" i="65"/>
  <c r="FQ22" i="65"/>
  <c r="ET22" i="65"/>
  <c r="ES22" i="65"/>
  <c r="EL22" i="65"/>
  <c r="EK22" i="65"/>
  <c r="EC22" i="65"/>
  <c r="EA22" i="65"/>
  <c r="DY22" i="65"/>
  <c r="DW22" i="65"/>
  <c r="DU22" i="65"/>
  <c r="DS22" i="65"/>
  <c r="DQ22" i="65"/>
  <c r="DO22" i="65"/>
  <c r="GN21" i="65"/>
  <c r="GM21" i="65"/>
  <c r="GL21" i="65"/>
  <c r="GK21" i="65"/>
  <c r="GJ21" i="65"/>
  <c r="FQ21" i="65"/>
  <c r="ET21" i="65"/>
  <c r="ES21" i="65"/>
  <c r="EL21" i="65"/>
  <c r="EK21" i="65"/>
  <c r="EC21" i="65"/>
  <c r="EA21" i="65"/>
  <c r="DY21" i="65"/>
  <c r="DW21" i="65"/>
  <c r="DU21" i="65"/>
  <c r="DS21" i="65"/>
  <c r="DQ21" i="65"/>
  <c r="DO21" i="65"/>
  <c r="GP20" i="65"/>
  <c r="GN20" i="65"/>
  <c r="GM20" i="65"/>
  <c r="GL20" i="65"/>
  <c r="GK20" i="65"/>
  <c r="GJ20" i="65"/>
  <c r="GI20" i="65"/>
  <c r="GH20" i="65"/>
  <c r="GG20" i="65"/>
  <c r="GF20" i="65"/>
  <c r="GE20" i="65"/>
  <c r="GD20" i="65"/>
  <c r="GC20" i="65"/>
  <c r="GB20" i="65"/>
  <c r="GA20" i="65"/>
  <c r="FZ20" i="65"/>
  <c r="FY20" i="65"/>
  <c r="FW20" i="65"/>
  <c r="FU20" i="65"/>
  <c r="FT20" i="65"/>
  <c r="FS20" i="65"/>
  <c r="FQ20" i="65"/>
  <c r="FO20" i="65"/>
  <c r="FM20" i="65"/>
  <c r="FJ20" i="65"/>
  <c r="FI20" i="65"/>
  <c r="FH20" i="65"/>
  <c r="FG20" i="65"/>
  <c r="FF20" i="65"/>
  <c r="FE20" i="65"/>
  <c r="FD20" i="65"/>
  <c r="FC20" i="65"/>
  <c r="FB20" i="65"/>
  <c r="FA20" i="65"/>
  <c r="EY20" i="65"/>
  <c r="EX20" i="65"/>
  <c r="EW20" i="65"/>
  <c r="EV20" i="65"/>
  <c r="ET20" i="65"/>
  <c r="ES20" i="65"/>
  <c r="EQ20" i="65"/>
  <c r="EP20" i="65"/>
  <c r="EO20" i="65"/>
  <c r="EN20" i="65"/>
  <c r="EL20" i="65"/>
  <c r="EK20" i="65"/>
  <c r="EI20" i="65"/>
  <c r="EH20" i="65"/>
  <c r="EG20" i="65"/>
  <c r="EF20" i="65"/>
  <c r="ED20" i="65"/>
  <c r="EC20" i="65"/>
  <c r="EB20" i="65"/>
  <c r="EA20" i="65"/>
  <c r="DZ20" i="65"/>
  <c r="DY20" i="65"/>
  <c r="DX20" i="65"/>
  <c r="DW20" i="65"/>
  <c r="DV20" i="65"/>
  <c r="DU20" i="65"/>
  <c r="DT20" i="65"/>
  <c r="DS20" i="65"/>
  <c r="DR20" i="65"/>
  <c r="DQ20" i="65"/>
  <c r="DP20" i="65"/>
  <c r="DO20" i="65"/>
  <c r="GP19" i="65"/>
  <c r="GN19" i="65"/>
  <c r="GM19" i="65"/>
  <c r="GL19" i="65"/>
  <c r="GK19" i="65"/>
  <c r="GJ19" i="65"/>
  <c r="GI19" i="65"/>
  <c r="GH19" i="65"/>
  <c r="GG19" i="65"/>
  <c r="GF19" i="65"/>
  <c r="GE19" i="65"/>
  <c r="GD19" i="65"/>
  <c r="GC19" i="65"/>
  <c r="GB19" i="65"/>
  <c r="GA19" i="65"/>
  <c r="FZ19" i="65"/>
  <c r="FY19" i="65"/>
  <c r="FW19" i="65"/>
  <c r="FU19" i="65"/>
  <c r="FT19" i="65"/>
  <c r="FS19" i="65"/>
  <c r="FQ19" i="65"/>
  <c r="FM19" i="65"/>
  <c r="FK19" i="65"/>
  <c r="FJ19" i="65"/>
  <c r="FI19" i="65"/>
  <c r="FH19" i="65"/>
  <c r="FG19" i="65"/>
  <c r="FF19" i="65"/>
  <c r="FE19" i="65"/>
  <c r="FD19" i="65"/>
  <c r="FC19" i="65"/>
  <c r="FB19" i="65"/>
  <c r="FA19" i="65"/>
  <c r="EX19" i="65"/>
  <c r="EW19" i="65"/>
  <c r="EU19" i="65"/>
  <c r="ET19" i="65"/>
  <c r="ES19" i="65"/>
  <c r="EP19" i="65"/>
  <c r="EO19" i="65"/>
  <c r="EM19" i="65"/>
  <c r="EL19" i="65"/>
  <c r="EK19" i="65"/>
  <c r="EH19" i="65"/>
  <c r="EG19" i="65"/>
  <c r="EE19" i="65"/>
  <c r="ED19" i="65"/>
  <c r="EC19" i="65"/>
  <c r="EB19" i="65"/>
  <c r="EA19" i="65"/>
  <c r="DY19" i="65"/>
  <c r="DW19" i="65"/>
  <c r="DV19" i="65"/>
  <c r="DU19" i="65"/>
  <c r="DT19" i="65"/>
  <c r="DS19" i="65"/>
  <c r="DQ19" i="65"/>
  <c r="DO19" i="65"/>
  <c r="GP18" i="65"/>
  <c r="GN18" i="65"/>
  <c r="GM18" i="65"/>
  <c r="GL18" i="65"/>
  <c r="GK18" i="65"/>
  <c r="GJ18" i="65"/>
  <c r="GI18" i="65"/>
  <c r="GH18" i="65"/>
  <c r="GG18" i="65"/>
  <c r="GF18" i="65"/>
  <c r="GE18" i="65"/>
  <c r="GD18" i="65"/>
  <c r="GC18" i="65"/>
  <c r="GB18" i="65"/>
  <c r="GA18" i="65"/>
  <c r="FZ18" i="65"/>
  <c r="FY18" i="65"/>
  <c r="FW18" i="65"/>
  <c r="FU18" i="65"/>
  <c r="FT18" i="65"/>
  <c r="FS18" i="65"/>
  <c r="FQ18" i="65"/>
  <c r="FM18" i="65"/>
  <c r="FJ18" i="65"/>
  <c r="FI18" i="65"/>
  <c r="FH18" i="65"/>
  <c r="FG18" i="65"/>
  <c r="FF18" i="65"/>
  <c r="FE18" i="65"/>
  <c r="FD18" i="65"/>
  <c r="FC18" i="65"/>
  <c r="FB18" i="65"/>
  <c r="FA18" i="65"/>
  <c r="EX18" i="65"/>
  <c r="EW18" i="65"/>
  <c r="ET18" i="65"/>
  <c r="ES18" i="65"/>
  <c r="EP18" i="65"/>
  <c r="EO18" i="65"/>
  <c r="EL18" i="65"/>
  <c r="EK18" i="65"/>
  <c r="EH18" i="65"/>
  <c r="EG18" i="65"/>
  <c r="ED18" i="65"/>
  <c r="EC18" i="65"/>
  <c r="EB18" i="65"/>
  <c r="EA18" i="65"/>
  <c r="DY18" i="65"/>
  <c r="DW18" i="65"/>
  <c r="DV18" i="65"/>
  <c r="DU18" i="65"/>
  <c r="DT18" i="65"/>
  <c r="DS18" i="65"/>
  <c r="DQ18" i="65"/>
  <c r="DO18" i="65"/>
  <c r="GP17" i="65"/>
  <c r="GN17" i="65"/>
  <c r="GM17" i="65"/>
  <c r="GL17" i="65"/>
  <c r="GK17" i="65"/>
  <c r="GJ17" i="65"/>
  <c r="GI17" i="65"/>
  <c r="GH17" i="65"/>
  <c r="GG17" i="65"/>
  <c r="GF17" i="65"/>
  <c r="GE17" i="65"/>
  <c r="GD17" i="65"/>
  <c r="GC17" i="65"/>
  <c r="GB17" i="65"/>
  <c r="GA17" i="65"/>
  <c r="FZ17" i="65"/>
  <c r="FY17" i="65"/>
  <c r="FW17" i="65"/>
  <c r="FU17" i="65"/>
  <c r="FT17" i="65"/>
  <c r="FS17" i="65"/>
  <c r="FQ17" i="65"/>
  <c r="FO17" i="65"/>
  <c r="FM17" i="65"/>
  <c r="FK17" i="65"/>
  <c r="FJ17" i="65"/>
  <c r="FI17" i="65"/>
  <c r="FH17" i="65"/>
  <c r="FG17" i="65"/>
  <c r="FF17" i="65"/>
  <c r="FE17" i="65"/>
  <c r="FD17" i="65"/>
  <c r="FC17" i="65"/>
  <c r="FB17" i="65"/>
  <c r="FA17" i="65"/>
  <c r="EZ17" i="65"/>
  <c r="EY17" i="65"/>
  <c r="EX17" i="65"/>
  <c r="EW17" i="65"/>
  <c r="EV17" i="65"/>
  <c r="EU17" i="65"/>
  <c r="ET17" i="65"/>
  <c r="ES17" i="65"/>
  <c r="ER17" i="65"/>
  <c r="EQ17" i="65"/>
  <c r="EP17" i="65"/>
  <c r="EO17" i="65"/>
  <c r="EN17" i="65"/>
  <c r="EM17" i="65"/>
  <c r="EL17" i="65"/>
  <c r="EK17" i="65"/>
  <c r="EJ17" i="65"/>
  <c r="EI17" i="65"/>
  <c r="EH17" i="65"/>
  <c r="EG17" i="65"/>
  <c r="EF17" i="65"/>
  <c r="EE17" i="65"/>
  <c r="ED17" i="65"/>
  <c r="EC17" i="65"/>
  <c r="EB17" i="65"/>
  <c r="EA17" i="65"/>
  <c r="DZ17" i="65"/>
  <c r="DY17" i="65"/>
  <c r="DX17" i="65"/>
  <c r="DW17" i="65"/>
  <c r="DV17" i="65"/>
  <c r="DU17" i="65"/>
  <c r="DT17" i="65"/>
  <c r="DS17" i="65"/>
  <c r="DR17" i="65"/>
  <c r="DQ17" i="65"/>
  <c r="DP17" i="65"/>
  <c r="DO17" i="65"/>
  <c r="GP16" i="65"/>
  <c r="GN16" i="65"/>
  <c r="GM16" i="65"/>
  <c r="GL16" i="65"/>
  <c r="GK16" i="65"/>
  <c r="GJ16" i="65"/>
  <c r="GI16" i="65"/>
  <c r="GH16" i="65"/>
  <c r="GG16" i="65"/>
  <c r="GF16" i="65"/>
  <c r="GE16" i="65"/>
  <c r="GD16" i="65"/>
  <c r="GC16" i="65"/>
  <c r="GB16" i="65"/>
  <c r="GA16" i="65"/>
  <c r="FZ16" i="65"/>
  <c r="FY16" i="65"/>
  <c r="FW16" i="65"/>
  <c r="FU16" i="65"/>
  <c r="FT16" i="65"/>
  <c r="FS16" i="65"/>
  <c r="FQ16" i="65"/>
  <c r="FO16" i="65"/>
  <c r="FM16" i="65"/>
  <c r="FK16" i="65"/>
  <c r="FJ16" i="65"/>
  <c r="FI16" i="65"/>
  <c r="FH16" i="65"/>
  <c r="FG16" i="65"/>
  <c r="FF16" i="65"/>
  <c r="FE16" i="65"/>
  <c r="FD16" i="65"/>
  <c r="FC16" i="65"/>
  <c r="FB16" i="65"/>
  <c r="FA16" i="65"/>
  <c r="EZ16" i="65"/>
  <c r="EY16" i="65"/>
  <c r="EX16" i="65"/>
  <c r="EW16" i="65"/>
  <c r="EV16" i="65"/>
  <c r="EU16" i="65"/>
  <c r="ET16" i="65"/>
  <c r="ES16" i="65"/>
  <c r="ER16" i="65"/>
  <c r="EQ16" i="65"/>
  <c r="EP16" i="65"/>
  <c r="EO16" i="65"/>
  <c r="EN16" i="65"/>
  <c r="EM16" i="65"/>
  <c r="EL16" i="65"/>
  <c r="EK16" i="65"/>
  <c r="EJ16" i="65"/>
  <c r="EI16" i="65"/>
  <c r="EH16" i="65"/>
  <c r="EG16" i="65"/>
  <c r="EF16" i="65"/>
  <c r="EE16" i="65"/>
  <c r="ED16" i="65"/>
  <c r="EC16" i="65"/>
  <c r="EB16" i="65"/>
  <c r="EA16" i="65"/>
  <c r="DZ16" i="65"/>
  <c r="DY16" i="65"/>
  <c r="DX16" i="65"/>
  <c r="DW16" i="65"/>
  <c r="DV16" i="65"/>
  <c r="DU16" i="65"/>
  <c r="DT16" i="65"/>
  <c r="DS16" i="65"/>
  <c r="DR16" i="65"/>
  <c r="DQ16" i="65"/>
  <c r="DP16" i="65"/>
  <c r="DO16" i="65"/>
  <c r="GN15" i="65"/>
  <c r="GM15" i="65"/>
  <c r="GL15" i="65"/>
  <c r="GK15" i="65"/>
  <c r="GJ15" i="65"/>
  <c r="FQ15" i="65"/>
  <c r="ET15" i="65"/>
  <c r="ES15" i="65"/>
  <c r="EL15" i="65"/>
  <c r="EK15" i="65"/>
  <c r="EC15" i="65"/>
  <c r="EA15" i="65"/>
  <c r="DY15" i="65"/>
  <c r="DW15" i="65"/>
  <c r="DU15" i="65"/>
  <c r="DS15" i="65"/>
  <c r="DQ15" i="65"/>
  <c r="DO15" i="65"/>
  <c r="GN14" i="65"/>
  <c r="GM14" i="65"/>
  <c r="GL14" i="65"/>
  <c r="GK14" i="65"/>
  <c r="FR14" i="65"/>
  <c r="FQ14" i="65"/>
  <c r="FP14" i="65"/>
  <c r="ET14" i="65"/>
  <c r="ES14" i="65"/>
  <c r="EC14" i="65"/>
  <c r="EA14" i="65"/>
  <c r="DY14" i="65"/>
  <c r="DW14" i="65"/>
  <c r="DU14" i="65"/>
  <c r="DS14" i="65"/>
  <c r="DQ14" i="65"/>
  <c r="DO14" i="65"/>
  <c r="FG12" i="65"/>
  <c r="ED12" i="65"/>
  <c r="EB12" i="65"/>
  <c r="DV12" i="65"/>
  <c r="DT12" i="65"/>
  <c r="GN44" i="71"/>
  <c r="GM44" i="71"/>
  <c r="GL44" i="71"/>
  <c r="GK44" i="71"/>
  <c r="GJ44" i="71"/>
  <c r="FQ44" i="71"/>
  <c r="ET44" i="71"/>
  <c r="ES44" i="71"/>
  <c r="EL44" i="71"/>
  <c r="EK44" i="71"/>
  <c r="EC44" i="71"/>
  <c r="EA44" i="71"/>
  <c r="DY44" i="71"/>
  <c r="DW44" i="71"/>
  <c r="DU44" i="71"/>
  <c r="DS44" i="71"/>
  <c r="DQ44" i="71"/>
  <c r="DO44" i="71"/>
  <c r="GN43" i="71"/>
  <c r="GM43" i="71"/>
  <c r="GL43" i="71"/>
  <c r="GK43" i="71"/>
  <c r="GJ43" i="71"/>
  <c r="FQ43" i="71"/>
  <c r="ET43" i="71"/>
  <c r="ES43" i="71"/>
  <c r="EL43" i="71"/>
  <c r="EK43" i="71"/>
  <c r="EC43" i="71"/>
  <c r="EA43" i="71"/>
  <c r="DY43" i="71"/>
  <c r="DW43" i="71"/>
  <c r="DU43" i="71"/>
  <c r="DS43" i="71"/>
  <c r="DQ43" i="71"/>
  <c r="DO43" i="71"/>
  <c r="GN42" i="71"/>
  <c r="GM42" i="71"/>
  <c r="GL42" i="71"/>
  <c r="GK42" i="71"/>
  <c r="GJ42" i="71"/>
  <c r="FQ42" i="71"/>
  <c r="ET42" i="71"/>
  <c r="ES42" i="71"/>
  <c r="EL42" i="71"/>
  <c r="EK42" i="71"/>
  <c r="EC42" i="71"/>
  <c r="EA42" i="71"/>
  <c r="DY42" i="71"/>
  <c r="DW42" i="71"/>
  <c r="DU42" i="71"/>
  <c r="DS42" i="71"/>
  <c r="DQ42" i="71"/>
  <c r="DO42" i="71"/>
  <c r="GP41" i="71"/>
  <c r="GN41" i="71"/>
  <c r="GM41" i="71"/>
  <c r="GL41" i="71"/>
  <c r="GK41" i="71"/>
  <c r="GJ41" i="71"/>
  <c r="GI41" i="71"/>
  <c r="GH41" i="71"/>
  <c r="GG41" i="71"/>
  <c r="GF41" i="71"/>
  <c r="GE41" i="71"/>
  <c r="GD41" i="71"/>
  <c r="GC41" i="71"/>
  <c r="GB41" i="71"/>
  <c r="GA41" i="71"/>
  <c r="FZ41" i="71"/>
  <c r="FY41" i="71"/>
  <c r="FW41" i="71"/>
  <c r="FU41" i="71"/>
  <c r="FT41" i="71"/>
  <c r="FS41" i="71"/>
  <c r="FQ41" i="71"/>
  <c r="FO41" i="71"/>
  <c r="FM41" i="71"/>
  <c r="FK41" i="71"/>
  <c r="FJ41" i="71"/>
  <c r="FI41" i="71"/>
  <c r="FH41" i="71"/>
  <c r="FG41" i="71"/>
  <c r="FF41" i="71"/>
  <c r="FE41" i="71"/>
  <c r="FD41" i="71"/>
  <c r="FC41" i="71"/>
  <c r="FB41" i="71"/>
  <c r="FA41" i="71"/>
  <c r="EZ41" i="71"/>
  <c r="EY41" i="71"/>
  <c r="EX41" i="71"/>
  <c r="EW41" i="71"/>
  <c r="EV41" i="71"/>
  <c r="EU41" i="71"/>
  <c r="ET41" i="71"/>
  <c r="ES41" i="71"/>
  <c r="ER41" i="71"/>
  <c r="EQ41" i="71"/>
  <c r="EP41" i="71"/>
  <c r="EO41" i="71"/>
  <c r="EN41" i="71"/>
  <c r="EM41" i="71"/>
  <c r="EL41" i="71"/>
  <c r="EK41" i="71"/>
  <c r="EJ41" i="71"/>
  <c r="EI41" i="71"/>
  <c r="EH41" i="71"/>
  <c r="EG41" i="71"/>
  <c r="EF41" i="71"/>
  <c r="EE41" i="71"/>
  <c r="ED41" i="71"/>
  <c r="EC41" i="71"/>
  <c r="EB41" i="71"/>
  <c r="EA41" i="71"/>
  <c r="DZ41" i="71"/>
  <c r="DY41" i="71"/>
  <c r="DX41" i="71"/>
  <c r="DW41" i="71"/>
  <c r="DV41" i="71"/>
  <c r="DU41" i="71"/>
  <c r="DT41" i="71"/>
  <c r="DS41" i="71"/>
  <c r="DR41" i="71"/>
  <c r="DQ41" i="71"/>
  <c r="DP41" i="71"/>
  <c r="DO41" i="71"/>
  <c r="GP40" i="71"/>
  <c r="GN40" i="71"/>
  <c r="GM40" i="71"/>
  <c r="GL40" i="71"/>
  <c r="GK40" i="71"/>
  <c r="GJ40" i="71"/>
  <c r="GI40" i="71"/>
  <c r="GH40" i="71"/>
  <c r="GG40" i="71"/>
  <c r="GF40" i="71"/>
  <c r="GE40" i="71"/>
  <c r="GD40" i="71"/>
  <c r="GC40" i="71"/>
  <c r="GB40" i="71"/>
  <c r="GA40" i="71"/>
  <c r="FZ40" i="71"/>
  <c r="FY40" i="71"/>
  <c r="FW40" i="71"/>
  <c r="FU40" i="71"/>
  <c r="FT40" i="71"/>
  <c r="FS40" i="71"/>
  <c r="FQ40" i="71"/>
  <c r="FM40" i="71"/>
  <c r="FJ40" i="71"/>
  <c r="FI40" i="71"/>
  <c r="FH40" i="71"/>
  <c r="FG40" i="71"/>
  <c r="FF40" i="71"/>
  <c r="FE40" i="71"/>
  <c r="FD40" i="71"/>
  <c r="FC40" i="71"/>
  <c r="FB40" i="71"/>
  <c r="FA40" i="71"/>
  <c r="EZ40" i="71"/>
  <c r="EX40" i="71"/>
  <c r="EW40" i="71"/>
  <c r="ET40" i="71"/>
  <c r="ES40" i="71"/>
  <c r="ER40" i="71"/>
  <c r="EP40" i="71"/>
  <c r="EO40" i="71"/>
  <c r="EL40" i="71"/>
  <c r="EK40" i="71"/>
  <c r="EJ40" i="71"/>
  <c r="EH40" i="71"/>
  <c r="EG40" i="71"/>
  <c r="ED40" i="71"/>
  <c r="EC40" i="71"/>
  <c r="EB40" i="71"/>
  <c r="EA40" i="71"/>
  <c r="DY40" i="71"/>
  <c r="DW40" i="71"/>
  <c r="DV40" i="71"/>
  <c r="DU40" i="71"/>
  <c r="DT40" i="71"/>
  <c r="DS40" i="71"/>
  <c r="DQ40" i="71"/>
  <c r="DO40" i="71"/>
  <c r="GP39" i="71"/>
  <c r="GN39" i="71"/>
  <c r="GM39" i="71"/>
  <c r="GL39" i="71"/>
  <c r="GK39" i="71"/>
  <c r="GJ39" i="71"/>
  <c r="GI39" i="71"/>
  <c r="GH39" i="71"/>
  <c r="GG39" i="71"/>
  <c r="GF39" i="71"/>
  <c r="GE39" i="71"/>
  <c r="GD39" i="71"/>
  <c r="GC39" i="71"/>
  <c r="GB39" i="71"/>
  <c r="GA39" i="71"/>
  <c r="FZ39" i="71"/>
  <c r="FY39" i="71"/>
  <c r="FW39" i="71"/>
  <c r="FU39" i="71"/>
  <c r="FT39" i="71"/>
  <c r="FS39" i="71"/>
  <c r="FQ39" i="71"/>
  <c r="FO39" i="71"/>
  <c r="FM39" i="71"/>
  <c r="FK39" i="71"/>
  <c r="FJ39" i="71"/>
  <c r="FI39" i="71"/>
  <c r="FH39" i="71"/>
  <c r="FG39" i="71"/>
  <c r="FF39" i="71"/>
  <c r="FE39" i="71"/>
  <c r="FD39" i="71"/>
  <c r="FC39" i="71"/>
  <c r="FB39" i="71"/>
  <c r="FA39" i="71"/>
  <c r="EZ39" i="71"/>
  <c r="EY39" i="71"/>
  <c r="EX39" i="71"/>
  <c r="EW39" i="71"/>
  <c r="EV39" i="71"/>
  <c r="EU39" i="71"/>
  <c r="ET39" i="71"/>
  <c r="ES39" i="71"/>
  <c r="ER39" i="71"/>
  <c r="EQ39" i="71"/>
  <c r="EP39" i="71"/>
  <c r="EO39" i="71"/>
  <c r="EN39" i="71"/>
  <c r="EM39" i="71"/>
  <c r="EL39" i="71"/>
  <c r="EK39" i="71"/>
  <c r="EJ39" i="71"/>
  <c r="EI39" i="71"/>
  <c r="EH39" i="71"/>
  <c r="EG39" i="71"/>
  <c r="EF39" i="71"/>
  <c r="EE39" i="71"/>
  <c r="ED39" i="71"/>
  <c r="EC39" i="71"/>
  <c r="EB39" i="71"/>
  <c r="EA39" i="71"/>
  <c r="DZ39" i="71"/>
  <c r="DY39" i="71"/>
  <c r="DX39" i="71"/>
  <c r="DW39" i="71"/>
  <c r="DV39" i="71"/>
  <c r="DU39" i="71"/>
  <c r="DT39" i="71"/>
  <c r="DS39" i="71"/>
  <c r="DR39" i="71"/>
  <c r="DQ39" i="71"/>
  <c r="DP39" i="71"/>
  <c r="DO39" i="71"/>
  <c r="GN38" i="71"/>
  <c r="GM38" i="71"/>
  <c r="GL38" i="71"/>
  <c r="GK38" i="71"/>
  <c r="GJ38" i="71"/>
  <c r="FQ38" i="71"/>
  <c r="ET38" i="71"/>
  <c r="ES38" i="71"/>
  <c r="EL38" i="71"/>
  <c r="EK38" i="71"/>
  <c r="EC38" i="71"/>
  <c r="EA38" i="71"/>
  <c r="DY38" i="71"/>
  <c r="DW38" i="71"/>
  <c r="DU38" i="71"/>
  <c r="DS38" i="71"/>
  <c r="DQ38" i="71"/>
  <c r="DO38" i="71"/>
  <c r="GN37" i="71"/>
  <c r="GM37" i="71"/>
  <c r="GL37" i="71"/>
  <c r="GK37" i="71"/>
  <c r="GJ37" i="71"/>
  <c r="FQ37" i="71"/>
  <c r="ET37" i="71"/>
  <c r="ES37" i="71"/>
  <c r="EL37" i="71"/>
  <c r="EK37" i="71"/>
  <c r="EC37" i="71"/>
  <c r="EA37" i="71"/>
  <c r="DY37" i="71"/>
  <c r="DW37" i="71"/>
  <c r="DU37" i="71"/>
  <c r="DS37" i="71"/>
  <c r="DQ37" i="71"/>
  <c r="DO37" i="71"/>
  <c r="GN36" i="71"/>
  <c r="GM36" i="71"/>
  <c r="GL36" i="71"/>
  <c r="GK36" i="71"/>
  <c r="GJ36" i="71"/>
  <c r="FQ36" i="71"/>
  <c r="ET36" i="71"/>
  <c r="ES36" i="71"/>
  <c r="EL36" i="71"/>
  <c r="EK36" i="71"/>
  <c r="EC36" i="71"/>
  <c r="EA36" i="71"/>
  <c r="DY36" i="71"/>
  <c r="DW36" i="71"/>
  <c r="DU36" i="71"/>
  <c r="DS36" i="71"/>
  <c r="DQ36" i="71"/>
  <c r="DO36" i="71"/>
  <c r="GN35" i="71"/>
  <c r="GM35" i="71"/>
  <c r="GL35" i="71"/>
  <c r="GK35" i="71"/>
  <c r="GJ35" i="71"/>
  <c r="FQ35" i="71"/>
  <c r="ET35" i="71"/>
  <c r="ES35" i="71"/>
  <c r="EL35" i="71"/>
  <c r="EK35" i="71"/>
  <c r="EC35" i="71"/>
  <c r="EA35" i="71"/>
  <c r="DY35" i="71"/>
  <c r="DW35" i="71"/>
  <c r="DU35" i="71"/>
  <c r="DS35" i="71"/>
  <c r="DQ35" i="71"/>
  <c r="DO35" i="71"/>
  <c r="GP34" i="71"/>
  <c r="GN34" i="71"/>
  <c r="GM34" i="71"/>
  <c r="GL34" i="71"/>
  <c r="GK34" i="71"/>
  <c r="GJ34" i="71"/>
  <c r="GI34" i="71"/>
  <c r="GH34" i="71"/>
  <c r="GG34" i="71"/>
  <c r="GF34" i="71"/>
  <c r="GE34" i="71"/>
  <c r="GD34" i="71"/>
  <c r="GC34" i="71"/>
  <c r="GB34" i="71"/>
  <c r="GA34" i="71"/>
  <c r="FZ34" i="71"/>
  <c r="FY34" i="71"/>
  <c r="FW34" i="71"/>
  <c r="FU34" i="71"/>
  <c r="FT34" i="71"/>
  <c r="FS34" i="71"/>
  <c r="FQ34" i="71"/>
  <c r="FO34" i="71"/>
  <c r="FM34" i="71"/>
  <c r="FK34" i="71"/>
  <c r="FJ34" i="71"/>
  <c r="FI34" i="71"/>
  <c r="FH34" i="71"/>
  <c r="FG34" i="71"/>
  <c r="FF34" i="71"/>
  <c r="FE34" i="71"/>
  <c r="FD34" i="71"/>
  <c r="FC34" i="71"/>
  <c r="FB34" i="71"/>
  <c r="FA34" i="71"/>
  <c r="EZ34" i="71"/>
  <c r="EY34" i="71"/>
  <c r="EX34" i="71"/>
  <c r="EW34" i="71"/>
  <c r="EV34" i="71"/>
  <c r="EU34" i="71"/>
  <c r="ET34" i="71"/>
  <c r="ES34" i="71"/>
  <c r="ER34" i="71"/>
  <c r="EQ34" i="71"/>
  <c r="EP34" i="71"/>
  <c r="EO34" i="71"/>
  <c r="EN34" i="71"/>
  <c r="EM34" i="71"/>
  <c r="EL34" i="71"/>
  <c r="EK34" i="71"/>
  <c r="EJ34" i="71"/>
  <c r="EI34" i="71"/>
  <c r="EH34" i="71"/>
  <c r="EG34" i="71"/>
  <c r="EF34" i="71"/>
  <c r="EE34" i="71"/>
  <c r="ED34" i="71"/>
  <c r="EC34" i="71"/>
  <c r="EB34" i="71"/>
  <c r="EA34" i="71"/>
  <c r="DZ34" i="71"/>
  <c r="DY34" i="71"/>
  <c r="DX34" i="71"/>
  <c r="DW34" i="71"/>
  <c r="DV34" i="71"/>
  <c r="DU34" i="71"/>
  <c r="DT34" i="71"/>
  <c r="DS34" i="71"/>
  <c r="DR34" i="71"/>
  <c r="DQ34" i="71"/>
  <c r="DP34" i="71"/>
  <c r="DO34" i="71"/>
  <c r="GP33" i="71"/>
  <c r="GN33" i="71"/>
  <c r="GM33" i="71"/>
  <c r="GL33" i="71"/>
  <c r="GK33" i="71"/>
  <c r="GJ33" i="71"/>
  <c r="GI33" i="71"/>
  <c r="GH33" i="71"/>
  <c r="GG33" i="71"/>
  <c r="GF33" i="71"/>
  <c r="GE33" i="71"/>
  <c r="GD33" i="71"/>
  <c r="GC33" i="71"/>
  <c r="GB33" i="71"/>
  <c r="GA33" i="71"/>
  <c r="FZ33" i="71"/>
  <c r="FY33" i="71"/>
  <c r="FW33" i="71"/>
  <c r="FU33" i="71"/>
  <c r="FT33" i="71"/>
  <c r="FS33" i="71"/>
  <c r="FQ33" i="71"/>
  <c r="FO33" i="71"/>
  <c r="FM33" i="71"/>
  <c r="FK33" i="71"/>
  <c r="FJ33" i="71"/>
  <c r="FI33" i="71"/>
  <c r="FH33" i="71"/>
  <c r="FG33" i="71"/>
  <c r="FF33" i="71"/>
  <c r="FE33" i="71"/>
  <c r="FD33" i="71"/>
  <c r="FC33" i="71"/>
  <c r="FB33" i="71"/>
  <c r="FA33" i="71"/>
  <c r="EZ33" i="71"/>
  <c r="EY33" i="71"/>
  <c r="EX33" i="71"/>
  <c r="EW33" i="71"/>
  <c r="EV33" i="71"/>
  <c r="EU33" i="71"/>
  <c r="ET33" i="71"/>
  <c r="ES33" i="71"/>
  <c r="ER33" i="71"/>
  <c r="EQ33" i="71"/>
  <c r="EP33" i="71"/>
  <c r="EO33" i="71"/>
  <c r="EN33" i="71"/>
  <c r="EM33" i="71"/>
  <c r="EL33" i="71"/>
  <c r="EK33" i="71"/>
  <c r="EJ33" i="71"/>
  <c r="EI33" i="71"/>
  <c r="EH33" i="71"/>
  <c r="EG33" i="71"/>
  <c r="EF33" i="71"/>
  <c r="EE33" i="71"/>
  <c r="ED33" i="71"/>
  <c r="EC33" i="71"/>
  <c r="EB33" i="71"/>
  <c r="EA33" i="71"/>
  <c r="DZ33" i="71"/>
  <c r="DY33" i="71"/>
  <c r="DX33" i="71"/>
  <c r="DW33" i="71"/>
  <c r="DV33" i="71"/>
  <c r="DU33" i="71"/>
  <c r="DT33" i="71"/>
  <c r="DS33" i="71"/>
  <c r="DR33" i="71"/>
  <c r="DQ33" i="71"/>
  <c r="DP33" i="71"/>
  <c r="DO33" i="71"/>
  <c r="GP32" i="71"/>
  <c r="GN32" i="71"/>
  <c r="GM32" i="71"/>
  <c r="GL32" i="71"/>
  <c r="GK32" i="71"/>
  <c r="GJ32" i="71"/>
  <c r="GI32" i="71"/>
  <c r="GH32" i="71"/>
  <c r="GG32" i="71"/>
  <c r="GF32" i="71"/>
  <c r="GE32" i="71"/>
  <c r="GD32" i="71"/>
  <c r="GC32" i="71"/>
  <c r="GB32" i="71"/>
  <c r="GA32" i="71"/>
  <c r="FZ32" i="71"/>
  <c r="FY32" i="71"/>
  <c r="FW32" i="71"/>
  <c r="FU32" i="71"/>
  <c r="FT32" i="71"/>
  <c r="FS32" i="71"/>
  <c r="FQ32" i="71"/>
  <c r="FM32" i="71"/>
  <c r="FK32" i="71"/>
  <c r="FJ32" i="71"/>
  <c r="FI32" i="71"/>
  <c r="FH32" i="71"/>
  <c r="FG32" i="71"/>
  <c r="FF32" i="71"/>
  <c r="FE32" i="71"/>
  <c r="FD32" i="71"/>
  <c r="FC32" i="71"/>
  <c r="FB32" i="71"/>
  <c r="FA32" i="71"/>
  <c r="EX32" i="71"/>
  <c r="EW32" i="71"/>
  <c r="EU32" i="71"/>
  <c r="ET32" i="71"/>
  <c r="ES32" i="71"/>
  <c r="EP32" i="71"/>
  <c r="EO32" i="71"/>
  <c r="EM32" i="71"/>
  <c r="EL32" i="71"/>
  <c r="EK32" i="71"/>
  <c r="EH32" i="71"/>
  <c r="EG32" i="71"/>
  <c r="EE32" i="71"/>
  <c r="ED32" i="71"/>
  <c r="EC32" i="71"/>
  <c r="EB32" i="71"/>
  <c r="EA32" i="71"/>
  <c r="DY32" i="71"/>
  <c r="DW32" i="71"/>
  <c r="DV32" i="71"/>
  <c r="DU32" i="71"/>
  <c r="DT32" i="71"/>
  <c r="DS32" i="71"/>
  <c r="DQ32" i="71"/>
  <c r="DO32" i="71"/>
  <c r="GP31" i="71"/>
  <c r="GN31" i="71"/>
  <c r="GM31" i="71"/>
  <c r="GL31" i="71"/>
  <c r="GK31" i="71"/>
  <c r="GJ31" i="71"/>
  <c r="GI31" i="71"/>
  <c r="GH31" i="71"/>
  <c r="GG31" i="71"/>
  <c r="GF31" i="71"/>
  <c r="GE31" i="71"/>
  <c r="GD31" i="71"/>
  <c r="GC31" i="71"/>
  <c r="GB31" i="71"/>
  <c r="GA31" i="71"/>
  <c r="FZ31" i="71"/>
  <c r="FY31" i="71"/>
  <c r="FW31" i="71"/>
  <c r="FU31" i="71"/>
  <c r="FT31" i="71"/>
  <c r="FS31" i="71"/>
  <c r="FQ31" i="71"/>
  <c r="FO31" i="71"/>
  <c r="FM31" i="71"/>
  <c r="FK31" i="71"/>
  <c r="FJ31" i="71"/>
  <c r="FI31" i="71"/>
  <c r="FH31" i="71"/>
  <c r="FG31" i="71"/>
  <c r="FF31" i="71"/>
  <c r="FE31" i="71"/>
  <c r="FD31" i="71"/>
  <c r="FC31" i="71"/>
  <c r="FB31" i="71"/>
  <c r="FA31" i="71"/>
  <c r="EZ31" i="71"/>
  <c r="EY31" i="71"/>
  <c r="EX31" i="71"/>
  <c r="EW31" i="71"/>
  <c r="EV31" i="71"/>
  <c r="EU31" i="71"/>
  <c r="ET31" i="71"/>
  <c r="ES31" i="71"/>
  <c r="ER31" i="71"/>
  <c r="EQ31" i="71"/>
  <c r="EP31" i="71"/>
  <c r="EO31" i="71"/>
  <c r="EN31" i="71"/>
  <c r="EM31" i="71"/>
  <c r="EL31" i="71"/>
  <c r="EK31" i="71"/>
  <c r="EJ31" i="71"/>
  <c r="EI31" i="71"/>
  <c r="EH31" i="71"/>
  <c r="EG31" i="71"/>
  <c r="EF31" i="71"/>
  <c r="EE31" i="71"/>
  <c r="ED31" i="71"/>
  <c r="EC31" i="71"/>
  <c r="EB31" i="71"/>
  <c r="EA31" i="71"/>
  <c r="DZ31" i="71"/>
  <c r="DY31" i="71"/>
  <c r="DX31" i="71"/>
  <c r="DW31" i="71"/>
  <c r="DV31" i="71"/>
  <c r="DU31" i="71"/>
  <c r="DT31" i="71"/>
  <c r="DS31" i="71"/>
  <c r="DR31" i="71"/>
  <c r="DQ31" i="71"/>
  <c r="DP31" i="71"/>
  <c r="DO31" i="71"/>
  <c r="GN30" i="71"/>
  <c r="GM30" i="71"/>
  <c r="GL30" i="71"/>
  <c r="GK30" i="71"/>
  <c r="GJ30" i="71"/>
  <c r="FQ30" i="71"/>
  <c r="ET30" i="71"/>
  <c r="ES30" i="71"/>
  <c r="EL30" i="71"/>
  <c r="EK30" i="71"/>
  <c r="EC30" i="71"/>
  <c r="EA30" i="71"/>
  <c r="DY30" i="71"/>
  <c r="DW30" i="71"/>
  <c r="DU30" i="71"/>
  <c r="DS30" i="71"/>
  <c r="DQ30" i="71"/>
  <c r="DO30" i="71"/>
  <c r="GN29" i="71"/>
  <c r="GM29" i="71"/>
  <c r="GL29" i="71"/>
  <c r="GK29" i="71"/>
  <c r="GJ29" i="71"/>
  <c r="FQ29" i="71"/>
  <c r="ET29" i="71"/>
  <c r="ES29" i="71"/>
  <c r="EL29" i="71"/>
  <c r="EK29" i="71"/>
  <c r="EC29" i="71"/>
  <c r="EA29" i="71"/>
  <c r="DY29" i="71"/>
  <c r="DW29" i="71"/>
  <c r="DU29" i="71"/>
  <c r="DS29" i="71"/>
  <c r="DQ29" i="71"/>
  <c r="DO29" i="71"/>
  <c r="GN28" i="71"/>
  <c r="GM28" i="71"/>
  <c r="GL28" i="71"/>
  <c r="GK28" i="71"/>
  <c r="GJ28" i="71"/>
  <c r="FQ28" i="71"/>
  <c r="ET28" i="71"/>
  <c r="ES28" i="71"/>
  <c r="EL28" i="71"/>
  <c r="EK28" i="71"/>
  <c r="EC28" i="71"/>
  <c r="EA28" i="71"/>
  <c r="DY28" i="71"/>
  <c r="DW28" i="71"/>
  <c r="DU28" i="71"/>
  <c r="DS28" i="71"/>
  <c r="DQ28" i="71"/>
  <c r="DO28" i="71"/>
  <c r="GN27" i="71"/>
  <c r="GM27" i="71"/>
  <c r="GL27" i="71"/>
  <c r="GK27" i="71"/>
  <c r="GJ27" i="71"/>
  <c r="FQ27" i="71"/>
  <c r="ET27" i="71"/>
  <c r="ES27" i="71"/>
  <c r="EL27" i="71"/>
  <c r="EK27" i="71"/>
  <c r="EC27" i="71"/>
  <c r="EA27" i="71"/>
  <c r="DY27" i="71"/>
  <c r="DW27" i="71"/>
  <c r="DU27" i="71"/>
  <c r="DS27" i="71"/>
  <c r="DQ27" i="71"/>
  <c r="DO27" i="71"/>
  <c r="GP26" i="71"/>
  <c r="GN26" i="71"/>
  <c r="GM26" i="71"/>
  <c r="GL26" i="71"/>
  <c r="GK26" i="71"/>
  <c r="GJ26" i="71"/>
  <c r="GI26" i="71"/>
  <c r="GH26" i="71"/>
  <c r="GG26" i="71"/>
  <c r="GF26" i="71"/>
  <c r="GE26" i="71"/>
  <c r="GD26" i="71"/>
  <c r="GC26" i="71"/>
  <c r="GB26" i="71"/>
  <c r="GA26" i="71"/>
  <c r="FZ26" i="71"/>
  <c r="FY26" i="71"/>
  <c r="FW26" i="71"/>
  <c r="FU26" i="71"/>
  <c r="FT26" i="71"/>
  <c r="FS26" i="71"/>
  <c r="FQ26" i="71"/>
  <c r="FO26" i="71"/>
  <c r="FM26" i="71"/>
  <c r="FK26" i="71"/>
  <c r="FJ26" i="71"/>
  <c r="FI26" i="71"/>
  <c r="FH26" i="71"/>
  <c r="FG26" i="71"/>
  <c r="FF26" i="71"/>
  <c r="FE26" i="71"/>
  <c r="FD26" i="71"/>
  <c r="FC26" i="71"/>
  <c r="FB26" i="71"/>
  <c r="FA26" i="71"/>
  <c r="EZ26" i="71"/>
  <c r="EY26" i="71"/>
  <c r="EX26" i="71"/>
  <c r="EW26" i="71"/>
  <c r="EV26" i="71"/>
  <c r="EU26" i="71"/>
  <c r="ET26" i="71"/>
  <c r="ES26" i="71"/>
  <c r="ER26" i="71"/>
  <c r="EQ26" i="71"/>
  <c r="EP26" i="71"/>
  <c r="EO26" i="71"/>
  <c r="EN26" i="71"/>
  <c r="EM26" i="71"/>
  <c r="EL26" i="71"/>
  <c r="EK26" i="71"/>
  <c r="EJ26" i="71"/>
  <c r="EI26" i="71"/>
  <c r="EH26" i="71"/>
  <c r="EG26" i="71"/>
  <c r="EF26" i="71"/>
  <c r="EE26" i="71"/>
  <c r="ED26" i="71"/>
  <c r="EC26" i="71"/>
  <c r="EB26" i="71"/>
  <c r="EA26" i="71"/>
  <c r="DZ26" i="71"/>
  <c r="DY26" i="71"/>
  <c r="DX26" i="71"/>
  <c r="DW26" i="71"/>
  <c r="DV26" i="71"/>
  <c r="DU26" i="71"/>
  <c r="DT26" i="71"/>
  <c r="DS26" i="71"/>
  <c r="DR26" i="71"/>
  <c r="DQ26" i="71"/>
  <c r="DP26" i="71"/>
  <c r="DO26" i="71"/>
  <c r="GP25" i="71"/>
  <c r="GN25" i="71"/>
  <c r="GM25" i="71"/>
  <c r="GL25" i="71"/>
  <c r="GK25" i="71"/>
  <c r="GJ25" i="71"/>
  <c r="GI25" i="71"/>
  <c r="GH25" i="71"/>
  <c r="GG25" i="71"/>
  <c r="GF25" i="71"/>
  <c r="GE25" i="71"/>
  <c r="GD25" i="71"/>
  <c r="GC25" i="71"/>
  <c r="GB25" i="71"/>
  <c r="GA25" i="71"/>
  <c r="FZ25" i="71"/>
  <c r="FY25" i="71"/>
  <c r="FW25" i="71"/>
  <c r="FU25" i="71"/>
  <c r="FT25" i="71"/>
  <c r="FS25" i="71"/>
  <c r="FQ25" i="71"/>
  <c r="FO25" i="71"/>
  <c r="FM25" i="71"/>
  <c r="FK25" i="71"/>
  <c r="FJ25" i="71"/>
  <c r="FI25" i="71"/>
  <c r="FH25" i="71"/>
  <c r="FG25" i="71"/>
  <c r="FF25" i="71"/>
  <c r="FE25" i="71"/>
  <c r="FD25" i="71"/>
  <c r="FC25" i="71"/>
  <c r="FB25" i="71"/>
  <c r="FA25" i="71"/>
  <c r="EZ25" i="71"/>
  <c r="EY25" i="71"/>
  <c r="EX25" i="71"/>
  <c r="EW25" i="71"/>
  <c r="EV25" i="71"/>
  <c r="EU25" i="71"/>
  <c r="ET25" i="71"/>
  <c r="ES25" i="71"/>
  <c r="ER25" i="71"/>
  <c r="EQ25" i="71"/>
  <c r="EP25" i="71"/>
  <c r="EO25" i="71"/>
  <c r="EN25" i="71"/>
  <c r="EM25" i="71"/>
  <c r="EL25" i="71"/>
  <c r="EK25" i="71"/>
  <c r="EJ25" i="71"/>
  <c r="EI25" i="71"/>
  <c r="EH25" i="71"/>
  <c r="EG25" i="71"/>
  <c r="EF25" i="71"/>
  <c r="EE25" i="71"/>
  <c r="ED25" i="71"/>
  <c r="EC25" i="71"/>
  <c r="EB25" i="71"/>
  <c r="EA25" i="71"/>
  <c r="DZ25" i="71"/>
  <c r="DY25" i="71"/>
  <c r="DX25" i="71"/>
  <c r="DW25" i="71"/>
  <c r="DV25" i="71"/>
  <c r="DU25" i="71"/>
  <c r="DT25" i="71"/>
  <c r="DS25" i="71"/>
  <c r="DR25" i="71"/>
  <c r="DQ25" i="71"/>
  <c r="DP25" i="71"/>
  <c r="DO25" i="71"/>
  <c r="GP24" i="71"/>
  <c r="GN24" i="71"/>
  <c r="GM24" i="71"/>
  <c r="GL24" i="71"/>
  <c r="GK24" i="71"/>
  <c r="GJ24" i="71"/>
  <c r="GI24" i="71"/>
  <c r="GH24" i="71"/>
  <c r="GG24" i="71"/>
  <c r="GF24" i="71"/>
  <c r="GE24" i="71"/>
  <c r="GD24" i="71"/>
  <c r="GC24" i="71"/>
  <c r="GB24" i="71"/>
  <c r="GA24" i="71"/>
  <c r="FZ24" i="71"/>
  <c r="FY24" i="71"/>
  <c r="FW24" i="71"/>
  <c r="FU24" i="71"/>
  <c r="FT24" i="71"/>
  <c r="FS24" i="71"/>
  <c r="FQ24" i="71"/>
  <c r="FM24" i="71"/>
  <c r="FJ24" i="71"/>
  <c r="FI24" i="71"/>
  <c r="FH24" i="71"/>
  <c r="FG24" i="71"/>
  <c r="FF24" i="71"/>
  <c r="FE24" i="71"/>
  <c r="FD24" i="71"/>
  <c r="FC24" i="71"/>
  <c r="FB24" i="71"/>
  <c r="FA24" i="71"/>
  <c r="EX24" i="71"/>
  <c r="EW24" i="71"/>
  <c r="ET24" i="71"/>
  <c r="ES24" i="71"/>
  <c r="EP24" i="71"/>
  <c r="EO24" i="71"/>
  <c r="EL24" i="71"/>
  <c r="EK24" i="71"/>
  <c r="EH24" i="71"/>
  <c r="EG24" i="71"/>
  <c r="ED24" i="71"/>
  <c r="EC24" i="71"/>
  <c r="EB24" i="71"/>
  <c r="EA24" i="71"/>
  <c r="DZ24" i="71"/>
  <c r="DY24" i="71"/>
  <c r="DW24" i="71"/>
  <c r="DV24" i="71"/>
  <c r="DU24" i="71"/>
  <c r="DT24" i="71"/>
  <c r="DS24" i="71"/>
  <c r="DR24" i="71"/>
  <c r="DQ24" i="71"/>
  <c r="DO24" i="71"/>
  <c r="GN23" i="71"/>
  <c r="GM23" i="71"/>
  <c r="GL23" i="71"/>
  <c r="GK23" i="71"/>
  <c r="GJ23" i="71"/>
  <c r="FQ23" i="71"/>
  <c r="ET23" i="71"/>
  <c r="ES23" i="71"/>
  <c r="EL23" i="71"/>
  <c r="EK23" i="71"/>
  <c r="EC23" i="71"/>
  <c r="EA23" i="71"/>
  <c r="DY23" i="71"/>
  <c r="DW23" i="71"/>
  <c r="DU23" i="71"/>
  <c r="DS23" i="71"/>
  <c r="DQ23" i="71"/>
  <c r="DO23" i="71"/>
  <c r="GN22" i="71"/>
  <c r="GM22" i="71"/>
  <c r="GL22" i="71"/>
  <c r="GK22" i="71"/>
  <c r="GJ22" i="71"/>
  <c r="FQ22" i="71"/>
  <c r="ET22" i="71"/>
  <c r="ES22" i="71"/>
  <c r="EL22" i="71"/>
  <c r="EK22" i="71"/>
  <c r="EC22" i="71"/>
  <c r="EA22" i="71"/>
  <c r="DY22" i="71"/>
  <c r="DW22" i="71"/>
  <c r="DU22" i="71"/>
  <c r="DS22" i="71"/>
  <c r="DQ22" i="71"/>
  <c r="DO22" i="71"/>
  <c r="GN21" i="71"/>
  <c r="GM21" i="71"/>
  <c r="GL21" i="71"/>
  <c r="GK21" i="71"/>
  <c r="GJ21" i="71"/>
  <c r="FQ21" i="71"/>
  <c r="ET21" i="71"/>
  <c r="ES21" i="71"/>
  <c r="EL21" i="71"/>
  <c r="EK21" i="71"/>
  <c r="EC21" i="71"/>
  <c r="EA21" i="71"/>
  <c r="DY21" i="71"/>
  <c r="DW21" i="71"/>
  <c r="DU21" i="71"/>
  <c r="DS21" i="71"/>
  <c r="DQ21" i="71"/>
  <c r="DO21" i="71"/>
  <c r="GP20" i="71"/>
  <c r="GN20" i="71"/>
  <c r="GM20" i="71"/>
  <c r="GL20" i="71"/>
  <c r="GK20" i="71"/>
  <c r="GJ20" i="71"/>
  <c r="GI20" i="71"/>
  <c r="GH20" i="71"/>
  <c r="GG20" i="71"/>
  <c r="GF20" i="71"/>
  <c r="GE20" i="71"/>
  <c r="GD20" i="71"/>
  <c r="GC20" i="71"/>
  <c r="GB20" i="71"/>
  <c r="GA20" i="71"/>
  <c r="FZ20" i="71"/>
  <c r="FY20" i="71"/>
  <c r="FW20" i="71"/>
  <c r="FU20" i="71"/>
  <c r="FT20" i="71"/>
  <c r="FS20" i="71"/>
  <c r="FQ20" i="71"/>
  <c r="FO20" i="71"/>
  <c r="FM20" i="71"/>
  <c r="FK20" i="71"/>
  <c r="FJ20" i="71"/>
  <c r="FI20" i="71"/>
  <c r="FH20" i="71"/>
  <c r="FG20" i="71"/>
  <c r="FF20" i="71"/>
  <c r="FE20" i="71"/>
  <c r="FD20" i="71"/>
  <c r="FC20" i="71"/>
  <c r="FB20" i="71"/>
  <c r="FA20" i="71"/>
  <c r="EZ20" i="71"/>
  <c r="EY20" i="71"/>
  <c r="EX20" i="71"/>
  <c r="EW20" i="71"/>
  <c r="EV20" i="71"/>
  <c r="EU20" i="71"/>
  <c r="ET20" i="71"/>
  <c r="ES20" i="71"/>
  <c r="ER20" i="71"/>
  <c r="EQ20" i="71"/>
  <c r="EP20" i="71"/>
  <c r="EO20" i="71"/>
  <c r="EN20" i="71"/>
  <c r="EM20" i="71"/>
  <c r="EL20" i="71"/>
  <c r="EK20" i="71"/>
  <c r="EJ20" i="71"/>
  <c r="EI20" i="71"/>
  <c r="EH20" i="71"/>
  <c r="EG20" i="71"/>
  <c r="EF20" i="71"/>
  <c r="EE20" i="71"/>
  <c r="ED20" i="71"/>
  <c r="EC20" i="71"/>
  <c r="EB20" i="71"/>
  <c r="EA20" i="71"/>
  <c r="DZ20" i="71"/>
  <c r="DY20" i="71"/>
  <c r="DX20" i="71"/>
  <c r="DW20" i="71"/>
  <c r="DV20" i="71"/>
  <c r="DU20" i="71"/>
  <c r="DT20" i="71"/>
  <c r="DS20" i="71"/>
  <c r="DR20" i="71"/>
  <c r="DQ20" i="71"/>
  <c r="DP20" i="71"/>
  <c r="DO20" i="71"/>
  <c r="GN19" i="71"/>
  <c r="GM19" i="71"/>
  <c r="GL19" i="71"/>
  <c r="GK19" i="71"/>
  <c r="GJ19" i="71"/>
  <c r="FQ19" i="71"/>
  <c r="ET19" i="71"/>
  <c r="ES19" i="71"/>
  <c r="EL19" i="71"/>
  <c r="EK19" i="71"/>
  <c r="EC19" i="71"/>
  <c r="EA19" i="71"/>
  <c r="DY19" i="71"/>
  <c r="DW19" i="71"/>
  <c r="DU19" i="71"/>
  <c r="DS19" i="71"/>
  <c r="DQ19" i="71"/>
  <c r="DO19" i="71"/>
  <c r="GP18" i="71"/>
  <c r="GN18" i="71"/>
  <c r="GM18" i="71"/>
  <c r="GL18" i="71"/>
  <c r="GK18" i="71"/>
  <c r="GJ18" i="71"/>
  <c r="GI18" i="71"/>
  <c r="GH18" i="71"/>
  <c r="GG18" i="71"/>
  <c r="GF18" i="71"/>
  <c r="GE18" i="71"/>
  <c r="GD18" i="71"/>
  <c r="GC18" i="71"/>
  <c r="GB18" i="71"/>
  <c r="GA18" i="71"/>
  <c r="FZ18" i="71"/>
  <c r="FY18" i="71"/>
  <c r="FW18" i="71"/>
  <c r="FU18" i="71"/>
  <c r="FT18" i="71"/>
  <c r="FS18" i="71"/>
  <c r="FQ18" i="71"/>
  <c r="FO18" i="71"/>
  <c r="FM18" i="71"/>
  <c r="FK18" i="71"/>
  <c r="FJ18" i="71"/>
  <c r="FI18" i="71"/>
  <c r="FH18" i="71"/>
  <c r="FG18" i="71"/>
  <c r="FF18" i="71"/>
  <c r="FE18" i="71"/>
  <c r="FD18" i="71"/>
  <c r="FC18" i="71"/>
  <c r="FB18" i="71"/>
  <c r="FA18" i="71"/>
  <c r="EZ18" i="71"/>
  <c r="EY18" i="71"/>
  <c r="EX18" i="71"/>
  <c r="EW18" i="71"/>
  <c r="EV18" i="71"/>
  <c r="EU18" i="71"/>
  <c r="ET18" i="71"/>
  <c r="ES18" i="71"/>
  <c r="ER18" i="71"/>
  <c r="EQ18" i="71"/>
  <c r="EP18" i="71"/>
  <c r="EO18" i="71"/>
  <c r="EN18" i="71"/>
  <c r="EM18" i="71"/>
  <c r="EL18" i="71"/>
  <c r="EK18" i="71"/>
  <c r="EJ18" i="71"/>
  <c r="EI18" i="71"/>
  <c r="EH18" i="71"/>
  <c r="EG18" i="71"/>
  <c r="EF18" i="71"/>
  <c r="EE18" i="71"/>
  <c r="ED18" i="71"/>
  <c r="EC18" i="71"/>
  <c r="EB18" i="71"/>
  <c r="EA18" i="71"/>
  <c r="DZ18" i="71"/>
  <c r="DY18" i="71"/>
  <c r="DX18" i="71"/>
  <c r="DW18" i="71"/>
  <c r="DV18" i="71"/>
  <c r="DU18" i="71"/>
  <c r="DT18" i="71"/>
  <c r="DS18" i="71"/>
  <c r="DR18" i="71"/>
  <c r="DQ18" i="71"/>
  <c r="DP18" i="71"/>
  <c r="DO18" i="71"/>
  <c r="GP17" i="71"/>
  <c r="GN17" i="71"/>
  <c r="GM17" i="71"/>
  <c r="GL17" i="71"/>
  <c r="GK17" i="71"/>
  <c r="GJ17" i="71"/>
  <c r="GI17" i="71"/>
  <c r="GH17" i="71"/>
  <c r="GG17" i="71"/>
  <c r="GF17" i="71"/>
  <c r="GE17" i="71"/>
  <c r="GD17" i="71"/>
  <c r="GC17" i="71"/>
  <c r="GB17" i="71"/>
  <c r="GA17" i="71"/>
  <c r="FZ17" i="71"/>
  <c r="FY17" i="71"/>
  <c r="FW17" i="71"/>
  <c r="FU17" i="71"/>
  <c r="FT17" i="71"/>
  <c r="FS17" i="71"/>
  <c r="FQ17" i="71"/>
  <c r="FM17" i="71"/>
  <c r="FJ17" i="71"/>
  <c r="FI17" i="71"/>
  <c r="FH17" i="71"/>
  <c r="FG17" i="71"/>
  <c r="FF17" i="71"/>
  <c r="FE17" i="71"/>
  <c r="FD17" i="71"/>
  <c r="FC17" i="71"/>
  <c r="FB17" i="71"/>
  <c r="FA17" i="71"/>
  <c r="EY17" i="71"/>
  <c r="EX17" i="71"/>
  <c r="EW17" i="71"/>
  <c r="ET17" i="71"/>
  <c r="ES17" i="71"/>
  <c r="EQ17" i="71"/>
  <c r="EP17" i="71"/>
  <c r="EO17" i="71"/>
  <c r="EL17" i="71"/>
  <c r="EK17" i="71"/>
  <c r="EI17" i="71"/>
  <c r="EH17" i="71"/>
  <c r="EG17" i="71"/>
  <c r="ED17" i="71"/>
  <c r="EC17" i="71"/>
  <c r="EB17" i="71"/>
  <c r="EA17" i="71"/>
  <c r="DY17" i="71"/>
  <c r="DW17" i="71"/>
  <c r="DV17" i="71"/>
  <c r="DU17" i="71"/>
  <c r="DT17" i="71"/>
  <c r="DS17" i="71"/>
  <c r="DQ17" i="71"/>
  <c r="DO17" i="71"/>
  <c r="GN16" i="71"/>
  <c r="GM16" i="71"/>
  <c r="GL16" i="71"/>
  <c r="GK16" i="71"/>
  <c r="GJ16" i="71"/>
  <c r="FQ16" i="71"/>
  <c r="ET16" i="71"/>
  <c r="ES16" i="71"/>
  <c r="EL16" i="71"/>
  <c r="EK16" i="71"/>
  <c r="EC16" i="71"/>
  <c r="EA16" i="71"/>
  <c r="DY16" i="71"/>
  <c r="DW16" i="71"/>
  <c r="DU16" i="71"/>
  <c r="DS16" i="71"/>
  <c r="DQ16" i="71"/>
  <c r="DO16" i="71"/>
  <c r="GN15" i="71"/>
  <c r="GM15" i="71"/>
  <c r="GL15" i="71"/>
  <c r="GK15" i="71"/>
  <c r="GJ15" i="71"/>
  <c r="FQ15" i="71"/>
  <c r="ET15" i="71"/>
  <c r="ES15" i="71"/>
  <c r="EL15" i="71"/>
  <c r="EK15" i="71"/>
  <c r="EC15" i="71"/>
  <c r="EA15" i="71"/>
  <c r="DY15" i="71"/>
  <c r="DW15" i="71"/>
  <c r="DU15" i="71"/>
  <c r="DS15" i="71"/>
  <c r="DQ15" i="71"/>
  <c r="DO15" i="71"/>
  <c r="GN14" i="71"/>
  <c r="GM14" i="71"/>
  <c r="GL14" i="71"/>
  <c r="GK14" i="71"/>
  <c r="FR14" i="71"/>
  <c r="FQ14" i="71"/>
  <c r="FP14" i="71"/>
  <c r="ET14" i="71"/>
  <c r="ES14" i="71"/>
  <c r="EC14" i="71"/>
  <c r="EA14" i="71"/>
  <c r="DY14" i="71"/>
  <c r="DW14" i="71"/>
  <c r="DU14" i="71"/>
  <c r="DS14" i="71"/>
  <c r="DQ14" i="71"/>
  <c r="DO14" i="71"/>
  <c r="FG12" i="71"/>
  <c r="ED12" i="71"/>
  <c r="EB12" i="71"/>
  <c r="DV12" i="71"/>
  <c r="DT12" i="71"/>
  <c r="GP44" i="69"/>
  <c r="GN44" i="69"/>
  <c r="GM44" i="69"/>
  <c r="GL44" i="69"/>
  <c r="GK44" i="69"/>
  <c r="GJ44" i="69"/>
  <c r="GI44" i="69"/>
  <c r="GH44" i="69"/>
  <c r="GG44" i="69"/>
  <c r="GF44" i="69"/>
  <c r="GE44" i="69"/>
  <c r="GD44" i="69"/>
  <c r="GC44" i="69"/>
  <c r="GB44" i="69"/>
  <c r="GA44" i="69"/>
  <c r="FZ44" i="69"/>
  <c r="FY44" i="69"/>
  <c r="FW44" i="69"/>
  <c r="FU44" i="69"/>
  <c r="FT44" i="69"/>
  <c r="FS44" i="69"/>
  <c r="FQ44" i="69"/>
  <c r="FM44" i="69"/>
  <c r="FJ44" i="69"/>
  <c r="FI44" i="69"/>
  <c r="FH44" i="69"/>
  <c r="FG44" i="69"/>
  <c r="FF44" i="69"/>
  <c r="FE44" i="69"/>
  <c r="FD44" i="69"/>
  <c r="FC44" i="69"/>
  <c r="FB44" i="69"/>
  <c r="FA44" i="69"/>
  <c r="EX44" i="69"/>
  <c r="EW44" i="69"/>
  <c r="ET44" i="69"/>
  <c r="ES44" i="69"/>
  <c r="ER44" i="69"/>
  <c r="EP44" i="69"/>
  <c r="EO44" i="69"/>
  <c r="EL44" i="69"/>
  <c r="EK44" i="69"/>
  <c r="EH44" i="69"/>
  <c r="EG44" i="69"/>
  <c r="ED44" i="69"/>
  <c r="EC44" i="69"/>
  <c r="EB44" i="69"/>
  <c r="EA44" i="69"/>
  <c r="DY44" i="69"/>
  <c r="DX44" i="69"/>
  <c r="DW44" i="69"/>
  <c r="DV44" i="69"/>
  <c r="DU44" i="69"/>
  <c r="DT44" i="69"/>
  <c r="DS44" i="69"/>
  <c r="DQ44" i="69"/>
  <c r="DO44" i="69"/>
  <c r="GP43" i="69"/>
  <c r="GN43" i="69"/>
  <c r="GM43" i="69"/>
  <c r="GL43" i="69"/>
  <c r="GK43" i="69"/>
  <c r="GJ43" i="69"/>
  <c r="GI43" i="69"/>
  <c r="GH43" i="69"/>
  <c r="GG43" i="69"/>
  <c r="GF43" i="69"/>
  <c r="GE43" i="69"/>
  <c r="GD43" i="69"/>
  <c r="GC43" i="69"/>
  <c r="GB43" i="69"/>
  <c r="GA43" i="69"/>
  <c r="FZ43" i="69"/>
  <c r="FY43" i="69"/>
  <c r="FW43" i="69"/>
  <c r="FU43" i="69"/>
  <c r="FT43" i="69"/>
  <c r="FS43" i="69"/>
  <c r="FQ43" i="69"/>
  <c r="FM43" i="69"/>
  <c r="FJ43" i="69"/>
  <c r="FI43" i="69"/>
  <c r="FH43" i="69"/>
  <c r="FG43" i="69"/>
  <c r="FF43" i="69"/>
  <c r="FE43" i="69"/>
  <c r="FD43" i="69"/>
  <c r="FC43" i="69"/>
  <c r="FB43" i="69"/>
  <c r="FA43" i="69"/>
  <c r="EZ43" i="69"/>
  <c r="EX43" i="69"/>
  <c r="EW43" i="69"/>
  <c r="ET43" i="69"/>
  <c r="ES43" i="69"/>
  <c r="ER43" i="69"/>
  <c r="EP43" i="69"/>
  <c r="EO43" i="69"/>
  <c r="EL43" i="69"/>
  <c r="EK43" i="69"/>
  <c r="EJ43" i="69"/>
  <c r="EH43" i="69"/>
  <c r="EG43" i="69"/>
  <c r="ED43" i="69"/>
  <c r="EC43" i="69"/>
  <c r="EB43" i="69"/>
  <c r="EA43" i="69"/>
  <c r="DY43" i="69"/>
  <c r="DW43" i="69"/>
  <c r="DV43" i="69"/>
  <c r="DU43" i="69"/>
  <c r="DT43" i="69"/>
  <c r="DS43" i="69"/>
  <c r="DQ43" i="69"/>
  <c r="DO43" i="69"/>
  <c r="GN42" i="69"/>
  <c r="GM42" i="69"/>
  <c r="GL42" i="69"/>
  <c r="GK42" i="69"/>
  <c r="GJ42" i="69"/>
  <c r="FQ42" i="69"/>
  <c r="ET42" i="69"/>
  <c r="ES42" i="69"/>
  <c r="EL42" i="69"/>
  <c r="EK42" i="69"/>
  <c r="EC42" i="69"/>
  <c r="EA42" i="69"/>
  <c r="DY42" i="69"/>
  <c r="DW42" i="69"/>
  <c r="DU42" i="69"/>
  <c r="DS42" i="69"/>
  <c r="DQ42" i="69"/>
  <c r="DO42" i="69"/>
  <c r="GN41" i="69"/>
  <c r="GM41" i="69"/>
  <c r="GL41" i="69"/>
  <c r="GK41" i="69"/>
  <c r="GJ41" i="69"/>
  <c r="FQ41" i="69"/>
  <c r="ET41" i="69"/>
  <c r="ES41" i="69"/>
  <c r="EL41" i="69"/>
  <c r="EK41" i="69"/>
  <c r="EC41" i="69"/>
  <c r="EA41" i="69"/>
  <c r="DY41" i="69"/>
  <c r="DW41" i="69"/>
  <c r="DU41" i="69"/>
  <c r="DS41" i="69"/>
  <c r="DQ41" i="69"/>
  <c r="DO41" i="69"/>
  <c r="GN40" i="69"/>
  <c r="GM40" i="69"/>
  <c r="GL40" i="69"/>
  <c r="GK40" i="69"/>
  <c r="GJ40" i="69"/>
  <c r="FQ40" i="69"/>
  <c r="ET40" i="69"/>
  <c r="ES40" i="69"/>
  <c r="EL40" i="69"/>
  <c r="EK40" i="69"/>
  <c r="EC40" i="69"/>
  <c r="EA40" i="69"/>
  <c r="DY40" i="69"/>
  <c r="DW40" i="69"/>
  <c r="DU40" i="69"/>
  <c r="DS40" i="69"/>
  <c r="DQ40" i="69"/>
  <c r="DO40" i="69"/>
  <c r="GN39" i="69"/>
  <c r="GM39" i="69"/>
  <c r="GL39" i="69"/>
  <c r="GK39" i="69"/>
  <c r="GJ39" i="69"/>
  <c r="FQ39" i="69"/>
  <c r="ET39" i="69"/>
  <c r="ES39" i="69"/>
  <c r="EL39" i="69"/>
  <c r="EK39" i="69"/>
  <c r="EC39" i="69"/>
  <c r="EA39" i="69"/>
  <c r="DY39" i="69"/>
  <c r="DW39" i="69"/>
  <c r="DU39" i="69"/>
  <c r="DS39" i="69"/>
  <c r="DQ39" i="69"/>
  <c r="DO39" i="69"/>
  <c r="GN38" i="69"/>
  <c r="GM38" i="69"/>
  <c r="GL38" i="69"/>
  <c r="GK38" i="69"/>
  <c r="GJ38" i="69"/>
  <c r="FQ38" i="69"/>
  <c r="ET38" i="69"/>
  <c r="ES38" i="69"/>
  <c r="EL38" i="69"/>
  <c r="EK38" i="69"/>
  <c r="EC38" i="69"/>
  <c r="EA38" i="69"/>
  <c r="DY38" i="69"/>
  <c r="DW38" i="69"/>
  <c r="DU38" i="69"/>
  <c r="DS38" i="69"/>
  <c r="DQ38" i="69"/>
  <c r="DO38" i="69"/>
  <c r="GP37" i="69"/>
  <c r="GN37" i="69"/>
  <c r="GM37" i="69"/>
  <c r="GL37" i="69"/>
  <c r="GK37" i="69"/>
  <c r="GJ37" i="69"/>
  <c r="GI37" i="69"/>
  <c r="GH37" i="69"/>
  <c r="GG37" i="69"/>
  <c r="GF37" i="69"/>
  <c r="GE37" i="69"/>
  <c r="GD37" i="69"/>
  <c r="GC37" i="69"/>
  <c r="GB37" i="69"/>
  <c r="GA37" i="69"/>
  <c r="FZ37" i="69"/>
  <c r="FY37" i="69"/>
  <c r="FW37" i="69"/>
  <c r="FU37" i="69"/>
  <c r="FT37" i="69"/>
  <c r="FS37" i="69"/>
  <c r="FQ37" i="69"/>
  <c r="FM37" i="69"/>
  <c r="FJ37" i="69"/>
  <c r="FI37" i="69"/>
  <c r="FH37" i="69"/>
  <c r="FG37" i="69"/>
  <c r="FF37" i="69"/>
  <c r="FE37" i="69"/>
  <c r="FD37" i="69"/>
  <c r="FC37" i="69"/>
  <c r="FB37" i="69"/>
  <c r="FA37" i="69"/>
  <c r="EX37" i="69"/>
  <c r="EW37" i="69"/>
  <c r="ET37" i="69"/>
  <c r="ES37" i="69"/>
  <c r="EP37" i="69"/>
  <c r="EO37" i="69"/>
  <c r="EL37" i="69"/>
  <c r="EK37" i="69"/>
  <c r="EH37" i="69"/>
  <c r="EG37" i="69"/>
  <c r="ED37" i="69"/>
  <c r="EC37" i="69"/>
  <c r="EB37" i="69"/>
  <c r="EA37" i="69"/>
  <c r="DZ37" i="69"/>
  <c r="DY37" i="69"/>
  <c r="DW37" i="69"/>
  <c r="DV37" i="69"/>
  <c r="DU37" i="69"/>
  <c r="DT37" i="69"/>
  <c r="DS37" i="69"/>
  <c r="DR37" i="69"/>
  <c r="DQ37" i="69"/>
  <c r="DO37" i="69"/>
  <c r="GP36" i="69"/>
  <c r="GN36" i="69"/>
  <c r="GM36" i="69"/>
  <c r="GL36" i="69"/>
  <c r="GK36" i="69"/>
  <c r="GJ36" i="69"/>
  <c r="GI36" i="69"/>
  <c r="GH36" i="69"/>
  <c r="GG36" i="69"/>
  <c r="GF36" i="69"/>
  <c r="GE36" i="69"/>
  <c r="GD36" i="69"/>
  <c r="GC36" i="69"/>
  <c r="GB36" i="69"/>
  <c r="GA36" i="69"/>
  <c r="FZ36" i="69"/>
  <c r="FY36" i="69"/>
  <c r="FW36" i="69"/>
  <c r="FU36" i="69"/>
  <c r="FT36" i="69"/>
  <c r="FS36" i="69"/>
  <c r="FQ36" i="69"/>
  <c r="FM36" i="69"/>
  <c r="FJ36" i="69"/>
  <c r="FI36" i="69"/>
  <c r="FH36" i="69"/>
  <c r="FG36" i="69"/>
  <c r="FF36" i="69"/>
  <c r="FE36" i="69"/>
  <c r="FD36" i="69"/>
  <c r="FC36" i="69"/>
  <c r="FB36" i="69"/>
  <c r="FA36" i="69"/>
  <c r="EX36" i="69"/>
  <c r="EW36" i="69"/>
  <c r="ET36" i="69"/>
  <c r="ES36" i="69"/>
  <c r="EP36" i="69"/>
  <c r="EO36" i="69"/>
  <c r="EL36" i="69"/>
  <c r="EK36" i="69"/>
  <c r="EH36" i="69"/>
  <c r="EG36" i="69"/>
  <c r="ED36" i="69"/>
  <c r="EC36" i="69"/>
  <c r="EB36" i="69"/>
  <c r="EA36" i="69"/>
  <c r="DY36" i="69"/>
  <c r="DW36" i="69"/>
  <c r="DV36" i="69"/>
  <c r="DU36" i="69"/>
  <c r="DT36" i="69"/>
  <c r="DS36" i="69"/>
  <c r="DQ36" i="69"/>
  <c r="DO36" i="69"/>
  <c r="GN35" i="69"/>
  <c r="GM35" i="69"/>
  <c r="GL35" i="69"/>
  <c r="GK35" i="69"/>
  <c r="GJ35" i="69"/>
  <c r="FQ35" i="69"/>
  <c r="ET35" i="69"/>
  <c r="ES35" i="69"/>
  <c r="EL35" i="69"/>
  <c r="EK35" i="69"/>
  <c r="EC35" i="69"/>
  <c r="EA35" i="69"/>
  <c r="DY35" i="69"/>
  <c r="DW35" i="69"/>
  <c r="DU35" i="69"/>
  <c r="DS35" i="69"/>
  <c r="DQ35" i="69"/>
  <c r="DO35" i="69"/>
  <c r="GN34" i="69"/>
  <c r="GM34" i="69"/>
  <c r="GL34" i="69"/>
  <c r="GK34" i="69"/>
  <c r="GJ34" i="69"/>
  <c r="FQ34" i="69"/>
  <c r="ET34" i="69"/>
  <c r="ES34" i="69"/>
  <c r="EL34" i="69"/>
  <c r="EK34" i="69"/>
  <c r="EC34" i="69"/>
  <c r="EA34" i="69"/>
  <c r="DY34" i="69"/>
  <c r="DW34" i="69"/>
  <c r="DU34" i="69"/>
  <c r="DS34" i="69"/>
  <c r="DQ34" i="69"/>
  <c r="DO34" i="69"/>
  <c r="GN33" i="69"/>
  <c r="GM33" i="69"/>
  <c r="GL33" i="69"/>
  <c r="GK33" i="69"/>
  <c r="GJ33" i="69"/>
  <c r="FQ33" i="69"/>
  <c r="ET33" i="69"/>
  <c r="ES33" i="69"/>
  <c r="EL33" i="69"/>
  <c r="EK33" i="69"/>
  <c r="EC33" i="69"/>
  <c r="EA33" i="69"/>
  <c r="DY33" i="69"/>
  <c r="DW33" i="69"/>
  <c r="DU33" i="69"/>
  <c r="DS33" i="69"/>
  <c r="DQ33" i="69"/>
  <c r="DO33" i="69"/>
  <c r="GP32" i="69"/>
  <c r="GN32" i="69"/>
  <c r="GM32" i="69"/>
  <c r="GL32" i="69"/>
  <c r="GK32" i="69"/>
  <c r="GJ32" i="69"/>
  <c r="GI32" i="69"/>
  <c r="GH32" i="69"/>
  <c r="GG32" i="69"/>
  <c r="GF32" i="69"/>
  <c r="GE32" i="69"/>
  <c r="GD32" i="69"/>
  <c r="GC32" i="69"/>
  <c r="GB32" i="69"/>
  <c r="GA32" i="69"/>
  <c r="FZ32" i="69"/>
  <c r="FY32" i="69"/>
  <c r="FW32" i="69"/>
  <c r="FU32" i="69"/>
  <c r="FT32" i="69"/>
  <c r="FS32" i="69"/>
  <c r="FQ32" i="69"/>
  <c r="FM32" i="69"/>
  <c r="FJ32" i="69"/>
  <c r="FI32" i="69"/>
  <c r="FH32" i="69"/>
  <c r="FG32" i="69"/>
  <c r="FF32" i="69"/>
  <c r="FE32" i="69"/>
  <c r="FD32" i="69"/>
  <c r="FC32" i="69"/>
  <c r="FB32" i="69"/>
  <c r="FA32" i="69"/>
  <c r="EX32" i="69"/>
  <c r="EW32" i="69"/>
  <c r="ET32" i="69"/>
  <c r="ES32" i="69"/>
  <c r="EP32" i="69"/>
  <c r="EO32" i="69"/>
  <c r="EL32" i="69"/>
  <c r="EK32" i="69"/>
  <c r="EH32" i="69"/>
  <c r="EG32" i="69"/>
  <c r="ED32" i="69"/>
  <c r="EC32" i="69"/>
  <c r="EB32" i="69"/>
  <c r="EA32" i="69"/>
  <c r="DY32" i="69"/>
  <c r="DW32" i="69"/>
  <c r="DV32" i="69"/>
  <c r="DU32" i="69"/>
  <c r="DT32" i="69"/>
  <c r="DS32" i="69"/>
  <c r="DQ32" i="69"/>
  <c r="DO32" i="69"/>
  <c r="GP31" i="69"/>
  <c r="GN31" i="69"/>
  <c r="GM31" i="69"/>
  <c r="GL31" i="69"/>
  <c r="GK31" i="69"/>
  <c r="GJ31" i="69"/>
  <c r="GI31" i="69"/>
  <c r="GH31" i="69"/>
  <c r="GG31" i="69"/>
  <c r="GF31" i="69"/>
  <c r="GE31" i="69"/>
  <c r="GD31" i="69"/>
  <c r="GC31" i="69"/>
  <c r="GB31" i="69"/>
  <c r="GA31" i="69"/>
  <c r="FZ31" i="69"/>
  <c r="FY31" i="69"/>
  <c r="FW31" i="69"/>
  <c r="FU31" i="69"/>
  <c r="FT31" i="69"/>
  <c r="FS31" i="69"/>
  <c r="FQ31" i="69"/>
  <c r="FO31" i="69"/>
  <c r="FM31" i="69"/>
  <c r="FK31" i="69"/>
  <c r="FJ31" i="69"/>
  <c r="FI31" i="69"/>
  <c r="FH31" i="69"/>
  <c r="FG31" i="69"/>
  <c r="FF31" i="69"/>
  <c r="FE31" i="69"/>
  <c r="FD31" i="69"/>
  <c r="FC31" i="69"/>
  <c r="FB31" i="69"/>
  <c r="FA31" i="69"/>
  <c r="EZ31" i="69"/>
  <c r="EY31" i="69"/>
  <c r="EX31" i="69"/>
  <c r="EW31" i="69"/>
  <c r="EV31" i="69"/>
  <c r="EU31" i="69"/>
  <c r="ET31" i="69"/>
  <c r="ES31" i="69"/>
  <c r="ER31" i="69"/>
  <c r="EQ31" i="69"/>
  <c r="EP31" i="69"/>
  <c r="EO31" i="69"/>
  <c r="EN31" i="69"/>
  <c r="EM31" i="69"/>
  <c r="EL31" i="69"/>
  <c r="EK31" i="69"/>
  <c r="EJ31" i="69"/>
  <c r="EI31" i="69"/>
  <c r="EH31" i="69"/>
  <c r="EG31" i="69"/>
  <c r="EF31" i="69"/>
  <c r="EE31" i="69"/>
  <c r="ED31" i="69"/>
  <c r="EC31" i="69"/>
  <c r="EB31" i="69"/>
  <c r="EA31" i="69"/>
  <c r="DZ31" i="69"/>
  <c r="DY31" i="69"/>
  <c r="DX31" i="69"/>
  <c r="DW31" i="69"/>
  <c r="DV31" i="69"/>
  <c r="DU31" i="69"/>
  <c r="DT31" i="69"/>
  <c r="DS31" i="69"/>
  <c r="DR31" i="69"/>
  <c r="DQ31" i="69"/>
  <c r="DP31" i="69"/>
  <c r="DO31" i="69"/>
  <c r="GP30" i="69"/>
  <c r="GN30" i="69"/>
  <c r="GM30" i="69"/>
  <c r="GL30" i="69"/>
  <c r="GK30" i="69"/>
  <c r="GJ30" i="69"/>
  <c r="GI30" i="69"/>
  <c r="GH30" i="69"/>
  <c r="GG30" i="69"/>
  <c r="GF30" i="69"/>
  <c r="GE30" i="69"/>
  <c r="GD30" i="69"/>
  <c r="GC30" i="69"/>
  <c r="GB30" i="69"/>
  <c r="GA30" i="69"/>
  <c r="FZ30" i="69"/>
  <c r="FY30" i="69"/>
  <c r="FW30" i="69"/>
  <c r="FU30" i="69"/>
  <c r="FT30" i="69"/>
  <c r="FS30" i="69"/>
  <c r="FQ30" i="69"/>
  <c r="FO30" i="69"/>
  <c r="FM30" i="69"/>
  <c r="FK30" i="69"/>
  <c r="FJ30" i="69"/>
  <c r="FI30" i="69"/>
  <c r="FH30" i="69"/>
  <c r="FG30" i="69"/>
  <c r="FF30" i="69"/>
  <c r="FE30" i="69"/>
  <c r="FD30" i="69"/>
  <c r="FC30" i="69"/>
  <c r="FB30" i="69"/>
  <c r="FA30" i="69"/>
  <c r="EZ30" i="69"/>
  <c r="EY30" i="69"/>
  <c r="EX30" i="69"/>
  <c r="EW30" i="69"/>
  <c r="EV30" i="69"/>
  <c r="EU30" i="69"/>
  <c r="ET30" i="69"/>
  <c r="ES30" i="69"/>
  <c r="ER30" i="69"/>
  <c r="EQ30" i="69"/>
  <c r="EP30" i="69"/>
  <c r="EO30" i="69"/>
  <c r="EN30" i="69"/>
  <c r="EM30" i="69"/>
  <c r="EL30" i="69"/>
  <c r="EK30" i="69"/>
  <c r="EJ30" i="69"/>
  <c r="EI30" i="69"/>
  <c r="EH30" i="69"/>
  <c r="EG30" i="69"/>
  <c r="EF30" i="69"/>
  <c r="EE30" i="69"/>
  <c r="ED30" i="69"/>
  <c r="EC30" i="69"/>
  <c r="EB30" i="69"/>
  <c r="EA30" i="69"/>
  <c r="DZ30" i="69"/>
  <c r="DY30" i="69"/>
  <c r="DX30" i="69"/>
  <c r="DW30" i="69"/>
  <c r="DV30" i="69"/>
  <c r="DU30" i="69"/>
  <c r="DT30" i="69"/>
  <c r="DS30" i="69"/>
  <c r="DR30" i="69"/>
  <c r="DQ30" i="69"/>
  <c r="DP30" i="69"/>
  <c r="DO30" i="69"/>
  <c r="GP29" i="69"/>
  <c r="GN29" i="69"/>
  <c r="GM29" i="69"/>
  <c r="GL29" i="69"/>
  <c r="GK29" i="69"/>
  <c r="GJ29" i="69"/>
  <c r="GI29" i="69"/>
  <c r="GH29" i="69"/>
  <c r="GG29" i="69"/>
  <c r="GF29" i="69"/>
  <c r="GE29" i="69"/>
  <c r="GD29" i="69"/>
  <c r="GC29" i="69"/>
  <c r="GB29" i="69"/>
  <c r="GA29" i="69"/>
  <c r="FZ29" i="69"/>
  <c r="FY29" i="69"/>
  <c r="FW29" i="69"/>
  <c r="FU29" i="69"/>
  <c r="FT29" i="69"/>
  <c r="FS29" i="69"/>
  <c r="FQ29" i="69"/>
  <c r="FM29" i="69"/>
  <c r="FJ29" i="69"/>
  <c r="FI29" i="69"/>
  <c r="FH29" i="69"/>
  <c r="FG29" i="69"/>
  <c r="FF29" i="69"/>
  <c r="FE29" i="69"/>
  <c r="FD29" i="69"/>
  <c r="FC29" i="69"/>
  <c r="FB29" i="69"/>
  <c r="FA29" i="69"/>
  <c r="EX29" i="69"/>
  <c r="EW29" i="69"/>
  <c r="ET29" i="69"/>
  <c r="ES29" i="69"/>
  <c r="EP29" i="69"/>
  <c r="EO29" i="69"/>
  <c r="EL29" i="69"/>
  <c r="EK29" i="69"/>
  <c r="EH29" i="69"/>
  <c r="EG29" i="69"/>
  <c r="ED29" i="69"/>
  <c r="EC29" i="69"/>
  <c r="EB29" i="69"/>
  <c r="EA29" i="69"/>
  <c r="DY29" i="69"/>
  <c r="DW29" i="69"/>
  <c r="DV29" i="69"/>
  <c r="DU29" i="69"/>
  <c r="DT29" i="69"/>
  <c r="DS29" i="69"/>
  <c r="DQ29" i="69"/>
  <c r="DO29" i="69"/>
  <c r="GN28" i="69"/>
  <c r="GM28" i="69"/>
  <c r="GL28" i="69"/>
  <c r="GK28" i="69"/>
  <c r="GJ28" i="69"/>
  <c r="FQ28" i="69"/>
  <c r="ET28" i="69"/>
  <c r="ES28" i="69"/>
  <c r="EL28" i="69"/>
  <c r="EK28" i="69"/>
  <c r="EC28" i="69"/>
  <c r="EA28" i="69"/>
  <c r="DY28" i="69"/>
  <c r="DW28" i="69"/>
  <c r="DU28" i="69"/>
  <c r="DS28" i="69"/>
  <c r="DQ28" i="69"/>
  <c r="DO28" i="69"/>
  <c r="GN27" i="69"/>
  <c r="GM27" i="69"/>
  <c r="GL27" i="69"/>
  <c r="GK27" i="69"/>
  <c r="GJ27" i="69"/>
  <c r="FQ27" i="69"/>
  <c r="ET27" i="69"/>
  <c r="ES27" i="69"/>
  <c r="EL27" i="69"/>
  <c r="EK27" i="69"/>
  <c r="EC27" i="69"/>
  <c r="EA27" i="69"/>
  <c r="DY27" i="69"/>
  <c r="DW27" i="69"/>
  <c r="DU27" i="69"/>
  <c r="DS27" i="69"/>
  <c r="DQ27" i="69"/>
  <c r="DO27" i="69"/>
  <c r="GN26" i="69"/>
  <c r="GM26" i="69"/>
  <c r="GL26" i="69"/>
  <c r="GK26" i="69"/>
  <c r="GJ26" i="69"/>
  <c r="FQ26" i="69"/>
  <c r="ET26" i="69"/>
  <c r="ES26" i="69"/>
  <c r="EL26" i="69"/>
  <c r="EK26" i="69"/>
  <c r="EC26" i="69"/>
  <c r="EA26" i="69"/>
  <c r="DY26" i="69"/>
  <c r="DW26" i="69"/>
  <c r="DU26" i="69"/>
  <c r="DS26" i="69"/>
  <c r="DQ26" i="69"/>
  <c r="DO26" i="69"/>
  <c r="GP25" i="69"/>
  <c r="GN25" i="69"/>
  <c r="GM25" i="69"/>
  <c r="GL25" i="69"/>
  <c r="GK25" i="69"/>
  <c r="GJ25" i="69"/>
  <c r="GI25" i="69"/>
  <c r="GH25" i="69"/>
  <c r="GG25" i="69"/>
  <c r="GF25" i="69"/>
  <c r="GE25" i="69"/>
  <c r="GD25" i="69"/>
  <c r="GC25" i="69"/>
  <c r="GB25" i="69"/>
  <c r="GA25" i="69"/>
  <c r="FZ25" i="69"/>
  <c r="FY25" i="69"/>
  <c r="FW25" i="69"/>
  <c r="FU25" i="69"/>
  <c r="FT25" i="69"/>
  <c r="FS25" i="69"/>
  <c r="FQ25" i="69"/>
  <c r="FO25" i="69"/>
  <c r="FM25" i="69"/>
  <c r="FK25" i="69"/>
  <c r="FJ25" i="69"/>
  <c r="FI25" i="69"/>
  <c r="FH25" i="69"/>
  <c r="FG25" i="69"/>
  <c r="FF25" i="69"/>
  <c r="FE25" i="69"/>
  <c r="FD25" i="69"/>
  <c r="FC25" i="69"/>
  <c r="FB25" i="69"/>
  <c r="FA25" i="69"/>
  <c r="EZ25" i="69"/>
  <c r="EY25" i="69"/>
  <c r="EX25" i="69"/>
  <c r="EW25" i="69"/>
  <c r="EV25" i="69"/>
  <c r="EU25" i="69"/>
  <c r="ET25" i="69"/>
  <c r="ES25" i="69"/>
  <c r="ER25" i="69"/>
  <c r="EQ25" i="69"/>
  <c r="EP25" i="69"/>
  <c r="EO25" i="69"/>
  <c r="EN25" i="69"/>
  <c r="EM25" i="69"/>
  <c r="EL25" i="69"/>
  <c r="EK25" i="69"/>
  <c r="EJ25" i="69"/>
  <c r="EI25" i="69"/>
  <c r="EH25" i="69"/>
  <c r="EG25" i="69"/>
  <c r="EF25" i="69"/>
  <c r="EE25" i="69"/>
  <c r="ED25" i="69"/>
  <c r="EC25" i="69"/>
  <c r="EB25" i="69"/>
  <c r="EA25" i="69"/>
  <c r="DZ25" i="69"/>
  <c r="DY25" i="69"/>
  <c r="DX25" i="69"/>
  <c r="DW25" i="69"/>
  <c r="DV25" i="69"/>
  <c r="DU25" i="69"/>
  <c r="DT25" i="69"/>
  <c r="DS25" i="69"/>
  <c r="DR25" i="69"/>
  <c r="DQ25" i="69"/>
  <c r="DP25" i="69"/>
  <c r="DO25" i="69"/>
  <c r="GP24" i="69"/>
  <c r="GN24" i="69"/>
  <c r="GM24" i="69"/>
  <c r="GL24" i="69"/>
  <c r="GK24" i="69"/>
  <c r="GJ24" i="69"/>
  <c r="GI24" i="69"/>
  <c r="GH24" i="69"/>
  <c r="GG24" i="69"/>
  <c r="GF24" i="69"/>
  <c r="GE24" i="69"/>
  <c r="GD24" i="69"/>
  <c r="GC24" i="69"/>
  <c r="GB24" i="69"/>
  <c r="GA24" i="69"/>
  <c r="FZ24" i="69"/>
  <c r="FY24" i="69"/>
  <c r="FW24" i="69"/>
  <c r="FU24" i="69"/>
  <c r="FT24" i="69"/>
  <c r="FS24" i="69"/>
  <c r="FQ24" i="69"/>
  <c r="FM24" i="69"/>
  <c r="FJ24" i="69"/>
  <c r="FI24" i="69"/>
  <c r="FH24" i="69"/>
  <c r="FG24" i="69"/>
  <c r="FF24" i="69"/>
  <c r="FE24" i="69"/>
  <c r="FD24" i="69"/>
  <c r="FC24" i="69"/>
  <c r="FB24" i="69"/>
  <c r="FA24" i="69"/>
  <c r="EX24" i="69"/>
  <c r="EW24" i="69"/>
  <c r="ET24" i="69"/>
  <c r="ES24" i="69"/>
  <c r="EP24" i="69"/>
  <c r="EO24" i="69"/>
  <c r="EL24" i="69"/>
  <c r="EK24" i="69"/>
  <c r="EH24" i="69"/>
  <c r="EG24" i="69"/>
  <c r="ED24" i="69"/>
  <c r="EC24" i="69"/>
  <c r="EB24" i="69"/>
  <c r="EA24" i="69"/>
  <c r="DZ24" i="69"/>
  <c r="DY24" i="69"/>
  <c r="DW24" i="69"/>
  <c r="DV24" i="69"/>
  <c r="DU24" i="69"/>
  <c r="DT24" i="69"/>
  <c r="DS24" i="69"/>
  <c r="DR24" i="69"/>
  <c r="DQ24" i="69"/>
  <c r="DO24" i="69"/>
  <c r="GP23" i="69"/>
  <c r="GN23" i="69"/>
  <c r="GM23" i="69"/>
  <c r="GL23" i="69"/>
  <c r="GK23" i="69"/>
  <c r="GJ23" i="69"/>
  <c r="GI23" i="69"/>
  <c r="GH23" i="69"/>
  <c r="GG23" i="69"/>
  <c r="GF23" i="69"/>
  <c r="GE23" i="69"/>
  <c r="GD23" i="69"/>
  <c r="GC23" i="69"/>
  <c r="GB23" i="69"/>
  <c r="GA23" i="69"/>
  <c r="FZ23" i="69"/>
  <c r="FY23" i="69"/>
  <c r="FW23" i="69"/>
  <c r="FU23" i="69"/>
  <c r="FT23" i="69"/>
  <c r="FS23" i="69"/>
  <c r="FQ23" i="69"/>
  <c r="FO23" i="69"/>
  <c r="FM23" i="69"/>
  <c r="FK23" i="69"/>
  <c r="FJ23" i="69"/>
  <c r="FI23" i="69"/>
  <c r="FH23" i="69"/>
  <c r="FG23" i="69"/>
  <c r="FF23" i="69"/>
  <c r="FE23" i="69"/>
  <c r="FD23" i="69"/>
  <c r="FC23" i="69"/>
  <c r="FB23" i="69"/>
  <c r="FA23" i="69"/>
  <c r="EZ23" i="69"/>
  <c r="EY23" i="69"/>
  <c r="EX23" i="69"/>
  <c r="EW23" i="69"/>
  <c r="EV23" i="69"/>
  <c r="EU23" i="69"/>
  <c r="ET23" i="69"/>
  <c r="ES23" i="69"/>
  <c r="ER23" i="69"/>
  <c r="EQ23" i="69"/>
  <c r="EP23" i="69"/>
  <c r="EO23" i="69"/>
  <c r="EN23" i="69"/>
  <c r="EM23" i="69"/>
  <c r="EL23" i="69"/>
  <c r="EK23" i="69"/>
  <c r="EJ23" i="69"/>
  <c r="EI23" i="69"/>
  <c r="EH23" i="69"/>
  <c r="EG23" i="69"/>
  <c r="EF23" i="69"/>
  <c r="EE23" i="69"/>
  <c r="ED23" i="69"/>
  <c r="EC23" i="69"/>
  <c r="EB23" i="69"/>
  <c r="EA23" i="69"/>
  <c r="DZ23" i="69"/>
  <c r="DY23" i="69"/>
  <c r="DX23" i="69"/>
  <c r="DW23" i="69"/>
  <c r="DV23" i="69"/>
  <c r="DU23" i="69"/>
  <c r="DT23" i="69"/>
  <c r="DS23" i="69"/>
  <c r="DR23" i="69"/>
  <c r="DQ23" i="69"/>
  <c r="DP23" i="69"/>
  <c r="DO23" i="69"/>
  <c r="GP22" i="69"/>
  <c r="GN22" i="69"/>
  <c r="GM22" i="69"/>
  <c r="GL22" i="69"/>
  <c r="GK22" i="69"/>
  <c r="GJ22" i="69"/>
  <c r="GI22" i="69"/>
  <c r="GH22" i="69"/>
  <c r="GG22" i="69"/>
  <c r="GF22" i="69"/>
  <c r="GE22" i="69"/>
  <c r="GD22" i="69"/>
  <c r="GC22" i="69"/>
  <c r="GB22" i="69"/>
  <c r="GA22" i="69"/>
  <c r="FZ22" i="69"/>
  <c r="FY22" i="69"/>
  <c r="FW22" i="69"/>
  <c r="FU22" i="69"/>
  <c r="FT22" i="69"/>
  <c r="FS22" i="69"/>
  <c r="FQ22" i="69"/>
  <c r="FM22" i="69"/>
  <c r="FJ22" i="69"/>
  <c r="FI22" i="69"/>
  <c r="FH22" i="69"/>
  <c r="FG22" i="69"/>
  <c r="FF22" i="69"/>
  <c r="FE22" i="69"/>
  <c r="FD22" i="69"/>
  <c r="FC22" i="69"/>
  <c r="FB22" i="69"/>
  <c r="FA22" i="69"/>
  <c r="EX22" i="69"/>
  <c r="EW22" i="69"/>
  <c r="EV22" i="69"/>
  <c r="ET22" i="69"/>
  <c r="ES22" i="69"/>
  <c r="EP22" i="69"/>
  <c r="EO22" i="69"/>
  <c r="EL22" i="69"/>
  <c r="EK22" i="69"/>
  <c r="EH22" i="69"/>
  <c r="EG22" i="69"/>
  <c r="ED22" i="69"/>
  <c r="EC22" i="69"/>
  <c r="EB22" i="69"/>
  <c r="EA22" i="69"/>
  <c r="DY22" i="69"/>
  <c r="DW22" i="69"/>
  <c r="DV22" i="69"/>
  <c r="DU22" i="69"/>
  <c r="DT22" i="69"/>
  <c r="DS22" i="69"/>
  <c r="DR22" i="69"/>
  <c r="DQ22" i="69"/>
  <c r="DO22" i="69"/>
  <c r="GN21" i="69"/>
  <c r="GM21" i="69"/>
  <c r="GL21" i="69"/>
  <c r="GK21" i="69"/>
  <c r="GJ21" i="69"/>
  <c r="FQ21" i="69"/>
  <c r="ET21" i="69"/>
  <c r="ES21" i="69"/>
  <c r="EL21" i="69"/>
  <c r="EK21" i="69"/>
  <c r="EC21" i="69"/>
  <c r="EA21" i="69"/>
  <c r="DY21" i="69"/>
  <c r="DW21" i="69"/>
  <c r="DU21" i="69"/>
  <c r="DS21" i="69"/>
  <c r="DQ21" i="69"/>
  <c r="DO21" i="69"/>
  <c r="GN20" i="69"/>
  <c r="GM20" i="69"/>
  <c r="GL20" i="69"/>
  <c r="GK20" i="69"/>
  <c r="GJ20" i="69"/>
  <c r="FQ20" i="69"/>
  <c r="ET20" i="69"/>
  <c r="ES20" i="69"/>
  <c r="EL20" i="69"/>
  <c r="EK20" i="69"/>
  <c r="EC20" i="69"/>
  <c r="EA20" i="69"/>
  <c r="DY20" i="69"/>
  <c r="DW20" i="69"/>
  <c r="DU20" i="69"/>
  <c r="DS20" i="69"/>
  <c r="DQ20" i="69"/>
  <c r="DO20" i="69"/>
  <c r="GN19" i="69"/>
  <c r="GM19" i="69"/>
  <c r="GL19" i="69"/>
  <c r="GK19" i="69"/>
  <c r="GJ19" i="69"/>
  <c r="FQ19" i="69"/>
  <c r="ET19" i="69"/>
  <c r="ES19" i="69"/>
  <c r="EL19" i="69"/>
  <c r="EK19" i="69"/>
  <c r="EC19" i="69"/>
  <c r="EA19" i="69"/>
  <c r="DY19" i="69"/>
  <c r="DW19" i="69"/>
  <c r="DU19" i="69"/>
  <c r="DS19" i="69"/>
  <c r="DQ19" i="69"/>
  <c r="DO19" i="69"/>
  <c r="GP18" i="69"/>
  <c r="GN18" i="69"/>
  <c r="GM18" i="69"/>
  <c r="GL18" i="69"/>
  <c r="GK18" i="69"/>
  <c r="GJ18" i="69"/>
  <c r="GI18" i="69"/>
  <c r="GH18" i="69"/>
  <c r="GG18" i="69"/>
  <c r="GF18" i="69"/>
  <c r="GE18" i="69"/>
  <c r="GD18" i="69"/>
  <c r="GC18" i="69"/>
  <c r="GB18" i="69"/>
  <c r="GA18" i="69"/>
  <c r="FZ18" i="69"/>
  <c r="FY18" i="69"/>
  <c r="FW18" i="69"/>
  <c r="FU18" i="69"/>
  <c r="FT18" i="69"/>
  <c r="FS18" i="69"/>
  <c r="FQ18" i="69"/>
  <c r="FO18" i="69"/>
  <c r="FM18" i="69"/>
  <c r="FK18" i="69"/>
  <c r="FJ18" i="69"/>
  <c r="FI18" i="69"/>
  <c r="FH18" i="69"/>
  <c r="FG18" i="69"/>
  <c r="FF18" i="69"/>
  <c r="FE18" i="69"/>
  <c r="FD18" i="69"/>
  <c r="FC18" i="69"/>
  <c r="FB18" i="69"/>
  <c r="FA18" i="69"/>
  <c r="EZ18" i="69"/>
  <c r="EY18" i="69"/>
  <c r="EX18" i="69"/>
  <c r="EW18" i="69"/>
  <c r="EV18" i="69"/>
  <c r="EU18" i="69"/>
  <c r="ET18" i="69"/>
  <c r="ES18" i="69"/>
  <c r="ER18" i="69"/>
  <c r="EQ18" i="69"/>
  <c r="EP18" i="69"/>
  <c r="EO18" i="69"/>
  <c r="EN18" i="69"/>
  <c r="EM18" i="69"/>
  <c r="EL18" i="69"/>
  <c r="EK18" i="69"/>
  <c r="EJ18" i="69"/>
  <c r="EI18" i="69"/>
  <c r="EH18" i="69"/>
  <c r="EG18" i="69"/>
  <c r="EF18" i="69"/>
  <c r="EE18" i="69"/>
  <c r="ED18" i="69"/>
  <c r="EC18" i="69"/>
  <c r="EB18" i="69"/>
  <c r="EA18" i="69"/>
  <c r="DZ18" i="69"/>
  <c r="DY18" i="69"/>
  <c r="DX18" i="69"/>
  <c r="DW18" i="69"/>
  <c r="DV18" i="69"/>
  <c r="DU18" i="69"/>
  <c r="DT18" i="69"/>
  <c r="DS18" i="69"/>
  <c r="DR18" i="69"/>
  <c r="DQ18" i="69"/>
  <c r="DP18" i="69"/>
  <c r="DO18" i="69"/>
  <c r="GP17" i="69"/>
  <c r="GN17" i="69"/>
  <c r="GM17" i="69"/>
  <c r="GL17" i="69"/>
  <c r="GK17" i="69"/>
  <c r="GJ17" i="69"/>
  <c r="GI17" i="69"/>
  <c r="GH17" i="69"/>
  <c r="GG17" i="69"/>
  <c r="GF17" i="69"/>
  <c r="GE17" i="69"/>
  <c r="GD17" i="69"/>
  <c r="GC17" i="69"/>
  <c r="GB17" i="69"/>
  <c r="GA17" i="69"/>
  <c r="FZ17" i="69"/>
  <c r="FY17" i="69"/>
  <c r="FW17" i="69"/>
  <c r="FU17" i="69"/>
  <c r="FT17" i="69"/>
  <c r="FS17" i="69"/>
  <c r="FQ17" i="69"/>
  <c r="FO17" i="69"/>
  <c r="FM17" i="69"/>
  <c r="FK17" i="69"/>
  <c r="FJ17" i="69"/>
  <c r="FI17" i="69"/>
  <c r="FH17" i="69"/>
  <c r="FG17" i="69"/>
  <c r="FF17" i="69"/>
  <c r="FE17" i="69"/>
  <c r="FD17" i="69"/>
  <c r="FC17" i="69"/>
  <c r="FB17" i="69"/>
  <c r="FA17" i="69"/>
  <c r="EZ17" i="69"/>
  <c r="EY17" i="69"/>
  <c r="EX17" i="69"/>
  <c r="EW17" i="69"/>
  <c r="EV17" i="69"/>
  <c r="EU17" i="69"/>
  <c r="ET17" i="69"/>
  <c r="ES17" i="69"/>
  <c r="ER17" i="69"/>
  <c r="EQ17" i="69"/>
  <c r="EP17" i="69"/>
  <c r="EO17" i="69"/>
  <c r="EN17" i="69"/>
  <c r="EM17" i="69"/>
  <c r="EL17" i="69"/>
  <c r="EK17" i="69"/>
  <c r="EJ17" i="69"/>
  <c r="EI17" i="69"/>
  <c r="EH17" i="69"/>
  <c r="EG17" i="69"/>
  <c r="EF17" i="69"/>
  <c r="EE17" i="69"/>
  <c r="ED17" i="69"/>
  <c r="EC17" i="69"/>
  <c r="EB17" i="69"/>
  <c r="EA17" i="69"/>
  <c r="DZ17" i="69"/>
  <c r="DY17" i="69"/>
  <c r="DX17" i="69"/>
  <c r="DW17" i="69"/>
  <c r="DV17" i="69"/>
  <c r="DU17" i="69"/>
  <c r="DT17" i="69"/>
  <c r="DS17" i="69"/>
  <c r="DR17" i="69"/>
  <c r="DQ17" i="69"/>
  <c r="DP17" i="69"/>
  <c r="DO17" i="69"/>
  <c r="GP16" i="69"/>
  <c r="GN16" i="69"/>
  <c r="GM16" i="69"/>
  <c r="GL16" i="69"/>
  <c r="GK16" i="69"/>
  <c r="GJ16" i="69"/>
  <c r="GI16" i="69"/>
  <c r="GH16" i="69"/>
  <c r="GG16" i="69"/>
  <c r="GF16" i="69"/>
  <c r="GE16" i="69"/>
  <c r="GD16" i="69"/>
  <c r="GC16" i="69"/>
  <c r="GB16" i="69"/>
  <c r="GA16" i="69"/>
  <c r="FZ16" i="69"/>
  <c r="FY16" i="69"/>
  <c r="FW16" i="69"/>
  <c r="FU16" i="69"/>
  <c r="FT16" i="69"/>
  <c r="FS16" i="69"/>
  <c r="FQ16" i="69"/>
  <c r="FO16" i="69"/>
  <c r="FM16" i="69"/>
  <c r="FK16" i="69"/>
  <c r="FJ16" i="69"/>
  <c r="FI16" i="69"/>
  <c r="FH16" i="69"/>
  <c r="FG16" i="69"/>
  <c r="FF16" i="69"/>
  <c r="FE16" i="69"/>
  <c r="FD16" i="69"/>
  <c r="FC16" i="69"/>
  <c r="FB16" i="69"/>
  <c r="FA16" i="69"/>
  <c r="EZ16" i="69"/>
  <c r="EY16" i="69"/>
  <c r="EX16" i="69"/>
  <c r="EW16" i="69"/>
  <c r="EV16" i="69"/>
  <c r="EU16" i="69"/>
  <c r="ET16" i="69"/>
  <c r="ES16" i="69"/>
  <c r="ER16" i="69"/>
  <c r="EQ16" i="69"/>
  <c r="EP16" i="69"/>
  <c r="EO16" i="69"/>
  <c r="EN16" i="69"/>
  <c r="EM16" i="69"/>
  <c r="EL16" i="69"/>
  <c r="EK16" i="69"/>
  <c r="EJ16" i="69"/>
  <c r="EI16" i="69"/>
  <c r="EH16" i="69"/>
  <c r="EG16" i="69"/>
  <c r="EF16" i="69"/>
  <c r="EE16" i="69"/>
  <c r="ED16" i="69"/>
  <c r="EC16" i="69"/>
  <c r="EB16" i="69"/>
  <c r="EA16" i="69"/>
  <c r="DZ16" i="69"/>
  <c r="DY16" i="69"/>
  <c r="DX16" i="69"/>
  <c r="DW16" i="69"/>
  <c r="DV16" i="69"/>
  <c r="DU16" i="69"/>
  <c r="DT16" i="69"/>
  <c r="DS16" i="69"/>
  <c r="DR16" i="69"/>
  <c r="DQ16" i="69"/>
  <c r="DP16" i="69"/>
  <c r="DO16" i="69"/>
  <c r="GP15" i="69"/>
  <c r="GN15" i="69"/>
  <c r="GM15" i="69"/>
  <c r="GL15" i="69"/>
  <c r="GK15" i="69"/>
  <c r="GJ15" i="69"/>
  <c r="GI15" i="69"/>
  <c r="GH15" i="69"/>
  <c r="GG15" i="69"/>
  <c r="GF15" i="69"/>
  <c r="GE15" i="69"/>
  <c r="GD15" i="69"/>
  <c r="GC15" i="69"/>
  <c r="GB15" i="69"/>
  <c r="GA15" i="69"/>
  <c r="FZ15" i="69"/>
  <c r="FY15" i="69"/>
  <c r="FW15" i="69"/>
  <c r="FU15" i="69"/>
  <c r="FT15" i="69"/>
  <c r="FS15" i="69"/>
  <c r="FQ15" i="69"/>
  <c r="FO15" i="69"/>
  <c r="FM15" i="69"/>
  <c r="FK15" i="69"/>
  <c r="FJ15" i="69"/>
  <c r="FI15" i="69"/>
  <c r="FH15" i="69"/>
  <c r="FG15" i="69"/>
  <c r="FF15" i="69"/>
  <c r="FE15" i="69"/>
  <c r="FD15" i="69"/>
  <c r="FC15" i="69"/>
  <c r="FB15" i="69"/>
  <c r="FA15" i="69"/>
  <c r="EZ15" i="69"/>
  <c r="EY15" i="69"/>
  <c r="EX15" i="69"/>
  <c r="EW15" i="69"/>
  <c r="EV15" i="69"/>
  <c r="EU15" i="69"/>
  <c r="ET15" i="69"/>
  <c r="ES15" i="69"/>
  <c r="ER15" i="69"/>
  <c r="EQ15" i="69"/>
  <c r="EP15" i="69"/>
  <c r="EO15" i="69"/>
  <c r="EN15" i="69"/>
  <c r="EM15" i="69"/>
  <c r="EL15" i="69"/>
  <c r="EK15" i="69"/>
  <c r="EJ15" i="69"/>
  <c r="EI15" i="69"/>
  <c r="EH15" i="69"/>
  <c r="EG15" i="69"/>
  <c r="EF15" i="69"/>
  <c r="EE15" i="69"/>
  <c r="ED15" i="69"/>
  <c r="EC15" i="69"/>
  <c r="EB15" i="69"/>
  <c r="EA15" i="69"/>
  <c r="DZ15" i="69"/>
  <c r="DY15" i="69"/>
  <c r="DX15" i="69"/>
  <c r="DW15" i="69"/>
  <c r="DV15" i="69"/>
  <c r="DU15" i="69"/>
  <c r="DT15" i="69"/>
  <c r="DS15" i="69"/>
  <c r="DR15" i="69"/>
  <c r="DQ15" i="69"/>
  <c r="DP15" i="69"/>
  <c r="DO15" i="69"/>
  <c r="GN14" i="69"/>
  <c r="GM14" i="69"/>
  <c r="GL14" i="69"/>
  <c r="GK14" i="69"/>
  <c r="FR14" i="69"/>
  <c r="FQ14" i="69"/>
  <c r="FP14" i="69"/>
  <c r="ET14" i="69"/>
  <c r="ES14" i="69"/>
  <c r="EL14" i="69"/>
  <c r="EK14" i="69"/>
  <c r="EC14" i="69"/>
  <c r="EA14" i="69"/>
  <c r="DY14" i="69"/>
  <c r="DW14" i="69"/>
  <c r="DU14" i="69"/>
  <c r="DS14" i="69"/>
  <c r="DQ14" i="69"/>
  <c r="DO14" i="69"/>
  <c r="FG12" i="69"/>
  <c r="ED12" i="69"/>
  <c r="EB12" i="69"/>
  <c r="DV12" i="69"/>
  <c r="DT12" i="69"/>
  <c r="GN44" i="67"/>
  <c r="GM44" i="67"/>
  <c r="GL44" i="67"/>
  <c r="GK44" i="67"/>
  <c r="GJ44" i="67"/>
  <c r="FQ44" i="67"/>
  <c r="ET44" i="67"/>
  <c r="ES44" i="67"/>
  <c r="EL44" i="67"/>
  <c r="EK44" i="67"/>
  <c r="EC44" i="67"/>
  <c r="EA44" i="67"/>
  <c r="DY44" i="67"/>
  <c r="DW44" i="67"/>
  <c r="DU44" i="67"/>
  <c r="DS44" i="67"/>
  <c r="DQ44" i="67"/>
  <c r="DO44" i="67"/>
  <c r="GN43" i="67"/>
  <c r="GM43" i="67"/>
  <c r="GL43" i="67"/>
  <c r="GK43" i="67"/>
  <c r="GJ43" i="67"/>
  <c r="FQ43" i="67"/>
  <c r="ET43" i="67"/>
  <c r="ES43" i="67"/>
  <c r="EL43" i="67"/>
  <c r="EK43" i="67"/>
  <c r="EC43" i="67"/>
  <c r="EA43" i="67"/>
  <c r="DY43" i="67"/>
  <c r="DW43" i="67"/>
  <c r="DU43" i="67"/>
  <c r="DS43" i="67"/>
  <c r="DQ43" i="67"/>
  <c r="DO43" i="67"/>
  <c r="GP42" i="67"/>
  <c r="GN42" i="67"/>
  <c r="GM42" i="67"/>
  <c r="GL42" i="67"/>
  <c r="GK42" i="67"/>
  <c r="GJ42" i="67"/>
  <c r="GI42" i="67"/>
  <c r="GH42" i="67"/>
  <c r="GG42" i="67"/>
  <c r="GF42" i="67"/>
  <c r="GE42" i="67"/>
  <c r="GD42" i="67"/>
  <c r="GC42" i="67"/>
  <c r="GB42" i="67"/>
  <c r="GA42" i="67"/>
  <c r="FZ42" i="67"/>
  <c r="FY42" i="67"/>
  <c r="FW42" i="67"/>
  <c r="FU42" i="67"/>
  <c r="FT42" i="67"/>
  <c r="FS42" i="67"/>
  <c r="FQ42" i="67"/>
  <c r="FM42" i="67"/>
  <c r="FJ42" i="67"/>
  <c r="FI42" i="67"/>
  <c r="FH42" i="67"/>
  <c r="FG42" i="67"/>
  <c r="FF42" i="67"/>
  <c r="FE42" i="67"/>
  <c r="FD42" i="67"/>
  <c r="FC42" i="67"/>
  <c r="FB42" i="67"/>
  <c r="FA42" i="67"/>
  <c r="EX42" i="67"/>
  <c r="EW42" i="67"/>
  <c r="ET42" i="67"/>
  <c r="ES42" i="67"/>
  <c r="EP42" i="67"/>
  <c r="EO42" i="67"/>
  <c r="EL42" i="67"/>
  <c r="EK42" i="67"/>
  <c r="EH42" i="67"/>
  <c r="EG42" i="67"/>
  <c r="ED42" i="67"/>
  <c r="EC42" i="67"/>
  <c r="EB42" i="67"/>
  <c r="EA42" i="67"/>
  <c r="DY42" i="67"/>
  <c r="DW42" i="67"/>
  <c r="DV42" i="67"/>
  <c r="DU42" i="67"/>
  <c r="DT42" i="67"/>
  <c r="DS42" i="67"/>
  <c r="DQ42" i="67"/>
  <c r="DO42" i="67"/>
  <c r="GP41" i="67"/>
  <c r="GN41" i="67"/>
  <c r="GM41" i="67"/>
  <c r="GL41" i="67"/>
  <c r="GK41" i="67"/>
  <c r="GJ41" i="67"/>
  <c r="GI41" i="67"/>
  <c r="GH41" i="67"/>
  <c r="GG41" i="67"/>
  <c r="GF41" i="67"/>
  <c r="GE41" i="67"/>
  <c r="GD41" i="67"/>
  <c r="GC41" i="67"/>
  <c r="GB41" i="67"/>
  <c r="GA41" i="67"/>
  <c r="FZ41" i="67"/>
  <c r="FY41" i="67"/>
  <c r="FW41" i="67"/>
  <c r="FU41" i="67"/>
  <c r="FT41" i="67"/>
  <c r="FS41" i="67"/>
  <c r="FQ41" i="67"/>
  <c r="FO41" i="67"/>
  <c r="FM41" i="67"/>
  <c r="FK41" i="67"/>
  <c r="FJ41" i="67"/>
  <c r="FI41" i="67"/>
  <c r="FH41" i="67"/>
  <c r="FG41" i="67"/>
  <c r="FF41" i="67"/>
  <c r="FE41" i="67"/>
  <c r="FD41" i="67"/>
  <c r="FC41" i="67"/>
  <c r="FB41" i="67"/>
  <c r="FA41" i="67"/>
  <c r="EZ41" i="67"/>
  <c r="EY41" i="67"/>
  <c r="EX41" i="67"/>
  <c r="EW41" i="67"/>
  <c r="EV41" i="67"/>
  <c r="EU41" i="67"/>
  <c r="ET41" i="67"/>
  <c r="ES41" i="67"/>
  <c r="ER41" i="67"/>
  <c r="EQ41" i="67"/>
  <c r="EP41" i="67"/>
  <c r="EO41" i="67"/>
  <c r="EN41" i="67"/>
  <c r="EM41" i="67"/>
  <c r="EL41" i="67"/>
  <c r="EK41" i="67"/>
  <c r="EJ41" i="67"/>
  <c r="EI41" i="67"/>
  <c r="EH41" i="67"/>
  <c r="EG41" i="67"/>
  <c r="EF41" i="67"/>
  <c r="EE41" i="67"/>
  <c r="ED41" i="67"/>
  <c r="EC41" i="67"/>
  <c r="EB41" i="67"/>
  <c r="EA41" i="67"/>
  <c r="DZ41" i="67"/>
  <c r="DY41" i="67"/>
  <c r="DX41" i="67"/>
  <c r="DW41" i="67"/>
  <c r="DV41" i="67"/>
  <c r="DU41" i="67"/>
  <c r="DT41" i="67"/>
  <c r="DS41" i="67"/>
  <c r="DR41" i="67"/>
  <c r="DQ41" i="67"/>
  <c r="DP41" i="67"/>
  <c r="DO41" i="67"/>
  <c r="GP40" i="67"/>
  <c r="GN40" i="67"/>
  <c r="GM40" i="67"/>
  <c r="GL40" i="67"/>
  <c r="GK40" i="67"/>
  <c r="GJ40" i="67"/>
  <c r="GI40" i="67"/>
  <c r="GH40" i="67"/>
  <c r="GG40" i="67"/>
  <c r="GF40" i="67"/>
  <c r="GE40" i="67"/>
  <c r="GD40" i="67"/>
  <c r="GC40" i="67"/>
  <c r="GB40" i="67"/>
  <c r="GA40" i="67"/>
  <c r="FZ40" i="67"/>
  <c r="FY40" i="67"/>
  <c r="FW40" i="67"/>
  <c r="FU40" i="67"/>
  <c r="FT40" i="67"/>
  <c r="FS40" i="67"/>
  <c r="FQ40" i="67"/>
  <c r="FO40" i="67"/>
  <c r="FM40" i="67"/>
  <c r="FK40" i="67"/>
  <c r="FJ40" i="67"/>
  <c r="FI40" i="67"/>
  <c r="FH40" i="67"/>
  <c r="FG40" i="67"/>
  <c r="FF40" i="67"/>
  <c r="FE40" i="67"/>
  <c r="FD40" i="67"/>
  <c r="FC40" i="67"/>
  <c r="FB40" i="67"/>
  <c r="FA40" i="67"/>
  <c r="EZ40" i="67"/>
  <c r="EY40" i="67"/>
  <c r="EX40" i="67"/>
  <c r="EW40" i="67"/>
  <c r="EV40" i="67"/>
  <c r="EU40" i="67"/>
  <c r="ET40" i="67"/>
  <c r="ES40" i="67"/>
  <c r="ER40" i="67"/>
  <c r="EQ40" i="67"/>
  <c r="EP40" i="67"/>
  <c r="EO40" i="67"/>
  <c r="EN40" i="67"/>
  <c r="EM40" i="67"/>
  <c r="EL40" i="67"/>
  <c r="EK40" i="67"/>
  <c r="EJ40" i="67"/>
  <c r="EI40" i="67"/>
  <c r="EH40" i="67"/>
  <c r="EG40" i="67"/>
  <c r="EF40" i="67"/>
  <c r="EE40" i="67"/>
  <c r="ED40" i="67"/>
  <c r="EC40" i="67"/>
  <c r="EB40" i="67"/>
  <c r="EA40" i="67"/>
  <c r="DZ40" i="67"/>
  <c r="DY40" i="67"/>
  <c r="DX40" i="67"/>
  <c r="DW40" i="67"/>
  <c r="DV40" i="67"/>
  <c r="DU40" i="67"/>
  <c r="DT40" i="67"/>
  <c r="DS40" i="67"/>
  <c r="DR40" i="67"/>
  <c r="DQ40" i="67"/>
  <c r="DP40" i="67"/>
  <c r="DO40" i="67"/>
  <c r="GP39" i="67"/>
  <c r="GN39" i="67"/>
  <c r="GM39" i="67"/>
  <c r="GL39" i="67"/>
  <c r="GK39" i="67"/>
  <c r="GJ39" i="67"/>
  <c r="GI39" i="67"/>
  <c r="GH39" i="67"/>
  <c r="GG39" i="67"/>
  <c r="GF39" i="67"/>
  <c r="GE39" i="67"/>
  <c r="GD39" i="67"/>
  <c r="GC39" i="67"/>
  <c r="GB39" i="67"/>
  <c r="GA39" i="67"/>
  <c r="FZ39" i="67"/>
  <c r="FY39" i="67"/>
  <c r="FW39" i="67"/>
  <c r="FU39" i="67"/>
  <c r="FT39" i="67"/>
  <c r="FS39" i="67"/>
  <c r="FQ39" i="67"/>
  <c r="FO39" i="67"/>
  <c r="FM39" i="67"/>
  <c r="FJ39" i="67"/>
  <c r="FI39" i="67"/>
  <c r="FH39" i="67"/>
  <c r="FG39" i="67"/>
  <c r="FF39" i="67"/>
  <c r="FE39" i="67"/>
  <c r="FD39" i="67"/>
  <c r="FC39" i="67"/>
  <c r="FB39" i="67"/>
  <c r="FA39" i="67"/>
  <c r="EX39" i="67"/>
  <c r="EW39" i="67"/>
  <c r="ET39" i="67"/>
  <c r="ES39" i="67"/>
  <c r="EP39" i="67"/>
  <c r="EO39" i="67"/>
  <c r="EL39" i="67"/>
  <c r="EK39" i="67"/>
  <c r="EH39" i="67"/>
  <c r="EG39" i="67"/>
  <c r="ED39" i="67"/>
  <c r="EC39" i="67"/>
  <c r="EB39" i="67"/>
  <c r="EA39" i="67"/>
  <c r="DY39" i="67"/>
  <c r="DW39" i="67"/>
  <c r="DV39" i="67"/>
  <c r="DU39" i="67"/>
  <c r="DT39" i="67"/>
  <c r="DS39" i="67"/>
  <c r="DQ39" i="67"/>
  <c r="DO39" i="67"/>
  <c r="GN38" i="67"/>
  <c r="GM38" i="67"/>
  <c r="GL38" i="67"/>
  <c r="GK38" i="67"/>
  <c r="GJ38" i="67"/>
  <c r="FQ38" i="67"/>
  <c r="ET38" i="67"/>
  <c r="ES38" i="67"/>
  <c r="EL38" i="67"/>
  <c r="EK38" i="67"/>
  <c r="EC38" i="67"/>
  <c r="EA38" i="67"/>
  <c r="DY38" i="67"/>
  <c r="DW38" i="67"/>
  <c r="DU38" i="67"/>
  <c r="DS38" i="67"/>
  <c r="DQ38" i="67"/>
  <c r="DO38" i="67"/>
  <c r="GN37" i="67"/>
  <c r="GM37" i="67"/>
  <c r="GL37" i="67"/>
  <c r="GK37" i="67"/>
  <c r="GJ37" i="67"/>
  <c r="FQ37" i="67"/>
  <c r="ET37" i="67"/>
  <c r="ES37" i="67"/>
  <c r="EL37" i="67"/>
  <c r="EK37" i="67"/>
  <c r="EC37" i="67"/>
  <c r="EA37" i="67"/>
  <c r="DY37" i="67"/>
  <c r="DW37" i="67"/>
  <c r="DU37" i="67"/>
  <c r="DS37" i="67"/>
  <c r="DQ37" i="67"/>
  <c r="DO37" i="67"/>
  <c r="GN36" i="67"/>
  <c r="GM36" i="67"/>
  <c r="GL36" i="67"/>
  <c r="GK36" i="67"/>
  <c r="GJ36" i="67"/>
  <c r="FQ36" i="67"/>
  <c r="ET36" i="67"/>
  <c r="ES36" i="67"/>
  <c r="EL36" i="67"/>
  <c r="EK36" i="67"/>
  <c r="EC36" i="67"/>
  <c r="EA36" i="67"/>
  <c r="DY36" i="67"/>
  <c r="DW36" i="67"/>
  <c r="DU36" i="67"/>
  <c r="DS36" i="67"/>
  <c r="DQ36" i="67"/>
  <c r="DO36" i="67"/>
  <c r="GP35" i="67"/>
  <c r="GN35" i="67"/>
  <c r="GM35" i="67"/>
  <c r="GL35" i="67"/>
  <c r="GK35" i="67"/>
  <c r="GJ35" i="67"/>
  <c r="GI35" i="67"/>
  <c r="GH35" i="67"/>
  <c r="GG35" i="67"/>
  <c r="GF35" i="67"/>
  <c r="GE35" i="67"/>
  <c r="GD35" i="67"/>
  <c r="GC35" i="67"/>
  <c r="GB35" i="67"/>
  <c r="GA35" i="67"/>
  <c r="FZ35" i="67"/>
  <c r="FY35" i="67"/>
  <c r="FW35" i="67"/>
  <c r="FU35" i="67"/>
  <c r="FT35" i="67"/>
  <c r="FS35" i="67"/>
  <c r="FQ35" i="67"/>
  <c r="FM35" i="67"/>
  <c r="FJ35" i="67"/>
  <c r="FI35" i="67"/>
  <c r="FH35" i="67"/>
  <c r="FG35" i="67"/>
  <c r="FF35" i="67"/>
  <c r="FE35" i="67"/>
  <c r="FD35" i="67"/>
  <c r="FC35" i="67"/>
  <c r="FB35" i="67"/>
  <c r="FA35" i="67"/>
  <c r="EY35" i="67"/>
  <c r="EX35" i="67"/>
  <c r="EW35" i="67"/>
  <c r="ET35" i="67"/>
  <c r="ES35" i="67"/>
  <c r="EQ35" i="67"/>
  <c r="EP35" i="67"/>
  <c r="EO35" i="67"/>
  <c r="EL35" i="67"/>
  <c r="EK35" i="67"/>
  <c r="EI35" i="67"/>
  <c r="EH35" i="67"/>
  <c r="EG35" i="67"/>
  <c r="ED35" i="67"/>
  <c r="EC35" i="67"/>
  <c r="EB35" i="67"/>
  <c r="EA35" i="67"/>
  <c r="DY35" i="67"/>
  <c r="DW35" i="67"/>
  <c r="DV35" i="67"/>
  <c r="DU35" i="67"/>
  <c r="DT35" i="67"/>
  <c r="DS35" i="67"/>
  <c r="DQ35" i="67"/>
  <c r="DO35" i="67"/>
  <c r="GP34" i="67"/>
  <c r="GN34" i="67"/>
  <c r="GM34" i="67"/>
  <c r="GL34" i="67"/>
  <c r="GK34" i="67"/>
  <c r="GJ34" i="67"/>
  <c r="GI34" i="67"/>
  <c r="GH34" i="67"/>
  <c r="GG34" i="67"/>
  <c r="GF34" i="67"/>
  <c r="GE34" i="67"/>
  <c r="GD34" i="67"/>
  <c r="GC34" i="67"/>
  <c r="GB34" i="67"/>
  <c r="GA34" i="67"/>
  <c r="FZ34" i="67"/>
  <c r="FY34" i="67"/>
  <c r="FW34" i="67"/>
  <c r="FU34" i="67"/>
  <c r="FT34" i="67"/>
  <c r="FS34" i="67"/>
  <c r="FQ34" i="67"/>
  <c r="FM34" i="67"/>
  <c r="FK34" i="67"/>
  <c r="FJ34" i="67"/>
  <c r="FI34" i="67"/>
  <c r="FH34" i="67"/>
  <c r="FG34" i="67"/>
  <c r="FF34" i="67"/>
  <c r="FE34" i="67"/>
  <c r="FD34" i="67"/>
  <c r="FC34" i="67"/>
  <c r="FB34" i="67"/>
  <c r="FA34" i="67"/>
  <c r="EX34" i="67"/>
  <c r="EW34" i="67"/>
  <c r="EU34" i="67"/>
  <c r="ET34" i="67"/>
  <c r="ES34" i="67"/>
  <c r="EP34" i="67"/>
  <c r="EO34" i="67"/>
  <c r="EM34" i="67"/>
  <c r="EL34" i="67"/>
  <c r="EK34" i="67"/>
  <c r="EH34" i="67"/>
  <c r="EG34" i="67"/>
  <c r="EE34" i="67"/>
  <c r="ED34" i="67"/>
  <c r="EC34" i="67"/>
  <c r="EB34" i="67"/>
  <c r="EA34" i="67"/>
  <c r="DY34" i="67"/>
  <c r="DW34" i="67"/>
  <c r="DV34" i="67"/>
  <c r="DU34" i="67"/>
  <c r="DT34" i="67"/>
  <c r="DS34" i="67"/>
  <c r="DQ34" i="67"/>
  <c r="DO34" i="67"/>
  <c r="GP33" i="67"/>
  <c r="GN33" i="67"/>
  <c r="GM33" i="67"/>
  <c r="GL33" i="67"/>
  <c r="GK33" i="67"/>
  <c r="GJ33" i="67"/>
  <c r="GI33" i="67"/>
  <c r="GH33" i="67"/>
  <c r="GG33" i="67"/>
  <c r="GF33" i="67"/>
  <c r="GE33" i="67"/>
  <c r="GD33" i="67"/>
  <c r="GC33" i="67"/>
  <c r="GB33" i="67"/>
  <c r="GA33" i="67"/>
  <c r="FZ33" i="67"/>
  <c r="FY33" i="67"/>
  <c r="FW33" i="67"/>
  <c r="FU33" i="67"/>
  <c r="FT33" i="67"/>
  <c r="FS33" i="67"/>
  <c r="FQ33" i="67"/>
  <c r="FO33" i="67"/>
  <c r="FM33" i="67"/>
  <c r="FK33" i="67"/>
  <c r="FJ33" i="67"/>
  <c r="FI33" i="67"/>
  <c r="FH33" i="67"/>
  <c r="FG33" i="67"/>
  <c r="FF33" i="67"/>
  <c r="FE33" i="67"/>
  <c r="FD33" i="67"/>
  <c r="FC33" i="67"/>
  <c r="FB33" i="67"/>
  <c r="FA33" i="67"/>
  <c r="EZ33" i="67"/>
  <c r="EY33" i="67"/>
  <c r="EX33" i="67"/>
  <c r="EW33" i="67"/>
  <c r="EV33" i="67"/>
  <c r="EU33" i="67"/>
  <c r="ET33" i="67"/>
  <c r="ES33" i="67"/>
  <c r="ER33" i="67"/>
  <c r="EQ33" i="67"/>
  <c r="EP33" i="67"/>
  <c r="EO33" i="67"/>
  <c r="EN33" i="67"/>
  <c r="EM33" i="67"/>
  <c r="EL33" i="67"/>
  <c r="EK33" i="67"/>
  <c r="EJ33" i="67"/>
  <c r="EI33" i="67"/>
  <c r="EH33" i="67"/>
  <c r="EG33" i="67"/>
  <c r="EF33" i="67"/>
  <c r="EE33" i="67"/>
  <c r="ED33" i="67"/>
  <c r="EC33" i="67"/>
  <c r="EB33" i="67"/>
  <c r="EA33" i="67"/>
  <c r="DZ33" i="67"/>
  <c r="DY33" i="67"/>
  <c r="DX33" i="67"/>
  <c r="DW33" i="67"/>
  <c r="DV33" i="67"/>
  <c r="DU33" i="67"/>
  <c r="DT33" i="67"/>
  <c r="DS33" i="67"/>
  <c r="DR33" i="67"/>
  <c r="DQ33" i="67"/>
  <c r="DP33" i="67"/>
  <c r="DO33" i="67"/>
  <c r="GP32" i="67"/>
  <c r="GN32" i="67"/>
  <c r="GM32" i="67"/>
  <c r="GL32" i="67"/>
  <c r="GK32" i="67"/>
  <c r="GJ32" i="67"/>
  <c r="GI32" i="67"/>
  <c r="GH32" i="67"/>
  <c r="GG32" i="67"/>
  <c r="GF32" i="67"/>
  <c r="GE32" i="67"/>
  <c r="GD32" i="67"/>
  <c r="GC32" i="67"/>
  <c r="GB32" i="67"/>
  <c r="GA32" i="67"/>
  <c r="FZ32" i="67"/>
  <c r="FY32" i="67"/>
  <c r="FW32" i="67"/>
  <c r="FU32" i="67"/>
  <c r="FT32" i="67"/>
  <c r="FS32" i="67"/>
  <c r="FQ32" i="67"/>
  <c r="FO32" i="67"/>
  <c r="FM32" i="67"/>
  <c r="FK32" i="67"/>
  <c r="FJ32" i="67"/>
  <c r="FI32" i="67"/>
  <c r="FH32" i="67"/>
  <c r="FG32" i="67"/>
  <c r="FF32" i="67"/>
  <c r="FE32" i="67"/>
  <c r="FD32" i="67"/>
  <c r="FC32" i="67"/>
  <c r="FB32" i="67"/>
  <c r="FA32" i="67"/>
  <c r="EZ32" i="67"/>
  <c r="EY32" i="67"/>
  <c r="EX32" i="67"/>
  <c r="EW32" i="67"/>
  <c r="EV32" i="67"/>
  <c r="EU32" i="67"/>
  <c r="ET32" i="67"/>
  <c r="ES32" i="67"/>
  <c r="ER32" i="67"/>
  <c r="EQ32" i="67"/>
  <c r="EP32" i="67"/>
  <c r="EO32" i="67"/>
  <c r="EN32" i="67"/>
  <c r="EM32" i="67"/>
  <c r="EL32" i="67"/>
  <c r="EK32" i="67"/>
  <c r="EJ32" i="67"/>
  <c r="EI32" i="67"/>
  <c r="EH32" i="67"/>
  <c r="EG32" i="67"/>
  <c r="EF32" i="67"/>
  <c r="EE32" i="67"/>
  <c r="ED32" i="67"/>
  <c r="EC32" i="67"/>
  <c r="EB32" i="67"/>
  <c r="EA32" i="67"/>
  <c r="DZ32" i="67"/>
  <c r="DY32" i="67"/>
  <c r="DX32" i="67"/>
  <c r="DW32" i="67"/>
  <c r="DV32" i="67"/>
  <c r="DU32" i="67"/>
  <c r="DT32" i="67"/>
  <c r="DS32" i="67"/>
  <c r="DR32" i="67"/>
  <c r="DQ32" i="67"/>
  <c r="DP32" i="67"/>
  <c r="DO32" i="67"/>
  <c r="GN31" i="67"/>
  <c r="GM31" i="67"/>
  <c r="GL31" i="67"/>
  <c r="GK31" i="67"/>
  <c r="GJ31" i="67"/>
  <c r="FQ31" i="67"/>
  <c r="ET31" i="67"/>
  <c r="ES31" i="67"/>
  <c r="EL31" i="67"/>
  <c r="EK31" i="67"/>
  <c r="EC31" i="67"/>
  <c r="EA31" i="67"/>
  <c r="DY31" i="67"/>
  <c r="DW31" i="67"/>
  <c r="DU31" i="67"/>
  <c r="DS31" i="67"/>
  <c r="DQ31" i="67"/>
  <c r="DO31" i="67"/>
  <c r="GN30" i="67"/>
  <c r="GM30" i="67"/>
  <c r="GL30" i="67"/>
  <c r="GK30" i="67"/>
  <c r="GJ30" i="67"/>
  <c r="FQ30" i="67"/>
  <c r="ET30" i="67"/>
  <c r="ES30" i="67"/>
  <c r="EL30" i="67"/>
  <c r="EK30" i="67"/>
  <c r="EC30" i="67"/>
  <c r="EA30" i="67"/>
  <c r="DY30" i="67"/>
  <c r="DW30" i="67"/>
  <c r="DU30" i="67"/>
  <c r="DS30" i="67"/>
  <c r="DQ30" i="67"/>
  <c r="DO30" i="67"/>
  <c r="GN29" i="67"/>
  <c r="GM29" i="67"/>
  <c r="GL29" i="67"/>
  <c r="GK29" i="67"/>
  <c r="GJ29" i="67"/>
  <c r="FQ29" i="67"/>
  <c r="ET29" i="67"/>
  <c r="ES29" i="67"/>
  <c r="EL29" i="67"/>
  <c r="EK29" i="67"/>
  <c r="EC29" i="67"/>
  <c r="EA29" i="67"/>
  <c r="DY29" i="67"/>
  <c r="DW29" i="67"/>
  <c r="DU29" i="67"/>
  <c r="DS29" i="67"/>
  <c r="DQ29" i="67"/>
  <c r="DO29" i="67"/>
  <c r="GP28" i="67"/>
  <c r="GN28" i="67"/>
  <c r="GM28" i="67"/>
  <c r="GL28" i="67"/>
  <c r="GK28" i="67"/>
  <c r="GJ28" i="67"/>
  <c r="GI28" i="67"/>
  <c r="GH28" i="67"/>
  <c r="GG28" i="67"/>
  <c r="GF28" i="67"/>
  <c r="GE28" i="67"/>
  <c r="GD28" i="67"/>
  <c r="GC28" i="67"/>
  <c r="GB28" i="67"/>
  <c r="GA28" i="67"/>
  <c r="FZ28" i="67"/>
  <c r="FY28" i="67"/>
  <c r="FW28" i="67"/>
  <c r="FU28" i="67"/>
  <c r="FT28" i="67"/>
  <c r="FS28" i="67"/>
  <c r="FQ28" i="67"/>
  <c r="FO28" i="67"/>
  <c r="FM28" i="67"/>
  <c r="FK28" i="67"/>
  <c r="FJ28" i="67"/>
  <c r="FI28" i="67"/>
  <c r="FH28" i="67"/>
  <c r="FG28" i="67"/>
  <c r="FF28" i="67"/>
  <c r="FE28" i="67"/>
  <c r="FD28" i="67"/>
  <c r="FC28" i="67"/>
  <c r="FB28" i="67"/>
  <c r="FA28" i="67"/>
  <c r="EZ28" i="67"/>
  <c r="EY28" i="67"/>
  <c r="EX28" i="67"/>
  <c r="EW28" i="67"/>
  <c r="EV28" i="67"/>
  <c r="EU28" i="67"/>
  <c r="ET28" i="67"/>
  <c r="ES28" i="67"/>
  <c r="ER28" i="67"/>
  <c r="EQ28" i="67"/>
  <c r="EP28" i="67"/>
  <c r="EO28" i="67"/>
  <c r="EN28" i="67"/>
  <c r="EM28" i="67"/>
  <c r="EL28" i="67"/>
  <c r="EK28" i="67"/>
  <c r="EJ28" i="67"/>
  <c r="EI28" i="67"/>
  <c r="EH28" i="67"/>
  <c r="EG28" i="67"/>
  <c r="EF28" i="67"/>
  <c r="EE28" i="67"/>
  <c r="ED28" i="67"/>
  <c r="EC28" i="67"/>
  <c r="EB28" i="67"/>
  <c r="EA28" i="67"/>
  <c r="DZ28" i="67"/>
  <c r="DY28" i="67"/>
  <c r="DX28" i="67"/>
  <c r="DW28" i="67"/>
  <c r="DV28" i="67"/>
  <c r="DU28" i="67"/>
  <c r="DT28" i="67"/>
  <c r="DS28" i="67"/>
  <c r="DR28" i="67"/>
  <c r="DQ28" i="67"/>
  <c r="DP28" i="67"/>
  <c r="DO28" i="67"/>
  <c r="GP27" i="67"/>
  <c r="GN27" i="67"/>
  <c r="GM27" i="67"/>
  <c r="GL27" i="67"/>
  <c r="GK27" i="67"/>
  <c r="GJ27" i="67"/>
  <c r="GI27" i="67"/>
  <c r="GH27" i="67"/>
  <c r="GG27" i="67"/>
  <c r="GF27" i="67"/>
  <c r="GE27" i="67"/>
  <c r="GD27" i="67"/>
  <c r="GC27" i="67"/>
  <c r="GB27" i="67"/>
  <c r="GA27" i="67"/>
  <c r="FZ27" i="67"/>
  <c r="FY27" i="67"/>
  <c r="FW27" i="67"/>
  <c r="FU27" i="67"/>
  <c r="FT27" i="67"/>
  <c r="FS27" i="67"/>
  <c r="FQ27" i="67"/>
  <c r="FM27" i="67"/>
  <c r="FJ27" i="67"/>
  <c r="FI27" i="67"/>
  <c r="FH27" i="67"/>
  <c r="FG27" i="67"/>
  <c r="FF27" i="67"/>
  <c r="FE27" i="67"/>
  <c r="FD27" i="67"/>
  <c r="FC27" i="67"/>
  <c r="FB27" i="67"/>
  <c r="FA27" i="67"/>
  <c r="EX27" i="67"/>
  <c r="EW27" i="67"/>
  <c r="ET27" i="67"/>
  <c r="ES27" i="67"/>
  <c r="EP27" i="67"/>
  <c r="EO27" i="67"/>
  <c r="EL27" i="67"/>
  <c r="EK27" i="67"/>
  <c r="EH27" i="67"/>
  <c r="EG27" i="67"/>
  <c r="ED27" i="67"/>
  <c r="EC27" i="67"/>
  <c r="EB27" i="67"/>
  <c r="EA27" i="67"/>
  <c r="DY27" i="67"/>
  <c r="DW27" i="67"/>
  <c r="DV27" i="67"/>
  <c r="DU27" i="67"/>
  <c r="DT27" i="67"/>
  <c r="DS27" i="67"/>
  <c r="DQ27" i="67"/>
  <c r="DO27" i="67"/>
  <c r="GP26" i="67"/>
  <c r="GN26" i="67"/>
  <c r="GM26" i="67"/>
  <c r="GL26" i="67"/>
  <c r="GK26" i="67"/>
  <c r="GJ26" i="67"/>
  <c r="GI26" i="67"/>
  <c r="GH26" i="67"/>
  <c r="GG26" i="67"/>
  <c r="GF26" i="67"/>
  <c r="GE26" i="67"/>
  <c r="GD26" i="67"/>
  <c r="GC26" i="67"/>
  <c r="GB26" i="67"/>
  <c r="GA26" i="67"/>
  <c r="FZ26" i="67"/>
  <c r="FY26" i="67"/>
  <c r="FW26" i="67"/>
  <c r="FU26" i="67"/>
  <c r="FT26" i="67"/>
  <c r="FS26" i="67"/>
  <c r="FQ26" i="67"/>
  <c r="FM26" i="67"/>
  <c r="FK26" i="67"/>
  <c r="FJ26" i="67"/>
  <c r="FI26" i="67"/>
  <c r="FH26" i="67"/>
  <c r="FG26" i="67"/>
  <c r="FF26" i="67"/>
  <c r="FE26" i="67"/>
  <c r="FD26" i="67"/>
  <c r="FC26" i="67"/>
  <c r="FB26" i="67"/>
  <c r="FA26" i="67"/>
  <c r="EX26" i="67"/>
  <c r="EW26" i="67"/>
  <c r="EU26" i="67"/>
  <c r="ET26" i="67"/>
  <c r="ES26" i="67"/>
  <c r="EP26" i="67"/>
  <c r="EO26" i="67"/>
  <c r="EM26" i="67"/>
  <c r="EL26" i="67"/>
  <c r="EK26" i="67"/>
  <c r="EH26" i="67"/>
  <c r="EG26" i="67"/>
  <c r="EE26" i="67"/>
  <c r="ED26" i="67"/>
  <c r="EC26" i="67"/>
  <c r="EB26" i="67"/>
  <c r="EA26" i="67"/>
  <c r="DY26" i="67"/>
  <c r="DW26" i="67"/>
  <c r="DV26" i="67"/>
  <c r="DU26" i="67"/>
  <c r="DT26" i="67"/>
  <c r="DS26" i="67"/>
  <c r="DQ26" i="67"/>
  <c r="DO26" i="67"/>
  <c r="GP25" i="67"/>
  <c r="GN25" i="67"/>
  <c r="GM25" i="67"/>
  <c r="GL25" i="67"/>
  <c r="GK25" i="67"/>
  <c r="GJ25" i="67"/>
  <c r="GI25" i="67"/>
  <c r="GH25" i="67"/>
  <c r="GG25" i="67"/>
  <c r="GF25" i="67"/>
  <c r="GE25" i="67"/>
  <c r="GD25" i="67"/>
  <c r="GC25" i="67"/>
  <c r="GB25" i="67"/>
  <c r="GA25" i="67"/>
  <c r="FZ25" i="67"/>
  <c r="FY25" i="67"/>
  <c r="FW25" i="67"/>
  <c r="FU25" i="67"/>
  <c r="FT25" i="67"/>
  <c r="FS25" i="67"/>
  <c r="FQ25" i="67"/>
  <c r="FM25" i="67"/>
  <c r="FJ25" i="67"/>
  <c r="FI25" i="67"/>
  <c r="FH25" i="67"/>
  <c r="FG25" i="67"/>
  <c r="FF25" i="67"/>
  <c r="FE25" i="67"/>
  <c r="FD25" i="67"/>
  <c r="FC25" i="67"/>
  <c r="FB25" i="67"/>
  <c r="FA25" i="67"/>
  <c r="EX25" i="67"/>
  <c r="EW25" i="67"/>
  <c r="ET25" i="67"/>
  <c r="ES25" i="67"/>
  <c r="EP25" i="67"/>
  <c r="EO25" i="67"/>
  <c r="EL25" i="67"/>
  <c r="EK25" i="67"/>
  <c r="EH25" i="67"/>
  <c r="EG25" i="67"/>
  <c r="ED25" i="67"/>
  <c r="EC25" i="67"/>
  <c r="EB25" i="67"/>
  <c r="EA25" i="67"/>
  <c r="DY25" i="67"/>
  <c r="DW25" i="67"/>
  <c r="DV25" i="67"/>
  <c r="DU25" i="67"/>
  <c r="DT25" i="67"/>
  <c r="DS25" i="67"/>
  <c r="DQ25" i="67"/>
  <c r="DO25" i="67"/>
  <c r="GN24" i="67"/>
  <c r="GM24" i="67"/>
  <c r="GL24" i="67"/>
  <c r="GK24" i="67"/>
  <c r="GJ24" i="67"/>
  <c r="FQ24" i="67"/>
  <c r="ET24" i="67"/>
  <c r="ES24" i="67"/>
  <c r="EL24" i="67"/>
  <c r="EK24" i="67"/>
  <c r="EC24" i="67"/>
  <c r="EA24" i="67"/>
  <c r="DY24" i="67"/>
  <c r="DW24" i="67"/>
  <c r="DU24" i="67"/>
  <c r="DS24" i="67"/>
  <c r="DQ24" i="67"/>
  <c r="DO24" i="67"/>
  <c r="GN23" i="67"/>
  <c r="GM23" i="67"/>
  <c r="GL23" i="67"/>
  <c r="GK23" i="67"/>
  <c r="GJ23" i="67"/>
  <c r="FQ23" i="67"/>
  <c r="ET23" i="67"/>
  <c r="ES23" i="67"/>
  <c r="EL23" i="67"/>
  <c r="EK23" i="67"/>
  <c r="EC23" i="67"/>
  <c r="EA23" i="67"/>
  <c r="DY23" i="67"/>
  <c r="DW23" i="67"/>
  <c r="DU23" i="67"/>
  <c r="DS23" i="67"/>
  <c r="DQ23" i="67"/>
  <c r="DO23" i="67"/>
  <c r="GN22" i="67"/>
  <c r="GM22" i="67"/>
  <c r="GL22" i="67"/>
  <c r="GK22" i="67"/>
  <c r="GJ22" i="67"/>
  <c r="FQ22" i="67"/>
  <c r="ET22" i="67"/>
  <c r="ES22" i="67"/>
  <c r="EL22" i="67"/>
  <c r="EK22" i="67"/>
  <c r="EC22" i="67"/>
  <c r="EA22" i="67"/>
  <c r="DY22" i="67"/>
  <c r="DW22" i="67"/>
  <c r="DU22" i="67"/>
  <c r="DS22" i="67"/>
  <c r="DQ22" i="67"/>
  <c r="DO22" i="67"/>
  <c r="GP21" i="67"/>
  <c r="GN21" i="67"/>
  <c r="GM21" i="67"/>
  <c r="GL21" i="67"/>
  <c r="GK21" i="67"/>
  <c r="GJ21" i="67"/>
  <c r="GI21" i="67"/>
  <c r="GH21" i="67"/>
  <c r="GG21" i="67"/>
  <c r="GF21" i="67"/>
  <c r="GE21" i="67"/>
  <c r="GD21" i="67"/>
  <c r="GC21" i="67"/>
  <c r="GB21" i="67"/>
  <c r="GA21" i="67"/>
  <c r="FZ21" i="67"/>
  <c r="FY21" i="67"/>
  <c r="FW21" i="67"/>
  <c r="FU21" i="67"/>
  <c r="FT21" i="67"/>
  <c r="FS21" i="67"/>
  <c r="FQ21" i="67"/>
  <c r="FO21" i="67"/>
  <c r="FM21" i="67"/>
  <c r="FK21" i="67"/>
  <c r="FJ21" i="67"/>
  <c r="FI21" i="67"/>
  <c r="FH21" i="67"/>
  <c r="FG21" i="67"/>
  <c r="FF21" i="67"/>
  <c r="FE21" i="67"/>
  <c r="FD21" i="67"/>
  <c r="FC21" i="67"/>
  <c r="FB21" i="67"/>
  <c r="FA21" i="67"/>
  <c r="EZ21" i="67"/>
  <c r="EY21" i="67"/>
  <c r="EX21" i="67"/>
  <c r="EW21" i="67"/>
  <c r="EV21" i="67"/>
  <c r="EU21" i="67"/>
  <c r="ET21" i="67"/>
  <c r="ES21" i="67"/>
  <c r="ER21" i="67"/>
  <c r="EQ21" i="67"/>
  <c r="EP21" i="67"/>
  <c r="EO21" i="67"/>
  <c r="EN21" i="67"/>
  <c r="EM21" i="67"/>
  <c r="EL21" i="67"/>
  <c r="EK21" i="67"/>
  <c r="EJ21" i="67"/>
  <c r="EI21" i="67"/>
  <c r="EH21" i="67"/>
  <c r="EG21" i="67"/>
  <c r="EF21" i="67"/>
  <c r="EE21" i="67"/>
  <c r="ED21" i="67"/>
  <c r="EC21" i="67"/>
  <c r="EB21" i="67"/>
  <c r="EA21" i="67"/>
  <c r="DZ21" i="67"/>
  <c r="DY21" i="67"/>
  <c r="DX21" i="67"/>
  <c r="DW21" i="67"/>
  <c r="DV21" i="67"/>
  <c r="DU21" i="67"/>
  <c r="DT21" i="67"/>
  <c r="DS21" i="67"/>
  <c r="DR21" i="67"/>
  <c r="DQ21" i="67"/>
  <c r="DP21" i="67"/>
  <c r="DO21" i="67"/>
  <c r="GP20" i="67"/>
  <c r="GN20" i="67"/>
  <c r="GM20" i="67"/>
  <c r="GL20" i="67"/>
  <c r="GK20" i="67"/>
  <c r="GJ20" i="67"/>
  <c r="GI20" i="67"/>
  <c r="GH20" i="67"/>
  <c r="GG20" i="67"/>
  <c r="GF20" i="67"/>
  <c r="GE20" i="67"/>
  <c r="GD20" i="67"/>
  <c r="GC20" i="67"/>
  <c r="GB20" i="67"/>
  <c r="GA20" i="67"/>
  <c r="FZ20" i="67"/>
  <c r="FY20" i="67"/>
  <c r="FW20" i="67"/>
  <c r="FU20" i="67"/>
  <c r="FT20" i="67"/>
  <c r="FS20" i="67"/>
  <c r="FQ20" i="67"/>
  <c r="FO20" i="67"/>
  <c r="FM20" i="67"/>
  <c r="FK20" i="67"/>
  <c r="FJ20" i="67"/>
  <c r="FI20" i="67"/>
  <c r="FH20" i="67"/>
  <c r="FG20" i="67"/>
  <c r="FF20" i="67"/>
  <c r="FE20" i="67"/>
  <c r="FD20" i="67"/>
  <c r="FC20" i="67"/>
  <c r="FB20" i="67"/>
  <c r="FA20" i="67"/>
  <c r="EZ20" i="67"/>
  <c r="EY20" i="67"/>
  <c r="EX20" i="67"/>
  <c r="EW20" i="67"/>
  <c r="EV20" i="67"/>
  <c r="EU20" i="67"/>
  <c r="ET20" i="67"/>
  <c r="ES20" i="67"/>
  <c r="ER20" i="67"/>
  <c r="EQ20" i="67"/>
  <c r="EP20" i="67"/>
  <c r="EO20" i="67"/>
  <c r="EN20" i="67"/>
  <c r="EM20" i="67"/>
  <c r="EL20" i="67"/>
  <c r="EK20" i="67"/>
  <c r="EJ20" i="67"/>
  <c r="EI20" i="67"/>
  <c r="EH20" i="67"/>
  <c r="EG20" i="67"/>
  <c r="EF20" i="67"/>
  <c r="EE20" i="67"/>
  <c r="ED20" i="67"/>
  <c r="EC20" i="67"/>
  <c r="EB20" i="67"/>
  <c r="EA20" i="67"/>
  <c r="DZ20" i="67"/>
  <c r="DY20" i="67"/>
  <c r="DX20" i="67"/>
  <c r="DW20" i="67"/>
  <c r="DV20" i="67"/>
  <c r="DU20" i="67"/>
  <c r="DT20" i="67"/>
  <c r="DS20" i="67"/>
  <c r="DR20" i="67"/>
  <c r="DQ20" i="67"/>
  <c r="DP20" i="67"/>
  <c r="DO20" i="67"/>
  <c r="GP19" i="67"/>
  <c r="GN19" i="67"/>
  <c r="GM19" i="67"/>
  <c r="GL19" i="67"/>
  <c r="GK19" i="67"/>
  <c r="GJ19" i="67"/>
  <c r="GI19" i="67"/>
  <c r="GH19" i="67"/>
  <c r="GG19" i="67"/>
  <c r="GF19" i="67"/>
  <c r="GE19" i="67"/>
  <c r="GD19" i="67"/>
  <c r="GC19" i="67"/>
  <c r="GB19" i="67"/>
  <c r="GA19" i="67"/>
  <c r="FZ19" i="67"/>
  <c r="FY19" i="67"/>
  <c r="FW19" i="67"/>
  <c r="FU19" i="67"/>
  <c r="FT19" i="67"/>
  <c r="FS19" i="67"/>
  <c r="FQ19" i="67"/>
  <c r="FO19" i="67"/>
  <c r="FM19" i="67"/>
  <c r="FK19" i="67"/>
  <c r="FJ19" i="67"/>
  <c r="FI19" i="67"/>
  <c r="FH19" i="67"/>
  <c r="FG19" i="67"/>
  <c r="FF19" i="67"/>
  <c r="FE19" i="67"/>
  <c r="FD19" i="67"/>
  <c r="FC19" i="67"/>
  <c r="FB19" i="67"/>
  <c r="FA19" i="67"/>
  <c r="EZ19" i="67"/>
  <c r="EY19" i="67"/>
  <c r="EX19" i="67"/>
  <c r="EW19" i="67"/>
  <c r="EV19" i="67"/>
  <c r="EU19" i="67"/>
  <c r="ET19" i="67"/>
  <c r="ES19" i="67"/>
  <c r="ER19" i="67"/>
  <c r="EQ19" i="67"/>
  <c r="EP19" i="67"/>
  <c r="EO19" i="67"/>
  <c r="EN19" i="67"/>
  <c r="EM19" i="67"/>
  <c r="EL19" i="67"/>
  <c r="EK19" i="67"/>
  <c r="EJ19" i="67"/>
  <c r="EI19" i="67"/>
  <c r="EH19" i="67"/>
  <c r="EG19" i="67"/>
  <c r="EF19" i="67"/>
  <c r="EE19" i="67"/>
  <c r="ED19" i="67"/>
  <c r="EC19" i="67"/>
  <c r="EB19" i="67"/>
  <c r="EA19" i="67"/>
  <c r="DZ19" i="67"/>
  <c r="DY19" i="67"/>
  <c r="DX19" i="67"/>
  <c r="DW19" i="67"/>
  <c r="DV19" i="67"/>
  <c r="DU19" i="67"/>
  <c r="DT19" i="67"/>
  <c r="DS19" i="67"/>
  <c r="DR19" i="67"/>
  <c r="DQ19" i="67"/>
  <c r="DP19" i="67"/>
  <c r="DO19" i="67"/>
  <c r="GP18" i="67"/>
  <c r="GN18" i="67"/>
  <c r="GM18" i="67"/>
  <c r="GL18" i="67"/>
  <c r="GK18" i="67"/>
  <c r="GJ18" i="67"/>
  <c r="GI18" i="67"/>
  <c r="GH18" i="67"/>
  <c r="GG18" i="67"/>
  <c r="GF18" i="67"/>
  <c r="GE18" i="67"/>
  <c r="GD18" i="67"/>
  <c r="GC18" i="67"/>
  <c r="GB18" i="67"/>
  <c r="GA18" i="67"/>
  <c r="FZ18" i="67"/>
  <c r="FY18" i="67"/>
  <c r="FW18" i="67"/>
  <c r="FU18" i="67"/>
  <c r="FT18" i="67"/>
  <c r="FS18" i="67"/>
  <c r="FQ18" i="67"/>
  <c r="FO18" i="67"/>
  <c r="FM18" i="67"/>
  <c r="FJ18" i="67"/>
  <c r="FI18" i="67"/>
  <c r="FH18" i="67"/>
  <c r="FG18" i="67"/>
  <c r="FF18" i="67"/>
  <c r="FE18" i="67"/>
  <c r="FD18" i="67"/>
  <c r="FC18" i="67"/>
  <c r="FB18" i="67"/>
  <c r="FA18" i="67"/>
  <c r="EX18" i="67"/>
  <c r="EW18" i="67"/>
  <c r="ET18" i="67"/>
  <c r="ES18" i="67"/>
  <c r="EP18" i="67"/>
  <c r="EO18" i="67"/>
  <c r="EL18" i="67"/>
  <c r="EK18" i="67"/>
  <c r="EH18" i="67"/>
  <c r="EG18" i="67"/>
  <c r="ED18" i="67"/>
  <c r="EC18" i="67"/>
  <c r="EB18" i="67"/>
  <c r="EA18" i="67"/>
  <c r="DY18" i="67"/>
  <c r="DW18" i="67"/>
  <c r="DV18" i="67"/>
  <c r="DU18" i="67"/>
  <c r="DT18" i="67"/>
  <c r="DS18" i="67"/>
  <c r="DQ18" i="67"/>
  <c r="DO18" i="67"/>
  <c r="GN17" i="67"/>
  <c r="GM17" i="67"/>
  <c r="GL17" i="67"/>
  <c r="GK17" i="67"/>
  <c r="GJ17" i="67"/>
  <c r="FQ17" i="67"/>
  <c r="ET17" i="67"/>
  <c r="ES17" i="67"/>
  <c r="EL17" i="67"/>
  <c r="EK17" i="67"/>
  <c r="EC17" i="67"/>
  <c r="EA17" i="67"/>
  <c r="DY17" i="67"/>
  <c r="DW17" i="67"/>
  <c r="DU17" i="67"/>
  <c r="DS17" i="67"/>
  <c r="DQ17" i="67"/>
  <c r="DO17" i="67"/>
  <c r="GN16" i="67"/>
  <c r="GM16" i="67"/>
  <c r="GL16" i="67"/>
  <c r="GK16" i="67"/>
  <c r="GJ16" i="67"/>
  <c r="FQ16" i="67"/>
  <c r="ET16" i="67"/>
  <c r="ES16" i="67"/>
  <c r="EL16" i="67"/>
  <c r="EK16" i="67"/>
  <c r="EC16" i="67"/>
  <c r="EA16" i="67"/>
  <c r="DY16" i="67"/>
  <c r="DW16" i="67"/>
  <c r="DU16" i="67"/>
  <c r="DS16" i="67"/>
  <c r="DQ16" i="67"/>
  <c r="DO16" i="67"/>
  <c r="GN15" i="67"/>
  <c r="GM15" i="67"/>
  <c r="GL15" i="67"/>
  <c r="GK15" i="67"/>
  <c r="GJ15" i="67"/>
  <c r="FQ15" i="67"/>
  <c r="ET15" i="67"/>
  <c r="ES15" i="67"/>
  <c r="EL15" i="67"/>
  <c r="EK15" i="67"/>
  <c r="EC15" i="67"/>
  <c r="EA15" i="67"/>
  <c r="DY15" i="67"/>
  <c r="DW15" i="67"/>
  <c r="DU15" i="67"/>
  <c r="DS15" i="67"/>
  <c r="DQ15" i="67"/>
  <c r="DO15" i="67"/>
  <c r="GN14" i="67"/>
  <c r="GM14" i="67"/>
  <c r="GL14" i="67"/>
  <c r="GK14" i="67"/>
  <c r="FR14" i="67"/>
  <c r="FQ14" i="67"/>
  <c r="FP14" i="67"/>
  <c r="ET14" i="67"/>
  <c r="ES14" i="67"/>
  <c r="EC14" i="67"/>
  <c r="EA14" i="67"/>
  <c r="DY14" i="67"/>
  <c r="DW14" i="67"/>
  <c r="DU14" i="67"/>
  <c r="DS14" i="67"/>
  <c r="DQ14" i="67"/>
  <c r="DO14" i="67"/>
  <c r="FG12" i="67"/>
  <c r="ED12" i="67"/>
  <c r="EB12" i="67"/>
  <c r="DV12" i="67"/>
  <c r="DT12" i="67"/>
  <c r="GP44" i="66"/>
  <c r="GN44" i="66"/>
  <c r="GM44" i="66"/>
  <c r="GL44" i="66"/>
  <c r="GK44" i="66"/>
  <c r="GJ44" i="66"/>
  <c r="GI44" i="66"/>
  <c r="GH44" i="66"/>
  <c r="GG44" i="66"/>
  <c r="GF44" i="66"/>
  <c r="GE44" i="66"/>
  <c r="GD44" i="66"/>
  <c r="GC44" i="66"/>
  <c r="GB44" i="66"/>
  <c r="GA44" i="66"/>
  <c r="FZ44" i="66"/>
  <c r="FY44" i="66"/>
  <c r="FW44" i="66"/>
  <c r="FU44" i="66"/>
  <c r="FT44" i="66"/>
  <c r="FS44" i="66"/>
  <c r="FQ44" i="66"/>
  <c r="FM44" i="66"/>
  <c r="FJ44" i="66"/>
  <c r="FI44" i="66"/>
  <c r="FH44" i="66"/>
  <c r="FG44" i="66"/>
  <c r="FF44" i="66"/>
  <c r="FE44" i="66"/>
  <c r="FD44" i="66"/>
  <c r="FC44" i="66"/>
  <c r="FB44" i="66"/>
  <c r="FA44" i="66"/>
  <c r="EX44" i="66"/>
  <c r="EW44" i="66"/>
  <c r="ET44" i="66"/>
  <c r="ES44" i="66"/>
  <c r="EP44" i="66"/>
  <c r="EO44" i="66"/>
  <c r="EL44" i="66"/>
  <c r="EK44" i="66"/>
  <c r="EH44" i="66"/>
  <c r="EG44" i="66"/>
  <c r="ED44" i="66"/>
  <c r="EC44" i="66"/>
  <c r="EB44" i="66"/>
  <c r="EA44" i="66"/>
  <c r="DZ44" i="66"/>
  <c r="DY44" i="66"/>
  <c r="DW44" i="66"/>
  <c r="DV44" i="66"/>
  <c r="DU44" i="66"/>
  <c r="DT44" i="66"/>
  <c r="DS44" i="66"/>
  <c r="DR44" i="66"/>
  <c r="DQ44" i="66"/>
  <c r="DO44" i="66"/>
  <c r="GP43" i="66"/>
  <c r="GN43" i="66"/>
  <c r="GM43" i="66"/>
  <c r="GL43" i="66"/>
  <c r="GK43" i="66"/>
  <c r="GJ43" i="66"/>
  <c r="GI43" i="66"/>
  <c r="GH43" i="66"/>
  <c r="GG43" i="66"/>
  <c r="GF43" i="66"/>
  <c r="GE43" i="66"/>
  <c r="GD43" i="66"/>
  <c r="GC43" i="66"/>
  <c r="GB43" i="66"/>
  <c r="GA43" i="66"/>
  <c r="FZ43" i="66"/>
  <c r="FY43" i="66"/>
  <c r="FW43" i="66"/>
  <c r="FU43" i="66"/>
  <c r="FT43" i="66"/>
  <c r="FS43" i="66"/>
  <c r="FQ43" i="66"/>
  <c r="FO43" i="66"/>
  <c r="FM43" i="66"/>
  <c r="FK43" i="66"/>
  <c r="FJ43" i="66"/>
  <c r="FI43" i="66"/>
  <c r="FH43" i="66"/>
  <c r="FG43" i="66"/>
  <c r="FF43" i="66"/>
  <c r="FE43" i="66"/>
  <c r="FD43" i="66"/>
  <c r="FC43" i="66"/>
  <c r="FB43" i="66"/>
  <c r="FA43" i="66"/>
  <c r="EZ43" i="66"/>
  <c r="EY43" i="66"/>
  <c r="EX43" i="66"/>
  <c r="EW43" i="66"/>
  <c r="EV43" i="66"/>
  <c r="EU43" i="66"/>
  <c r="ET43" i="66"/>
  <c r="ES43" i="66"/>
  <c r="ER43" i="66"/>
  <c r="EQ43" i="66"/>
  <c r="EP43" i="66"/>
  <c r="EO43" i="66"/>
  <c r="EN43" i="66"/>
  <c r="EM43" i="66"/>
  <c r="EL43" i="66"/>
  <c r="EK43" i="66"/>
  <c r="EJ43" i="66"/>
  <c r="EI43" i="66"/>
  <c r="EH43" i="66"/>
  <c r="EG43" i="66"/>
  <c r="EF43" i="66"/>
  <c r="EE43" i="66"/>
  <c r="ED43" i="66"/>
  <c r="EC43" i="66"/>
  <c r="EB43" i="66"/>
  <c r="EA43" i="66"/>
  <c r="DZ43" i="66"/>
  <c r="DY43" i="66"/>
  <c r="DX43" i="66"/>
  <c r="DW43" i="66"/>
  <c r="DV43" i="66"/>
  <c r="DU43" i="66"/>
  <c r="DT43" i="66"/>
  <c r="DS43" i="66"/>
  <c r="DR43" i="66"/>
  <c r="DQ43" i="66"/>
  <c r="DP43" i="66"/>
  <c r="DO43" i="66"/>
  <c r="GP42" i="66"/>
  <c r="GN42" i="66"/>
  <c r="GM42" i="66"/>
  <c r="GL42" i="66"/>
  <c r="GK42" i="66"/>
  <c r="GJ42" i="66"/>
  <c r="GI42" i="66"/>
  <c r="GH42" i="66"/>
  <c r="GG42" i="66"/>
  <c r="GF42" i="66"/>
  <c r="GE42" i="66"/>
  <c r="GD42" i="66"/>
  <c r="GC42" i="66"/>
  <c r="GB42" i="66"/>
  <c r="GA42" i="66"/>
  <c r="FZ42" i="66"/>
  <c r="FY42" i="66"/>
  <c r="FW42" i="66"/>
  <c r="FU42" i="66"/>
  <c r="FT42" i="66"/>
  <c r="FS42" i="66"/>
  <c r="FQ42" i="66"/>
  <c r="FO42" i="66"/>
  <c r="FM42" i="66"/>
  <c r="FK42" i="66"/>
  <c r="FJ42" i="66"/>
  <c r="FI42" i="66"/>
  <c r="FH42" i="66"/>
  <c r="FG42" i="66"/>
  <c r="FF42" i="66"/>
  <c r="FE42" i="66"/>
  <c r="FD42" i="66"/>
  <c r="FC42" i="66"/>
  <c r="FB42" i="66"/>
  <c r="FA42" i="66"/>
  <c r="EZ42" i="66"/>
  <c r="EY42" i="66"/>
  <c r="EX42" i="66"/>
  <c r="EW42" i="66"/>
  <c r="EV42" i="66"/>
  <c r="EU42" i="66"/>
  <c r="ET42" i="66"/>
  <c r="ES42" i="66"/>
  <c r="ER42" i="66"/>
  <c r="EQ42" i="66"/>
  <c r="EP42" i="66"/>
  <c r="EO42" i="66"/>
  <c r="EN42" i="66"/>
  <c r="EM42" i="66"/>
  <c r="EL42" i="66"/>
  <c r="EK42" i="66"/>
  <c r="EJ42" i="66"/>
  <c r="EI42" i="66"/>
  <c r="EH42" i="66"/>
  <c r="EG42" i="66"/>
  <c r="EF42" i="66"/>
  <c r="EE42" i="66"/>
  <c r="ED42" i="66"/>
  <c r="EC42" i="66"/>
  <c r="EB42" i="66"/>
  <c r="EA42" i="66"/>
  <c r="DZ42" i="66"/>
  <c r="DY42" i="66"/>
  <c r="DX42" i="66"/>
  <c r="DW42" i="66"/>
  <c r="DV42" i="66"/>
  <c r="DU42" i="66"/>
  <c r="DT42" i="66"/>
  <c r="DS42" i="66"/>
  <c r="DR42" i="66"/>
  <c r="DQ42" i="66"/>
  <c r="DP42" i="66"/>
  <c r="DO42" i="66"/>
  <c r="GN41" i="66"/>
  <c r="GM41" i="66"/>
  <c r="GL41" i="66"/>
  <c r="GK41" i="66"/>
  <c r="GJ41" i="66"/>
  <c r="FQ41" i="66"/>
  <c r="ET41" i="66"/>
  <c r="ES41" i="66"/>
  <c r="EL41" i="66"/>
  <c r="EK41" i="66"/>
  <c r="EC41" i="66"/>
  <c r="EA41" i="66"/>
  <c r="DY41" i="66"/>
  <c r="DW41" i="66"/>
  <c r="DU41" i="66"/>
  <c r="DS41" i="66"/>
  <c r="DQ41" i="66"/>
  <c r="DO41" i="66"/>
  <c r="GN40" i="66"/>
  <c r="GM40" i="66"/>
  <c r="GL40" i="66"/>
  <c r="GK40" i="66"/>
  <c r="GJ40" i="66"/>
  <c r="FQ40" i="66"/>
  <c r="ET40" i="66"/>
  <c r="ES40" i="66"/>
  <c r="EL40" i="66"/>
  <c r="EK40" i="66"/>
  <c r="EC40" i="66"/>
  <c r="EA40" i="66"/>
  <c r="DY40" i="66"/>
  <c r="DW40" i="66"/>
  <c r="DU40" i="66"/>
  <c r="DS40" i="66"/>
  <c r="DQ40" i="66"/>
  <c r="DO40" i="66"/>
  <c r="GN39" i="66"/>
  <c r="GM39" i="66"/>
  <c r="GL39" i="66"/>
  <c r="GK39" i="66"/>
  <c r="GJ39" i="66"/>
  <c r="FQ39" i="66"/>
  <c r="ET39" i="66"/>
  <c r="ES39" i="66"/>
  <c r="EL39" i="66"/>
  <c r="EK39" i="66"/>
  <c r="EC39" i="66"/>
  <c r="EA39" i="66"/>
  <c r="DY39" i="66"/>
  <c r="DW39" i="66"/>
  <c r="DU39" i="66"/>
  <c r="DS39" i="66"/>
  <c r="DQ39" i="66"/>
  <c r="DO39" i="66"/>
  <c r="GN38" i="66"/>
  <c r="GM38" i="66"/>
  <c r="GL38" i="66"/>
  <c r="GK38" i="66"/>
  <c r="GJ38" i="66"/>
  <c r="FQ38" i="66"/>
  <c r="ET38" i="66"/>
  <c r="ES38" i="66"/>
  <c r="EL38" i="66"/>
  <c r="EK38" i="66"/>
  <c r="EC38" i="66"/>
  <c r="EA38" i="66"/>
  <c r="DY38" i="66"/>
  <c r="DW38" i="66"/>
  <c r="DU38" i="66"/>
  <c r="DS38" i="66"/>
  <c r="DQ38" i="66"/>
  <c r="DO38" i="66"/>
  <c r="GP37" i="66"/>
  <c r="GN37" i="66"/>
  <c r="GM37" i="66"/>
  <c r="GL37" i="66"/>
  <c r="GK37" i="66"/>
  <c r="GJ37" i="66"/>
  <c r="GI37" i="66"/>
  <c r="GH37" i="66"/>
  <c r="GG37" i="66"/>
  <c r="GF37" i="66"/>
  <c r="GE37" i="66"/>
  <c r="GD37" i="66"/>
  <c r="GC37" i="66"/>
  <c r="GB37" i="66"/>
  <c r="GA37" i="66"/>
  <c r="FZ37" i="66"/>
  <c r="FY37" i="66"/>
  <c r="FW37" i="66"/>
  <c r="FU37" i="66"/>
  <c r="FT37" i="66"/>
  <c r="FS37" i="66"/>
  <c r="FQ37" i="66"/>
  <c r="FM37" i="66"/>
  <c r="FJ37" i="66"/>
  <c r="FI37" i="66"/>
  <c r="FH37" i="66"/>
  <c r="FG37" i="66"/>
  <c r="FF37" i="66"/>
  <c r="FE37" i="66"/>
  <c r="FD37" i="66"/>
  <c r="FC37" i="66"/>
  <c r="FB37" i="66"/>
  <c r="FA37" i="66"/>
  <c r="EX37" i="66"/>
  <c r="EW37" i="66"/>
  <c r="EV37" i="66"/>
  <c r="ET37" i="66"/>
  <c r="ES37" i="66"/>
  <c r="EP37" i="66"/>
  <c r="EO37" i="66"/>
  <c r="EN37" i="66"/>
  <c r="EL37" i="66"/>
  <c r="EK37" i="66"/>
  <c r="EH37" i="66"/>
  <c r="EG37" i="66"/>
  <c r="EF37" i="66"/>
  <c r="ED37" i="66"/>
  <c r="EC37" i="66"/>
  <c r="EB37" i="66"/>
  <c r="EA37" i="66"/>
  <c r="DY37" i="66"/>
  <c r="DX37" i="66"/>
  <c r="DW37" i="66"/>
  <c r="DV37" i="66"/>
  <c r="DU37" i="66"/>
  <c r="DT37" i="66"/>
  <c r="DS37" i="66"/>
  <c r="DQ37" i="66"/>
  <c r="DP37" i="66"/>
  <c r="DO37" i="66"/>
  <c r="GP36" i="66"/>
  <c r="GN36" i="66"/>
  <c r="GM36" i="66"/>
  <c r="GL36" i="66"/>
  <c r="GK36" i="66"/>
  <c r="GJ36" i="66"/>
  <c r="GI36" i="66"/>
  <c r="GH36" i="66"/>
  <c r="GG36" i="66"/>
  <c r="GF36" i="66"/>
  <c r="GE36" i="66"/>
  <c r="GD36" i="66"/>
  <c r="GC36" i="66"/>
  <c r="GB36" i="66"/>
  <c r="GA36" i="66"/>
  <c r="FZ36" i="66"/>
  <c r="FY36" i="66"/>
  <c r="FW36" i="66"/>
  <c r="FU36" i="66"/>
  <c r="FT36" i="66"/>
  <c r="FS36" i="66"/>
  <c r="FQ36" i="66"/>
  <c r="FO36" i="66"/>
  <c r="FM36" i="66"/>
  <c r="FJ36" i="66"/>
  <c r="FI36" i="66"/>
  <c r="FH36" i="66"/>
  <c r="FG36" i="66"/>
  <c r="FF36" i="66"/>
  <c r="FE36" i="66"/>
  <c r="FD36" i="66"/>
  <c r="FC36" i="66"/>
  <c r="FB36" i="66"/>
  <c r="FA36" i="66"/>
  <c r="EX36" i="66"/>
  <c r="EW36" i="66"/>
  <c r="ET36" i="66"/>
  <c r="ES36" i="66"/>
  <c r="EP36" i="66"/>
  <c r="EO36" i="66"/>
  <c r="EL36" i="66"/>
  <c r="EK36" i="66"/>
  <c r="EH36" i="66"/>
  <c r="EG36" i="66"/>
  <c r="ED36" i="66"/>
  <c r="EC36" i="66"/>
  <c r="EB36" i="66"/>
  <c r="EA36" i="66"/>
  <c r="DY36" i="66"/>
  <c r="DW36" i="66"/>
  <c r="DV36" i="66"/>
  <c r="DU36" i="66"/>
  <c r="DT36" i="66"/>
  <c r="DS36" i="66"/>
  <c r="DQ36" i="66"/>
  <c r="DO36" i="66"/>
  <c r="GP35" i="66"/>
  <c r="GN35" i="66"/>
  <c r="GM35" i="66"/>
  <c r="GL35" i="66"/>
  <c r="GK35" i="66"/>
  <c r="GJ35" i="66"/>
  <c r="GI35" i="66"/>
  <c r="GH35" i="66"/>
  <c r="GG35" i="66"/>
  <c r="GF35" i="66"/>
  <c r="GE35" i="66"/>
  <c r="GD35" i="66"/>
  <c r="GC35" i="66"/>
  <c r="GB35" i="66"/>
  <c r="GA35" i="66"/>
  <c r="FZ35" i="66"/>
  <c r="FY35" i="66"/>
  <c r="FW35" i="66"/>
  <c r="FU35" i="66"/>
  <c r="FT35" i="66"/>
  <c r="FS35" i="66"/>
  <c r="FQ35" i="66"/>
  <c r="FO35" i="66"/>
  <c r="FM35" i="66"/>
  <c r="FK35" i="66"/>
  <c r="FJ35" i="66"/>
  <c r="FI35" i="66"/>
  <c r="FH35" i="66"/>
  <c r="FG35" i="66"/>
  <c r="FF35" i="66"/>
  <c r="FE35" i="66"/>
  <c r="FD35" i="66"/>
  <c r="FC35" i="66"/>
  <c r="FB35" i="66"/>
  <c r="FA35" i="66"/>
  <c r="EZ35" i="66"/>
  <c r="EY35" i="66"/>
  <c r="EX35" i="66"/>
  <c r="EW35" i="66"/>
  <c r="EV35" i="66"/>
  <c r="EU35" i="66"/>
  <c r="ET35" i="66"/>
  <c r="ES35" i="66"/>
  <c r="ER35" i="66"/>
  <c r="EQ35" i="66"/>
  <c r="EP35" i="66"/>
  <c r="EO35" i="66"/>
  <c r="EN35" i="66"/>
  <c r="EM35" i="66"/>
  <c r="EL35" i="66"/>
  <c r="EK35" i="66"/>
  <c r="EJ35" i="66"/>
  <c r="EI35" i="66"/>
  <c r="EH35" i="66"/>
  <c r="EG35" i="66"/>
  <c r="EF35" i="66"/>
  <c r="EE35" i="66"/>
  <c r="ED35" i="66"/>
  <c r="EC35" i="66"/>
  <c r="EB35" i="66"/>
  <c r="EA35" i="66"/>
  <c r="DZ35" i="66"/>
  <c r="DY35" i="66"/>
  <c r="DX35" i="66"/>
  <c r="DW35" i="66"/>
  <c r="DV35" i="66"/>
  <c r="DU35" i="66"/>
  <c r="DT35" i="66"/>
  <c r="DS35" i="66"/>
  <c r="DR35" i="66"/>
  <c r="DQ35" i="66"/>
  <c r="DP35" i="66"/>
  <c r="DO35" i="66"/>
  <c r="GN34" i="66"/>
  <c r="GM34" i="66"/>
  <c r="GL34" i="66"/>
  <c r="GK34" i="66"/>
  <c r="GJ34" i="66"/>
  <c r="FQ34" i="66"/>
  <c r="ET34" i="66"/>
  <c r="ES34" i="66"/>
  <c r="EL34" i="66"/>
  <c r="EK34" i="66"/>
  <c r="EC34" i="66"/>
  <c r="EA34" i="66"/>
  <c r="DY34" i="66"/>
  <c r="DW34" i="66"/>
  <c r="DU34" i="66"/>
  <c r="DS34" i="66"/>
  <c r="DQ34" i="66"/>
  <c r="DO34" i="66"/>
  <c r="GN33" i="66"/>
  <c r="GM33" i="66"/>
  <c r="GL33" i="66"/>
  <c r="GK33" i="66"/>
  <c r="GJ33" i="66"/>
  <c r="FQ33" i="66"/>
  <c r="ET33" i="66"/>
  <c r="ES33" i="66"/>
  <c r="EL33" i="66"/>
  <c r="EK33" i="66"/>
  <c r="EC33" i="66"/>
  <c r="EA33" i="66"/>
  <c r="DY33" i="66"/>
  <c r="DW33" i="66"/>
  <c r="DU33" i="66"/>
  <c r="DS33" i="66"/>
  <c r="DQ33" i="66"/>
  <c r="DO33" i="66"/>
  <c r="GP32" i="66"/>
  <c r="GN32" i="66"/>
  <c r="GM32" i="66"/>
  <c r="GL32" i="66"/>
  <c r="GK32" i="66"/>
  <c r="GJ32" i="66"/>
  <c r="GI32" i="66"/>
  <c r="GH32" i="66"/>
  <c r="GG32" i="66"/>
  <c r="GF32" i="66"/>
  <c r="GE32" i="66"/>
  <c r="GD32" i="66"/>
  <c r="GC32" i="66"/>
  <c r="GB32" i="66"/>
  <c r="GA32" i="66"/>
  <c r="FZ32" i="66"/>
  <c r="FY32" i="66"/>
  <c r="FW32" i="66"/>
  <c r="FU32" i="66"/>
  <c r="FT32" i="66"/>
  <c r="FS32" i="66"/>
  <c r="FQ32" i="66"/>
  <c r="FO32" i="66"/>
  <c r="FM32" i="66"/>
  <c r="FK32" i="66"/>
  <c r="FJ32" i="66"/>
  <c r="FI32" i="66"/>
  <c r="FH32" i="66"/>
  <c r="FG32" i="66"/>
  <c r="FF32" i="66"/>
  <c r="FE32" i="66"/>
  <c r="FD32" i="66"/>
  <c r="FC32" i="66"/>
  <c r="FB32" i="66"/>
  <c r="FA32" i="66"/>
  <c r="EZ32" i="66"/>
  <c r="EY32" i="66"/>
  <c r="EX32" i="66"/>
  <c r="EW32" i="66"/>
  <c r="EV32" i="66"/>
  <c r="EU32" i="66"/>
  <c r="ET32" i="66"/>
  <c r="ES32" i="66"/>
  <c r="ER32" i="66"/>
  <c r="EQ32" i="66"/>
  <c r="EP32" i="66"/>
  <c r="EO32" i="66"/>
  <c r="EN32" i="66"/>
  <c r="EM32" i="66"/>
  <c r="EL32" i="66"/>
  <c r="EK32" i="66"/>
  <c r="EJ32" i="66"/>
  <c r="EI32" i="66"/>
  <c r="EH32" i="66"/>
  <c r="EG32" i="66"/>
  <c r="EF32" i="66"/>
  <c r="EE32" i="66"/>
  <c r="ED32" i="66"/>
  <c r="EC32" i="66"/>
  <c r="EB32" i="66"/>
  <c r="EA32" i="66"/>
  <c r="DZ32" i="66"/>
  <c r="DY32" i="66"/>
  <c r="DX32" i="66"/>
  <c r="DW32" i="66"/>
  <c r="DV32" i="66"/>
  <c r="DU32" i="66"/>
  <c r="DT32" i="66"/>
  <c r="DS32" i="66"/>
  <c r="DR32" i="66"/>
  <c r="DQ32" i="66"/>
  <c r="DP32" i="66"/>
  <c r="DO32" i="66"/>
  <c r="GP31" i="66"/>
  <c r="GN31" i="66"/>
  <c r="GM31" i="66"/>
  <c r="GL31" i="66"/>
  <c r="GK31" i="66"/>
  <c r="GJ31" i="66"/>
  <c r="GI31" i="66"/>
  <c r="GH31" i="66"/>
  <c r="GG31" i="66"/>
  <c r="GF31" i="66"/>
  <c r="GE31" i="66"/>
  <c r="GD31" i="66"/>
  <c r="GC31" i="66"/>
  <c r="GB31" i="66"/>
  <c r="GA31" i="66"/>
  <c r="FZ31" i="66"/>
  <c r="FY31" i="66"/>
  <c r="FW31" i="66"/>
  <c r="FU31" i="66"/>
  <c r="FT31" i="66"/>
  <c r="FS31" i="66"/>
  <c r="FQ31" i="66"/>
  <c r="FO31" i="66"/>
  <c r="FM31" i="66"/>
  <c r="FK31" i="66"/>
  <c r="FJ31" i="66"/>
  <c r="FI31" i="66"/>
  <c r="FH31" i="66"/>
  <c r="FG31" i="66"/>
  <c r="FF31" i="66"/>
  <c r="FE31" i="66"/>
  <c r="FD31" i="66"/>
  <c r="FC31" i="66"/>
  <c r="FB31" i="66"/>
  <c r="FA31" i="66"/>
  <c r="EZ31" i="66"/>
  <c r="EY31" i="66"/>
  <c r="EX31" i="66"/>
  <c r="EW31" i="66"/>
  <c r="EV31" i="66"/>
  <c r="EU31" i="66"/>
  <c r="ET31" i="66"/>
  <c r="ES31" i="66"/>
  <c r="ER31" i="66"/>
  <c r="EQ31" i="66"/>
  <c r="EP31" i="66"/>
  <c r="EO31" i="66"/>
  <c r="EN31" i="66"/>
  <c r="EM31" i="66"/>
  <c r="EL31" i="66"/>
  <c r="EK31" i="66"/>
  <c r="EJ31" i="66"/>
  <c r="EI31" i="66"/>
  <c r="EH31" i="66"/>
  <c r="EG31" i="66"/>
  <c r="EF31" i="66"/>
  <c r="EE31" i="66"/>
  <c r="ED31" i="66"/>
  <c r="EC31" i="66"/>
  <c r="EB31" i="66"/>
  <c r="EA31" i="66"/>
  <c r="DZ31" i="66"/>
  <c r="DY31" i="66"/>
  <c r="DX31" i="66"/>
  <c r="DW31" i="66"/>
  <c r="DV31" i="66"/>
  <c r="DU31" i="66"/>
  <c r="DT31" i="66"/>
  <c r="DS31" i="66"/>
  <c r="DR31" i="66"/>
  <c r="DQ31" i="66"/>
  <c r="DP31" i="66"/>
  <c r="DO31" i="66"/>
  <c r="GP30" i="66"/>
  <c r="GN30" i="66"/>
  <c r="GM30" i="66"/>
  <c r="GL30" i="66"/>
  <c r="GK30" i="66"/>
  <c r="GJ30" i="66"/>
  <c r="GI30" i="66"/>
  <c r="GH30" i="66"/>
  <c r="GG30" i="66"/>
  <c r="GF30" i="66"/>
  <c r="GE30" i="66"/>
  <c r="GD30" i="66"/>
  <c r="GC30" i="66"/>
  <c r="GB30" i="66"/>
  <c r="GA30" i="66"/>
  <c r="FZ30" i="66"/>
  <c r="FY30" i="66"/>
  <c r="FW30" i="66"/>
  <c r="FU30" i="66"/>
  <c r="FT30" i="66"/>
  <c r="FS30" i="66"/>
  <c r="FQ30" i="66"/>
  <c r="FO30" i="66"/>
  <c r="FM30" i="66"/>
  <c r="FK30" i="66"/>
  <c r="FJ30" i="66"/>
  <c r="FI30" i="66"/>
  <c r="FH30" i="66"/>
  <c r="FG30" i="66"/>
  <c r="FF30" i="66"/>
  <c r="FE30" i="66"/>
  <c r="FD30" i="66"/>
  <c r="FC30" i="66"/>
  <c r="FB30" i="66"/>
  <c r="FA30" i="66"/>
  <c r="EZ30" i="66"/>
  <c r="EY30" i="66"/>
  <c r="EX30" i="66"/>
  <c r="EW30" i="66"/>
  <c r="EV30" i="66"/>
  <c r="EU30" i="66"/>
  <c r="ET30" i="66"/>
  <c r="ES30" i="66"/>
  <c r="ER30" i="66"/>
  <c r="EQ30" i="66"/>
  <c r="EP30" i="66"/>
  <c r="EO30" i="66"/>
  <c r="EN30" i="66"/>
  <c r="EM30" i="66"/>
  <c r="EL30" i="66"/>
  <c r="EK30" i="66"/>
  <c r="EJ30" i="66"/>
  <c r="EI30" i="66"/>
  <c r="EH30" i="66"/>
  <c r="EG30" i="66"/>
  <c r="EF30" i="66"/>
  <c r="EE30" i="66"/>
  <c r="ED30" i="66"/>
  <c r="EC30" i="66"/>
  <c r="EB30" i="66"/>
  <c r="EA30" i="66"/>
  <c r="DZ30" i="66"/>
  <c r="DY30" i="66"/>
  <c r="DX30" i="66"/>
  <c r="DW30" i="66"/>
  <c r="DV30" i="66"/>
  <c r="DU30" i="66"/>
  <c r="DT30" i="66"/>
  <c r="DS30" i="66"/>
  <c r="DR30" i="66"/>
  <c r="DQ30" i="66"/>
  <c r="DP30" i="66"/>
  <c r="DO30" i="66"/>
  <c r="GP29" i="66"/>
  <c r="GN29" i="66"/>
  <c r="GM29" i="66"/>
  <c r="GL29" i="66"/>
  <c r="GK29" i="66"/>
  <c r="GJ29" i="66"/>
  <c r="GI29" i="66"/>
  <c r="GH29" i="66"/>
  <c r="GG29" i="66"/>
  <c r="GF29" i="66"/>
  <c r="GE29" i="66"/>
  <c r="GD29" i="66"/>
  <c r="GC29" i="66"/>
  <c r="GB29" i="66"/>
  <c r="GA29" i="66"/>
  <c r="FZ29" i="66"/>
  <c r="FY29" i="66"/>
  <c r="FW29" i="66"/>
  <c r="FU29" i="66"/>
  <c r="FT29" i="66"/>
  <c r="FS29" i="66"/>
  <c r="FQ29" i="66"/>
  <c r="FM29" i="66"/>
  <c r="FK29" i="66"/>
  <c r="FJ29" i="66"/>
  <c r="FI29" i="66"/>
  <c r="FH29" i="66"/>
  <c r="FG29" i="66"/>
  <c r="FF29" i="66"/>
  <c r="FE29" i="66"/>
  <c r="FD29" i="66"/>
  <c r="FC29" i="66"/>
  <c r="FB29" i="66"/>
  <c r="FA29" i="66"/>
  <c r="EX29" i="66"/>
  <c r="EW29" i="66"/>
  <c r="EU29" i="66"/>
  <c r="ET29" i="66"/>
  <c r="ES29" i="66"/>
  <c r="EP29" i="66"/>
  <c r="EO29" i="66"/>
  <c r="EM29" i="66"/>
  <c r="EL29" i="66"/>
  <c r="EK29" i="66"/>
  <c r="EH29" i="66"/>
  <c r="EG29" i="66"/>
  <c r="EE29" i="66"/>
  <c r="ED29" i="66"/>
  <c r="EC29" i="66"/>
  <c r="EB29" i="66"/>
  <c r="EA29" i="66"/>
  <c r="DY29" i="66"/>
  <c r="DW29" i="66"/>
  <c r="DV29" i="66"/>
  <c r="DU29" i="66"/>
  <c r="DT29" i="66"/>
  <c r="DS29" i="66"/>
  <c r="DQ29" i="66"/>
  <c r="DO29" i="66"/>
  <c r="GP28" i="66"/>
  <c r="GN28" i="66"/>
  <c r="GM28" i="66"/>
  <c r="GL28" i="66"/>
  <c r="GK28" i="66"/>
  <c r="GJ28" i="66"/>
  <c r="GI28" i="66"/>
  <c r="GH28" i="66"/>
  <c r="GG28" i="66"/>
  <c r="GF28" i="66"/>
  <c r="GE28" i="66"/>
  <c r="GD28" i="66"/>
  <c r="GC28" i="66"/>
  <c r="GB28" i="66"/>
  <c r="GA28" i="66"/>
  <c r="FZ28" i="66"/>
  <c r="FY28" i="66"/>
  <c r="FW28" i="66"/>
  <c r="FU28" i="66"/>
  <c r="FT28" i="66"/>
  <c r="FS28" i="66"/>
  <c r="FQ28" i="66"/>
  <c r="FM28" i="66"/>
  <c r="FJ28" i="66"/>
  <c r="FI28" i="66"/>
  <c r="FH28" i="66"/>
  <c r="FG28" i="66"/>
  <c r="FF28" i="66"/>
  <c r="FE28" i="66"/>
  <c r="FD28" i="66"/>
  <c r="FC28" i="66"/>
  <c r="FB28" i="66"/>
  <c r="FA28" i="66"/>
  <c r="EX28" i="66"/>
  <c r="EW28" i="66"/>
  <c r="ET28" i="66"/>
  <c r="ES28" i="66"/>
  <c r="EP28" i="66"/>
  <c r="EO28" i="66"/>
  <c r="EL28" i="66"/>
  <c r="EK28" i="66"/>
  <c r="EH28" i="66"/>
  <c r="EG28" i="66"/>
  <c r="ED28" i="66"/>
  <c r="EC28" i="66"/>
  <c r="EB28" i="66"/>
  <c r="EA28" i="66"/>
  <c r="DY28" i="66"/>
  <c r="DW28" i="66"/>
  <c r="DV28" i="66"/>
  <c r="DU28" i="66"/>
  <c r="DT28" i="66"/>
  <c r="DS28" i="66"/>
  <c r="DQ28" i="66"/>
  <c r="DO28" i="66"/>
  <c r="GN27" i="66"/>
  <c r="GM27" i="66"/>
  <c r="GL27" i="66"/>
  <c r="GK27" i="66"/>
  <c r="GJ27" i="66"/>
  <c r="FQ27" i="66"/>
  <c r="ET27" i="66"/>
  <c r="ES27" i="66"/>
  <c r="EL27" i="66"/>
  <c r="EK27" i="66"/>
  <c r="EC27" i="66"/>
  <c r="EA27" i="66"/>
  <c r="DY27" i="66"/>
  <c r="DW27" i="66"/>
  <c r="DU27" i="66"/>
  <c r="DS27" i="66"/>
  <c r="DQ27" i="66"/>
  <c r="DO27" i="66"/>
  <c r="GN26" i="66"/>
  <c r="GM26" i="66"/>
  <c r="GL26" i="66"/>
  <c r="GK26" i="66"/>
  <c r="GJ26" i="66"/>
  <c r="FQ26" i="66"/>
  <c r="ET26" i="66"/>
  <c r="ES26" i="66"/>
  <c r="EL26" i="66"/>
  <c r="EK26" i="66"/>
  <c r="EC26" i="66"/>
  <c r="EA26" i="66"/>
  <c r="DY26" i="66"/>
  <c r="DW26" i="66"/>
  <c r="DU26" i="66"/>
  <c r="DS26" i="66"/>
  <c r="DQ26" i="66"/>
  <c r="DO26" i="66"/>
  <c r="GP25" i="66"/>
  <c r="GN25" i="66"/>
  <c r="GM25" i="66"/>
  <c r="GL25" i="66"/>
  <c r="GK25" i="66"/>
  <c r="GJ25" i="66"/>
  <c r="GI25" i="66"/>
  <c r="GH25" i="66"/>
  <c r="GG25" i="66"/>
  <c r="GF25" i="66"/>
  <c r="GE25" i="66"/>
  <c r="GD25" i="66"/>
  <c r="GC25" i="66"/>
  <c r="GB25" i="66"/>
  <c r="GA25" i="66"/>
  <c r="FZ25" i="66"/>
  <c r="FY25" i="66"/>
  <c r="FW25" i="66"/>
  <c r="FU25" i="66"/>
  <c r="FT25" i="66"/>
  <c r="FS25" i="66"/>
  <c r="FQ25" i="66"/>
  <c r="FO25" i="66"/>
  <c r="FM25" i="66"/>
  <c r="FK25" i="66"/>
  <c r="FJ25" i="66"/>
  <c r="FI25" i="66"/>
  <c r="FH25" i="66"/>
  <c r="FG25" i="66"/>
  <c r="FF25" i="66"/>
  <c r="FE25" i="66"/>
  <c r="FD25" i="66"/>
  <c r="FC25" i="66"/>
  <c r="FB25" i="66"/>
  <c r="FA25" i="66"/>
  <c r="EZ25" i="66"/>
  <c r="EY25" i="66"/>
  <c r="EX25" i="66"/>
  <c r="EW25" i="66"/>
  <c r="EV25" i="66"/>
  <c r="EU25" i="66"/>
  <c r="ET25" i="66"/>
  <c r="ES25" i="66"/>
  <c r="ER25" i="66"/>
  <c r="EQ25" i="66"/>
  <c r="EP25" i="66"/>
  <c r="EO25" i="66"/>
  <c r="EN25" i="66"/>
  <c r="EM25" i="66"/>
  <c r="EL25" i="66"/>
  <c r="EK25" i="66"/>
  <c r="EJ25" i="66"/>
  <c r="EI25" i="66"/>
  <c r="EH25" i="66"/>
  <c r="EG25" i="66"/>
  <c r="EF25" i="66"/>
  <c r="EE25" i="66"/>
  <c r="ED25" i="66"/>
  <c r="EC25" i="66"/>
  <c r="EB25" i="66"/>
  <c r="EA25" i="66"/>
  <c r="DZ25" i="66"/>
  <c r="DY25" i="66"/>
  <c r="DX25" i="66"/>
  <c r="DW25" i="66"/>
  <c r="DV25" i="66"/>
  <c r="DU25" i="66"/>
  <c r="DT25" i="66"/>
  <c r="DS25" i="66"/>
  <c r="DR25" i="66"/>
  <c r="DQ25" i="66"/>
  <c r="DP25" i="66"/>
  <c r="DO25" i="66"/>
  <c r="GP24" i="66"/>
  <c r="GN24" i="66"/>
  <c r="GM24" i="66"/>
  <c r="GL24" i="66"/>
  <c r="GK24" i="66"/>
  <c r="GJ24" i="66"/>
  <c r="GI24" i="66"/>
  <c r="GH24" i="66"/>
  <c r="GG24" i="66"/>
  <c r="GF24" i="66"/>
  <c r="GE24" i="66"/>
  <c r="GD24" i="66"/>
  <c r="GC24" i="66"/>
  <c r="GB24" i="66"/>
  <c r="GA24" i="66"/>
  <c r="FZ24" i="66"/>
  <c r="FY24" i="66"/>
  <c r="FW24" i="66"/>
  <c r="FU24" i="66"/>
  <c r="FT24" i="66"/>
  <c r="FS24" i="66"/>
  <c r="FQ24" i="66"/>
  <c r="FO24" i="66"/>
  <c r="FM24" i="66"/>
  <c r="FK24" i="66"/>
  <c r="FJ24" i="66"/>
  <c r="FI24" i="66"/>
  <c r="FH24" i="66"/>
  <c r="FG24" i="66"/>
  <c r="FF24" i="66"/>
  <c r="FE24" i="66"/>
  <c r="FD24" i="66"/>
  <c r="FC24" i="66"/>
  <c r="FB24" i="66"/>
  <c r="FA24" i="66"/>
  <c r="EZ24" i="66"/>
  <c r="EY24" i="66"/>
  <c r="EX24" i="66"/>
  <c r="EW24" i="66"/>
  <c r="EV24" i="66"/>
  <c r="EU24" i="66"/>
  <c r="ET24" i="66"/>
  <c r="ES24" i="66"/>
  <c r="ER24" i="66"/>
  <c r="EQ24" i="66"/>
  <c r="EP24" i="66"/>
  <c r="EO24" i="66"/>
  <c r="EN24" i="66"/>
  <c r="EM24" i="66"/>
  <c r="EL24" i="66"/>
  <c r="EK24" i="66"/>
  <c r="EJ24" i="66"/>
  <c r="EI24" i="66"/>
  <c r="EH24" i="66"/>
  <c r="EG24" i="66"/>
  <c r="EF24" i="66"/>
  <c r="EE24" i="66"/>
  <c r="ED24" i="66"/>
  <c r="EC24" i="66"/>
  <c r="EB24" i="66"/>
  <c r="EA24" i="66"/>
  <c r="DZ24" i="66"/>
  <c r="DY24" i="66"/>
  <c r="DX24" i="66"/>
  <c r="DW24" i="66"/>
  <c r="DV24" i="66"/>
  <c r="DU24" i="66"/>
  <c r="DT24" i="66"/>
  <c r="DS24" i="66"/>
  <c r="DR24" i="66"/>
  <c r="DQ24" i="66"/>
  <c r="DP24" i="66"/>
  <c r="DO24" i="66"/>
  <c r="GP23" i="66"/>
  <c r="GN23" i="66"/>
  <c r="GM23" i="66"/>
  <c r="GL23" i="66"/>
  <c r="GK23" i="66"/>
  <c r="GJ23" i="66"/>
  <c r="GI23" i="66"/>
  <c r="GH23" i="66"/>
  <c r="GG23" i="66"/>
  <c r="GF23" i="66"/>
  <c r="GE23" i="66"/>
  <c r="GD23" i="66"/>
  <c r="GC23" i="66"/>
  <c r="GB23" i="66"/>
  <c r="GA23" i="66"/>
  <c r="FZ23" i="66"/>
  <c r="FY23" i="66"/>
  <c r="FW23" i="66"/>
  <c r="FU23" i="66"/>
  <c r="FT23" i="66"/>
  <c r="FS23" i="66"/>
  <c r="FQ23" i="66"/>
  <c r="FO23" i="66"/>
  <c r="FM23" i="66"/>
  <c r="FK23" i="66"/>
  <c r="FJ23" i="66"/>
  <c r="FI23" i="66"/>
  <c r="FH23" i="66"/>
  <c r="FG23" i="66"/>
  <c r="FF23" i="66"/>
  <c r="FE23" i="66"/>
  <c r="FD23" i="66"/>
  <c r="FC23" i="66"/>
  <c r="FB23" i="66"/>
  <c r="FA23" i="66"/>
  <c r="EZ23" i="66"/>
  <c r="EY23" i="66"/>
  <c r="EX23" i="66"/>
  <c r="EW23" i="66"/>
  <c r="EV23" i="66"/>
  <c r="EU23" i="66"/>
  <c r="ET23" i="66"/>
  <c r="ES23" i="66"/>
  <c r="ER23" i="66"/>
  <c r="EQ23" i="66"/>
  <c r="EP23" i="66"/>
  <c r="EO23" i="66"/>
  <c r="EN23" i="66"/>
  <c r="EM23" i="66"/>
  <c r="EL23" i="66"/>
  <c r="EK23" i="66"/>
  <c r="EJ23" i="66"/>
  <c r="EI23" i="66"/>
  <c r="EH23" i="66"/>
  <c r="EG23" i="66"/>
  <c r="EF23" i="66"/>
  <c r="EE23" i="66"/>
  <c r="ED23" i="66"/>
  <c r="EC23" i="66"/>
  <c r="EB23" i="66"/>
  <c r="EA23" i="66"/>
  <c r="DZ23" i="66"/>
  <c r="DY23" i="66"/>
  <c r="DX23" i="66"/>
  <c r="DW23" i="66"/>
  <c r="DV23" i="66"/>
  <c r="DU23" i="66"/>
  <c r="DT23" i="66"/>
  <c r="DS23" i="66"/>
  <c r="DR23" i="66"/>
  <c r="DQ23" i="66"/>
  <c r="DP23" i="66"/>
  <c r="DO23" i="66"/>
  <c r="GP22" i="66"/>
  <c r="GN22" i="66"/>
  <c r="GM22" i="66"/>
  <c r="GL22" i="66"/>
  <c r="GK22" i="66"/>
  <c r="GJ22" i="66"/>
  <c r="GI22" i="66"/>
  <c r="GH22" i="66"/>
  <c r="GG22" i="66"/>
  <c r="GF22" i="66"/>
  <c r="GE22" i="66"/>
  <c r="GD22" i="66"/>
  <c r="GC22" i="66"/>
  <c r="GB22" i="66"/>
  <c r="GA22" i="66"/>
  <c r="FZ22" i="66"/>
  <c r="FY22" i="66"/>
  <c r="FW22" i="66"/>
  <c r="FU22" i="66"/>
  <c r="FT22" i="66"/>
  <c r="FS22" i="66"/>
  <c r="FQ22" i="66"/>
  <c r="FO22" i="66"/>
  <c r="FM22" i="66"/>
  <c r="FK22" i="66"/>
  <c r="FJ22" i="66"/>
  <c r="FI22" i="66"/>
  <c r="FH22" i="66"/>
  <c r="FG22" i="66"/>
  <c r="FF22" i="66"/>
  <c r="FE22" i="66"/>
  <c r="FD22" i="66"/>
  <c r="FC22" i="66"/>
  <c r="FB22" i="66"/>
  <c r="FA22" i="66"/>
  <c r="EZ22" i="66"/>
  <c r="EY22" i="66"/>
  <c r="EX22" i="66"/>
  <c r="EW22" i="66"/>
  <c r="EV22" i="66"/>
  <c r="EU22" i="66"/>
  <c r="ET22" i="66"/>
  <c r="ES22" i="66"/>
  <c r="ER22" i="66"/>
  <c r="EQ22" i="66"/>
  <c r="EP22" i="66"/>
  <c r="EO22" i="66"/>
  <c r="EN22" i="66"/>
  <c r="EM22" i="66"/>
  <c r="EL22" i="66"/>
  <c r="EK22" i="66"/>
  <c r="EJ22" i="66"/>
  <c r="EI22" i="66"/>
  <c r="EH22" i="66"/>
  <c r="EG22" i="66"/>
  <c r="EF22" i="66"/>
  <c r="EE22" i="66"/>
  <c r="ED22" i="66"/>
  <c r="EC22" i="66"/>
  <c r="EB22" i="66"/>
  <c r="EA22" i="66"/>
  <c r="DZ22" i="66"/>
  <c r="DY22" i="66"/>
  <c r="DX22" i="66"/>
  <c r="DW22" i="66"/>
  <c r="DV22" i="66"/>
  <c r="DU22" i="66"/>
  <c r="DT22" i="66"/>
  <c r="DS22" i="66"/>
  <c r="DR22" i="66"/>
  <c r="DQ22" i="66"/>
  <c r="DP22" i="66"/>
  <c r="DO22" i="66"/>
  <c r="GP21" i="66"/>
  <c r="GN21" i="66"/>
  <c r="GM21" i="66"/>
  <c r="GL21" i="66"/>
  <c r="GK21" i="66"/>
  <c r="GJ21" i="66"/>
  <c r="GI21" i="66"/>
  <c r="GH21" i="66"/>
  <c r="GG21" i="66"/>
  <c r="GF21" i="66"/>
  <c r="GE21" i="66"/>
  <c r="GD21" i="66"/>
  <c r="GC21" i="66"/>
  <c r="GB21" i="66"/>
  <c r="GA21" i="66"/>
  <c r="FZ21" i="66"/>
  <c r="FY21" i="66"/>
  <c r="FW21" i="66"/>
  <c r="FU21" i="66"/>
  <c r="FT21" i="66"/>
  <c r="FS21" i="66"/>
  <c r="FQ21" i="66"/>
  <c r="FM21" i="66"/>
  <c r="FJ21" i="66"/>
  <c r="FI21" i="66"/>
  <c r="FH21" i="66"/>
  <c r="FG21" i="66"/>
  <c r="FF21" i="66"/>
  <c r="FE21" i="66"/>
  <c r="FD21" i="66"/>
  <c r="FC21" i="66"/>
  <c r="FB21" i="66"/>
  <c r="FA21" i="66"/>
  <c r="EX21" i="66"/>
  <c r="EW21" i="66"/>
  <c r="ET21" i="66"/>
  <c r="ES21" i="66"/>
  <c r="EP21" i="66"/>
  <c r="EO21" i="66"/>
  <c r="EL21" i="66"/>
  <c r="EK21" i="66"/>
  <c r="EH21" i="66"/>
  <c r="EG21" i="66"/>
  <c r="ED21" i="66"/>
  <c r="EC21" i="66"/>
  <c r="EB21" i="66"/>
  <c r="EA21" i="66"/>
  <c r="DY21" i="66"/>
  <c r="DW21" i="66"/>
  <c r="DV21" i="66"/>
  <c r="DU21" i="66"/>
  <c r="DT21" i="66"/>
  <c r="DS21" i="66"/>
  <c r="DQ21" i="66"/>
  <c r="DO21" i="66"/>
  <c r="GN20" i="66"/>
  <c r="GM20" i="66"/>
  <c r="GL20" i="66"/>
  <c r="GK20" i="66"/>
  <c r="GJ20" i="66"/>
  <c r="FQ20" i="66"/>
  <c r="ET20" i="66"/>
  <c r="ES20" i="66"/>
  <c r="EL20" i="66"/>
  <c r="EK20" i="66"/>
  <c r="EC20" i="66"/>
  <c r="EA20" i="66"/>
  <c r="DY20" i="66"/>
  <c r="DW20" i="66"/>
  <c r="DU20" i="66"/>
  <c r="DS20" i="66"/>
  <c r="DQ20" i="66"/>
  <c r="DO20" i="66"/>
  <c r="GN19" i="66"/>
  <c r="GM19" i="66"/>
  <c r="GL19" i="66"/>
  <c r="GK19" i="66"/>
  <c r="GJ19" i="66"/>
  <c r="FQ19" i="66"/>
  <c r="ET19" i="66"/>
  <c r="ES19" i="66"/>
  <c r="EL19" i="66"/>
  <c r="EK19" i="66"/>
  <c r="EC19" i="66"/>
  <c r="EA19" i="66"/>
  <c r="DY19" i="66"/>
  <c r="DW19" i="66"/>
  <c r="DU19" i="66"/>
  <c r="DS19" i="66"/>
  <c r="DQ19" i="66"/>
  <c r="DO19" i="66"/>
  <c r="GP18" i="66"/>
  <c r="GN18" i="66"/>
  <c r="GM18" i="66"/>
  <c r="GL18" i="66"/>
  <c r="GK18" i="66"/>
  <c r="GJ18" i="66"/>
  <c r="GI18" i="66"/>
  <c r="GH18" i="66"/>
  <c r="GG18" i="66"/>
  <c r="GF18" i="66"/>
  <c r="GE18" i="66"/>
  <c r="GD18" i="66"/>
  <c r="GC18" i="66"/>
  <c r="GB18" i="66"/>
  <c r="GA18" i="66"/>
  <c r="FZ18" i="66"/>
  <c r="FY18" i="66"/>
  <c r="FW18" i="66"/>
  <c r="FU18" i="66"/>
  <c r="FT18" i="66"/>
  <c r="FS18" i="66"/>
  <c r="FQ18" i="66"/>
  <c r="FO18" i="66"/>
  <c r="FM18" i="66"/>
  <c r="FK18" i="66"/>
  <c r="FJ18" i="66"/>
  <c r="FI18" i="66"/>
  <c r="FH18" i="66"/>
  <c r="FG18" i="66"/>
  <c r="FF18" i="66"/>
  <c r="FE18" i="66"/>
  <c r="FD18" i="66"/>
  <c r="FC18" i="66"/>
  <c r="FB18" i="66"/>
  <c r="FA18" i="66"/>
  <c r="EZ18" i="66"/>
  <c r="EY18" i="66"/>
  <c r="EX18" i="66"/>
  <c r="EW18" i="66"/>
  <c r="EV18" i="66"/>
  <c r="EU18" i="66"/>
  <c r="ET18" i="66"/>
  <c r="ES18" i="66"/>
  <c r="ER18" i="66"/>
  <c r="EQ18" i="66"/>
  <c r="EP18" i="66"/>
  <c r="EO18" i="66"/>
  <c r="EN18" i="66"/>
  <c r="EM18" i="66"/>
  <c r="EL18" i="66"/>
  <c r="EK18" i="66"/>
  <c r="EJ18" i="66"/>
  <c r="EI18" i="66"/>
  <c r="EH18" i="66"/>
  <c r="EG18" i="66"/>
  <c r="EF18" i="66"/>
  <c r="EE18" i="66"/>
  <c r="ED18" i="66"/>
  <c r="EC18" i="66"/>
  <c r="EB18" i="66"/>
  <c r="EA18" i="66"/>
  <c r="DZ18" i="66"/>
  <c r="DY18" i="66"/>
  <c r="DX18" i="66"/>
  <c r="DW18" i="66"/>
  <c r="DV18" i="66"/>
  <c r="DU18" i="66"/>
  <c r="DT18" i="66"/>
  <c r="DS18" i="66"/>
  <c r="DR18" i="66"/>
  <c r="DQ18" i="66"/>
  <c r="DP18" i="66"/>
  <c r="DO18" i="66"/>
  <c r="GP17" i="66"/>
  <c r="GN17" i="66"/>
  <c r="GM17" i="66"/>
  <c r="GL17" i="66"/>
  <c r="GK17" i="66"/>
  <c r="GJ17" i="66"/>
  <c r="GI17" i="66"/>
  <c r="GH17" i="66"/>
  <c r="GG17" i="66"/>
  <c r="GF17" i="66"/>
  <c r="GE17" i="66"/>
  <c r="GD17" i="66"/>
  <c r="GC17" i="66"/>
  <c r="GB17" i="66"/>
  <c r="GA17" i="66"/>
  <c r="FZ17" i="66"/>
  <c r="FY17" i="66"/>
  <c r="FW17" i="66"/>
  <c r="FU17" i="66"/>
  <c r="FT17" i="66"/>
  <c r="FS17" i="66"/>
  <c r="FQ17" i="66"/>
  <c r="FO17" i="66"/>
  <c r="FM17" i="66"/>
  <c r="FK17" i="66"/>
  <c r="FJ17" i="66"/>
  <c r="FI17" i="66"/>
  <c r="FH17" i="66"/>
  <c r="FG17" i="66"/>
  <c r="FF17" i="66"/>
  <c r="FE17" i="66"/>
  <c r="FD17" i="66"/>
  <c r="FC17" i="66"/>
  <c r="FB17" i="66"/>
  <c r="FA17" i="66"/>
  <c r="EZ17" i="66"/>
  <c r="EY17" i="66"/>
  <c r="EX17" i="66"/>
  <c r="EW17" i="66"/>
  <c r="EV17" i="66"/>
  <c r="EU17" i="66"/>
  <c r="ET17" i="66"/>
  <c r="ES17" i="66"/>
  <c r="ER17" i="66"/>
  <c r="EQ17" i="66"/>
  <c r="EP17" i="66"/>
  <c r="EO17" i="66"/>
  <c r="EN17" i="66"/>
  <c r="EM17" i="66"/>
  <c r="EL17" i="66"/>
  <c r="EK17" i="66"/>
  <c r="EJ17" i="66"/>
  <c r="EI17" i="66"/>
  <c r="EH17" i="66"/>
  <c r="EG17" i="66"/>
  <c r="EF17" i="66"/>
  <c r="EE17" i="66"/>
  <c r="ED17" i="66"/>
  <c r="EC17" i="66"/>
  <c r="EB17" i="66"/>
  <c r="EA17" i="66"/>
  <c r="DZ17" i="66"/>
  <c r="DY17" i="66"/>
  <c r="DX17" i="66"/>
  <c r="DW17" i="66"/>
  <c r="DV17" i="66"/>
  <c r="DU17" i="66"/>
  <c r="DT17" i="66"/>
  <c r="DS17" i="66"/>
  <c r="DR17" i="66"/>
  <c r="DQ17" i="66"/>
  <c r="DP17" i="66"/>
  <c r="DO17" i="66"/>
  <c r="GP16" i="66"/>
  <c r="GN16" i="66"/>
  <c r="GM16" i="66"/>
  <c r="GL16" i="66"/>
  <c r="GK16" i="66"/>
  <c r="GJ16" i="66"/>
  <c r="GI16" i="66"/>
  <c r="GH16" i="66"/>
  <c r="GG16" i="66"/>
  <c r="GF16" i="66"/>
  <c r="GE16" i="66"/>
  <c r="GD16" i="66"/>
  <c r="GC16" i="66"/>
  <c r="GB16" i="66"/>
  <c r="GA16" i="66"/>
  <c r="FZ16" i="66"/>
  <c r="FY16" i="66"/>
  <c r="FW16" i="66"/>
  <c r="FU16" i="66"/>
  <c r="FT16" i="66"/>
  <c r="FS16" i="66"/>
  <c r="FQ16" i="66"/>
  <c r="FO16" i="66"/>
  <c r="FM16" i="66"/>
  <c r="FK16" i="66"/>
  <c r="FJ16" i="66"/>
  <c r="FI16" i="66"/>
  <c r="FH16" i="66"/>
  <c r="FG16" i="66"/>
  <c r="FF16" i="66"/>
  <c r="FE16" i="66"/>
  <c r="FD16" i="66"/>
  <c r="FC16" i="66"/>
  <c r="FB16" i="66"/>
  <c r="FA16" i="66"/>
  <c r="EZ16" i="66"/>
  <c r="EY16" i="66"/>
  <c r="EX16" i="66"/>
  <c r="EW16" i="66"/>
  <c r="EV16" i="66"/>
  <c r="EU16" i="66"/>
  <c r="ET16" i="66"/>
  <c r="ES16" i="66"/>
  <c r="ER16" i="66"/>
  <c r="EQ16" i="66"/>
  <c r="EP16" i="66"/>
  <c r="EO16" i="66"/>
  <c r="EN16" i="66"/>
  <c r="EM16" i="66"/>
  <c r="EL16" i="66"/>
  <c r="EK16" i="66"/>
  <c r="EJ16" i="66"/>
  <c r="EI16" i="66"/>
  <c r="EH16" i="66"/>
  <c r="EG16" i="66"/>
  <c r="EF16" i="66"/>
  <c r="EE16" i="66"/>
  <c r="ED16" i="66"/>
  <c r="EC16" i="66"/>
  <c r="EB16" i="66"/>
  <c r="EA16" i="66"/>
  <c r="DZ16" i="66"/>
  <c r="DY16" i="66"/>
  <c r="DX16" i="66"/>
  <c r="DW16" i="66"/>
  <c r="DV16" i="66"/>
  <c r="DU16" i="66"/>
  <c r="DT16" i="66"/>
  <c r="DS16" i="66"/>
  <c r="DR16" i="66"/>
  <c r="DQ16" i="66"/>
  <c r="DP16" i="66"/>
  <c r="DO16" i="66"/>
  <c r="GP15" i="66"/>
  <c r="GN15" i="66"/>
  <c r="GM15" i="66"/>
  <c r="GL15" i="66"/>
  <c r="GK15" i="66"/>
  <c r="GJ15" i="66"/>
  <c r="GI15" i="66"/>
  <c r="GH15" i="66"/>
  <c r="GG15" i="66"/>
  <c r="GF15" i="66"/>
  <c r="GE15" i="66"/>
  <c r="GD15" i="66"/>
  <c r="GA15" i="66"/>
  <c r="FZ15" i="66"/>
  <c r="FY15" i="66"/>
  <c r="FW15" i="66"/>
  <c r="FS15" i="66"/>
  <c r="FQ15" i="66"/>
  <c r="FO15" i="66"/>
  <c r="FK15" i="66"/>
  <c r="FJ15" i="66"/>
  <c r="FI15" i="66"/>
  <c r="FH15" i="66"/>
  <c r="FG15" i="66"/>
  <c r="FF15" i="66"/>
  <c r="FC15" i="66"/>
  <c r="FB15" i="66"/>
  <c r="FA15" i="66"/>
  <c r="EZ15" i="66"/>
  <c r="EY15" i="66"/>
  <c r="EX15" i="66"/>
  <c r="EU15" i="66"/>
  <c r="ET15" i="66"/>
  <c r="ES15" i="66"/>
  <c r="ER15" i="66"/>
  <c r="EQ15" i="66"/>
  <c r="EP15" i="66"/>
  <c r="EM15" i="66"/>
  <c r="EL15" i="66"/>
  <c r="EK15" i="66"/>
  <c r="EJ15" i="66"/>
  <c r="EI15" i="66"/>
  <c r="EH15" i="66"/>
  <c r="EE15" i="66"/>
  <c r="ED15" i="66"/>
  <c r="EC15" i="66"/>
  <c r="EB15" i="66"/>
  <c r="EA15" i="66"/>
  <c r="DZ15" i="66"/>
  <c r="DY15" i="66"/>
  <c r="DW15" i="66"/>
  <c r="DV15" i="66"/>
  <c r="DU15" i="66"/>
  <c r="DT15" i="66"/>
  <c r="DS15" i="66"/>
  <c r="DR15" i="66"/>
  <c r="DQ15" i="66"/>
  <c r="DO15" i="66"/>
  <c r="GP14" i="66"/>
  <c r="GN14" i="66"/>
  <c r="GM14" i="66"/>
  <c r="GL14" i="66"/>
  <c r="GK14" i="66"/>
  <c r="GI14" i="66"/>
  <c r="GH14" i="66"/>
  <c r="GG14" i="66"/>
  <c r="GF14" i="66"/>
  <c r="GE14" i="66"/>
  <c r="GD14" i="66"/>
  <c r="GC14" i="66"/>
  <c r="GB14" i="66"/>
  <c r="GA14" i="66"/>
  <c r="FZ14" i="66"/>
  <c r="FY14" i="66"/>
  <c r="FW14" i="66"/>
  <c r="FU14" i="66"/>
  <c r="FT14" i="66"/>
  <c r="FS14" i="66"/>
  <c r="FR14" i="66"/>
  <c r="FQ14" i="66"/>
  <c r="FP14" i="66"/>
  <c r="FO14" i="66"/>
  <c r="FN14" i="66"/>
  <c r="FM14" i="66"/>
  <c r="FL14" i="66"/>
  <c r="FK14" i="66"/>
  <c r="FJ14" i="66"/>
  <c r="FI14" i="66"/>
  <c r="FH14" i="66"/>
  <c r="FG14" i="66"/>
  <c r="FF14" i="66"/>
  <c r="FE14" i="66"/>
  <c r="FD14" i="66"/>
  <c r="FC14" i="66"/>
  <c r="FB14" i="66"/>
  <c r="FA14" i="66"/>
  <c r="EZ14" i="66"/>
  <c r="EY14" i="66"/>
  <c r="EX14" i="66"/>
  <c r="EW14" i="66"/>
  <c r="EV14" i="66"/>
  <c r="EU14" i="66"/>
  <c r="ET14" i="66"/>
  <c r="ES14" i="66"/>
  <c r="ER14" i="66"/>
  <c r="EQ14" i="66"/>
  <c r="EP14" i="66"/>
  <c r="EO14" i="66"/>
  <c r="EN14" i="66"/>
  <c r="EM14" i="66"/>
  <c r="EL14" i="66"/>
  <c r="EK14" i="66"/>
  <c r="EJ14" i="66"/>
  <c r="EI14" i="66"/>
  <c r="EH14" i="66"/>
  <c r="EG14" i="66"/>
  <c r="EF14" i="66"/>
  <c r="EE14" i="66"/>
  <c r="ED14" i="66"/>
  <c r="EC14" i="66"/>
  <c r="EB14" i="66"/>
  <c r="EA14" i="66"/>
  <c r="DZ14" i="66"/>
  <c r="DY14" i="66"/>
  <c r="DX14" i="66"/>
  <c r="DW14" i="66"/>
  <c r="DV14" i="66"/>
  <c r="DU14" i="66"/>
  <c r="DT14" i="66"/>
  <c r="DS14" i="66"/>
  <c r="DR14" i="66"/>
  <c r="DQ14" i="66"/>
  <c r="DP14" i="66"/>
  <c r="DO14" i="66"/>
  <c r="FG12" i="66"/>
  <c r="ED12" i="66"/>
  <c r="EB12" i="66"/>
  <c r="DV12" i="66"/>
  <c r="DT12" i="66"/>
  <c r="GP44" i="64"/>
  <c r="GN44" i="64"/>
  <c r="GM44" i="64"/>
  <c r="GL44" i="64"/>
  <c r="GK44" i="64"/>
  <c r="GJ44" i="64"/>
  <c r="GI44" i="64"/>
  <c r="GH44" i="64"/>
  <c r="GG44" i="64"/>
  <c r="GF44" i="64"/>
  <c r="GE44" i="64"/>
  <c r="GD44" i="64"/>
  <c r="GC44" i="64"/>
  <c r="GB44" i="64"/>
  <c r="GA44" i="64"/>
  <c r="FZ44" i="64"/>
  <c r="FY44" i="64"/>
  <c r="FW44" i="64"/>
  <c r="FU44" i="64"/>
  <c r="FT44" i="64"/>
  <c r="FS44" i="64"/>
  <c r="FQ44" i="64"/>
  <c r="FM44" i="64"/>
  <c r="FJ44" i="64"/>
  <c r="FI44" i="64"/>
  <c r="FH44" i="64"/>
  <c r="FG44" i="64"/>
  <c r="FF44" i="64"/>
  <c r="FE44" i="64"/>
  <c r="FD44" i="64"/>
  <c r="FC44" i="64"/>
  <c r="FB44" i="64"/>
  <c r="FA44" i="64"/>
  <c r="EX44" i="64"/>
  <c r="EW44" i="64"/>
  <c r="ET44" i="64"/>
  <c r="ES44" i="64"/>
  <c r="EQ44" i="64"/>
  <c r="EP44" i="64"/>
  <c r="EO44" i="64"/>
  <c r="EL44" i="64"/>
  <c r="EK44" i="64"/>
  <c r="EI44" i="64"/>
  <c r="EH44" i="64"/>
  <c r="EG44" i="64"/>
  <c r="ED44" i="64"/>
  <c r="EC44" i="64"/>
  <c r="EB44" i="64"/>
  <c r="EA44" i="64"/>
  <c r="DZ44" i="64"/>
  <c r="DY44" i="64"/>
  <c r="DW44" i="64"/>
  <c r="DV44" i="64"/>
  <c r="DU44" i="64"/>
  <c r="DT44" i="64"/>
  <c r="DS44" i="64"/>
  <c r="DR44" i="64"/>
  <c r="DQ44" i="64"/>
  <c r="DO44" i="64"/>
  <c r="GP43" i="64"/>
  <c r="GN43" i="64"/>
  <c r="GM43" i="64"/>
  <c r="GL43" i="64"/>
  <c r="GK43" i="64"/>
  <c r="GJ43" i="64"/>
  <c r="GI43" i="64"/>
  <c r="GH43" i="64"/>
  <c r="GG43" i="64"/>
  <c r="GF43" i="64"/>
  <c r="GE43" i="64"/>
  <c r="GD43" i="64"/>
  <c r="GC43" i="64"/>
  <c r="GB43" i="64"/>
  <c r="GA43" i="64"/>
  <c r="FZ43" i="64"/>
  <c r="FY43" i="64"/>
  <c r="FW43" i="64"/>
  <c r="FU43" i="64"/>
  <c r="FT43" i="64"/>
  <c r="FS43" i="64"/>
  <c r="FQ43" i="64"/>
  <c r="FM43" i="64"/>
  <c r="FJ43" i="64"/>
  <c r="FI43" i="64"/>
  <c r="FH43" i="64"/>
  <c r="FG43" i="64"/>
  <c r="FF43" i="64"/>
  <c r="FE43" i="64"/>
  <c r="FD43" i="64"/>
  <c r="FC43" i="64"/>
  <c r="FB43" i="64"/>
  <c r="FA43" i="64"/>
  <c r="EX43" i="64"/>
  <c r="EW43" i="64"/>
  <c r="EV43" i="64"/>
  <c r="ET43" i="64"/>
  <c r="ES43" i="64"/>
  <c r="EP43" i="64"/>
  <c r="EO43" i="64"/>
  <c r="EN43" i="64"/>
  <c r="EL43" i="64"/>
  <c r="EK43" i="64"/>
  <c r="EH43" i="64"/>
  <c r="EG43" i="64"/>
  <c r="EF43" i="64"/>
  <c r="ED43" i="64"/>
  <c r="EC43" i="64"/>
  <c r="EB43" i="64"/>
  <c r="EA43" i="64"/>
  <c r="DY43" i="64"/>
  <c r="DX43" i="64"/>
  <c r="DW43" i="64"/>
  <c r="DV43" i="64"/>
  <c r="DU43" i="64"/>
  <c r="DT43" i="64"/>
  <c r="DS43" i="64"/>
  <c r="DQ43" i="64"/>
  <c r="DP43" i="64"/>
  <c r="DO43" i="64"/>
  <c r="GP42" i="64"/>
  <c r="GN42" i="64"/>
  <c r="GM42" i="64"/>
  <c r="GL42" i="64"/>
  <c r="GK42" i="64"/>
  <c r="GJ42" i="64"/>
  <c r="GI42" i="64"/>
  <c r="GH42" i="64"/>
  <c r="GG42" i="64"/>
  <c r="GF42" i="64"/>
  <c r="GE42" i="64"/>
  <c r="GD42" i="64"/>
  <c r="GC42" i="64"/>
  <c r="GB42" i="64"/>
  <c r="GA42" i="64"/>
  <c r="FZ42" i="64"/>
  <c r="FY42" i="64"/>
  <c r="FW42" i="64"/>
  <c r="FU42" i="64"/>
  <c r="FT42" i="64"/>
  <c r="FS42" i="64"/>
  <c r="FQ42" i="64"/>
  <c r="FO42" i="64"/>
  <c r="FM42" i="64"/>
  <c r="FK42" i="64"/>
  <c r="FJ42" i="64"/>
  <c r="FI42" i="64"/>
  <c r="FH42" i="64"/>
  <c r="FG42" i="64"/>
  <c r="FF42" i="64"/>
  <c r="FE42" i="64"/>
  <c r="FD42" i="64"/>
  <c r="FC42" i="64"/>
  <c r="FB42" i="64"/>
  <c r="FA42" i="64"/>
  <c r="EZ42" i="64"/>
  <c r="EY42" i="64"/>
  <c r="EX42" i="64"/>
  <c r="EW42" i="64"/>
  <c r="EV42" i="64"/>
  <c r="EU42" i="64"/>
  <c r="ET42" i="64"/>
  <c r="ES42" i="64"/>
  <c r="ER42" i="64"/>
  <c r="EQ42" i="64"/>
  <c r="EP42" i="64"/>
  <c r="EO42" i="64"/>
  <c r="EN42" i="64"/>
  <c r="EM42" i="64"/>
  <c r="EL42" i="64"/>
  <c r="EK42" i="64"/>
  <c r="EJ42" i="64"/>
  <c r="EI42" i="64"/>
  <c r="EH42" i="64"/>
  <c r="EG42" i="64"/>
  <c r="EF42" i="64"/>
  <c r="EE42" i="64"/>
  <c r="ED42" i="64"/>
  <c r="EC42" i="64"/>
  <c r="EB42" i="64"/>
  <c r="EA42" i="64"/>
  <c r="DZ42" i="64"/>
  <c r="DY42" i="64"/>
  <c r="DX42" i="64"/>
  <c r="DW42" i="64"/>
  <c r="DV42" i="64"/>
  <c r="DU42" i="64"/>
  <c r="DT42" i="64"/>
  <c r="DS42" i="64"/>
  <c r="DR42" i="64"/>
  <c r="DQ42" i="64"/>
  <c r="DP42" i="64"/>
  <c r="DO42" i="64"/>
  <c r="GP41" i="64"/>
  <c r="GN41" i="64"/>
  <c r="GM41" i="64"/>
  <c r="GL41" i="64"/>
  <c r="GK41" i="64"/>
  <c r="GJ41" i="64"/>
  <c r="GI41" i="64"/>
  <c r="GH41" i="64"/>
  <c r="GG41" i="64"/>
  <c r="GF41" i="64"/>
  <c r="GE41" i="64"/>
  <c r="GD41" i="64"/>
  <c r="GC41" i="64"/>
  <c r="GB41" i="64"/>
  <c r="GA41" i="64"/>
  <c r="FZ41" i="64"/>
  <c r="FY41" i="64"/>
  <c r="FW41" i="64"/>
  <c r="FU41" i="64"/>
  <c r="FT41" i="64"/>
  <c r="FS41" i="64"/>
  <c r="FQ41" i="64"/>
  <c r="FO41" i="64"/>
  <c r="FM41" i="64"/>
  <c r="FK41" i="64"/>
  <c r="FJ41" i="64"/>
  <c r="FI41" i="64"/>
  <c r="FH41" i="64"/>
  <c r="FG41" i="64"/>
  <c r="FF41" i="64"/>
  <c r="FE41" i="64"/>
  <c r="FD41" i="64"/>
  <c r="FC41" i="64"/>
  <c r="FB41" i="64"/>
  <c r="FA41" i="64"/>
  <c r="EZ41" i="64"/>
  <c r="EY41" i="64"/>
  <c r="EX41" i="64"/>
  <c r="EW41" i="64"/>
  <c r="EV41" i="64"/>
  <c r="EU41" i="64"/>
  <c r="ET41" i="64"/>
  <c r="ES41" i="64"/>
  <c r="ER41" i="64"/>
  <c r="EQ41" i="64"/>
  <c r="EP41" i="64"/>
  <c r="EO41" i="64"/>
  <c r="EN41" i="64"/>
  <c r="EM41" i="64"/>
  <c r="EL41" i="64"/>
  <c r="EK41" i="64"/>
  <c r="EJ41" i="64"/>
  <c r="EI41" i="64"/>
  <c r="EH41" i="64"/>
  <c r="EG41" i="64"/>
  <c r="EF41" i="64"/>
  <c r="EE41" i="64"/>
  <c r="ED41" i="64"/>
  <c r="EC41" i="64"/>
  <c r="EB41" i="64"/>
  <c r="EA41" i="64"/>
  <c r="DZ41" i="64"/>
  <c r="DY41" i="64"/>
  <c r="DX41" i="64"/>
  <c r="DW41" i="64"/>
  <c r="DV41" i="64"/>
  <c r="DU41" i="64"/>
  <c r="DT41" i="64"/>
  <c r="DS41" i="64"/>
  <c r="DR41" i="64"/>
  <c r="DQ41" i="64"/>
  <c r="DP41" i="64"/>
  <c r="DO41" i="64"/>
  <c r="GP40" i="64"/>
  <c r="GN40" i="64"/>
  <c r="GM40" i="64"/>
  <c r="GL40" i="64"/>
  <c r="GK40" i="64"/>
  <c r="GJ40" i="64"/>
  <c r="GI40" i="64"/>
  <c r="GH40" i="64"/>
  <c r="GG40" i="64"/>
  <c r="GF40" i="64"/>
  <c r="GE40" i="64"/>
  <c r="GD40" i="64"/>
  <c r="GC40" i="64"/>
  <c r="GB40" i="64"/>
  <c r="GA40" i="64"/>
  <c r="FZ40" i="64"/>
  <c r="FY40" i="64"/>
  <c r="FW40" i="64"/>
  <c r="FU40" i="64"/>
  <c r="FT40" i="64"/>
  <c r="FS40" i="64"/>
  <c r="FQ40" i="64"/>
  <c r="FO40" i="64"/>
  <c r="FM40" i="64"/>
  <c r="FK40" i="64"/>
  <c r="FJ40" i="64"/>
  <c r="FI40" i="64"/>
  <c r="FH40" i="64"/>
  <c r="FG40" i="64"/>
  <c r="FF40" i="64"/>
  <c r="FE40" i="64"/>
  <c r="FD40" i="64"/>
  <c r="FC40" i="64"/>
  <c r="FB40" i="64"/>
  <c r="FA40" i="64"/>
  <c r="EZ40" i="64"/>
  <c r="EY40" i="64"/>
  <c r="EX40" i="64"/>
  <c r="EW40" i="64"/>
  <c r="EV40" i="64"/>
  <c r="EU40" i="64"/>
  <c r="ET40" i="64"/>
  <c r="ES40" i="64"/>
  <c r="ER40" i="64"/>
  <c r="EQ40" i="64"/>
  <c r="EP40" i="64"/>
  <c r="EO40" i="64"/>
  <c r="EN40" i="64"/>
  <c r="EM40" i="64"/>
  <c r="EL40" i="64"/>
  <c r="EK40" i="64"/>
  <c r="EJ40" i="64"/>
  <c r="EI40" i="64"/>
  <c r="EH40" i="64"/>
  <c r="EG40" i="64"/>
  <c r="EF40" i="64"/>
  <c r="EE40" i="64"/>
  <c r="ED40" i="64"/>
  <c r="EC40" i="64"/>
  <c r="EB40" i="64"/>
  <c r="EA40" i="64"/>
  <c r="DZ40" i="64"/>
  <c r="DY40" i="64"/>
  <c r="DX40" i="64"/>
  <c r="DW40" i="64"/>
  <c r="DV40" i="64"/>
  <c r="DU40" i="64"/>
  <c r="DT40" i="64"/>
  <c r="DS40" i="64"/>
  <c r="DR40" i="64"/>
  <c r="DQ40" i="64"/>
  <c r="DP40" i="64"/>
  <c r="DO40" i="64"/>
  <c r="GN39" i="64"/>
  <c r="GM39" i="64"/>
  <c r="GL39" i="64"/>
  <c r="GK39" i="64"/>
  <c r="GJ39" i="64"/>
  <c r="FQ39" i="64"/>
  <c r="ET39" i="64"/>
  <c r="ES39" i="64"/>
  <c r="EL39" i="64"/>
  <c r="EK39" i="64"/>
  <c r="EC39" i="64"/>
  <c r="EA39" i="64"/>
  <c r="DY39" i="64"/>
  <c r="DW39" i="64"/>
  <c r="DU39" i="64"/>
  <c r="DS39" i="64"/>
  <c r="DQ39" i="64"/>
  <c r="DO39" i="64"/>
  <c r="GN38" i="64"/>
  <c r="GM38" i="64"/>
  <c r="GL38" i="64"/>
  <c r="GK38" i="64"/>
  <c r="GJ38" i="64"/>
  <c r="FQ38" i="64"/>
  <c r="ET38" i="64"/>
  <c r="ES38" i="64"/>
  <c r="EL38" i="64"/>
  <c r="EK38" i="64"/>
  <c r="EC38" i="64"/>
  <c r="EA38" i="64"/>
  <c r="DY38" i="64"/>
  <c r="DW38" i="64"/>
  <c r="DU38" i="64"/>
  <c r="DS38" i="64"/>
  <c r="DQ38" i="64"/>
  <c r="DO38" i="64"/>
  <c r="GP37" i="64"/>
  <c r="GN37" i="64"/>
  <c r="GM37" i="64"/>
  <c r="GL37" i="64"/>
  <c r="GK37" i="64"/>
  <c r="GJ37" i="64"/>
  <c r="GI37" i="64"/>
  <c r="GH37" i="64"/>
  <c r="GG37" i="64"/>
  <c r="GF37" i="64"/>
  <c r="GE37" i="64"/>
  <c r="GD37" i="64"/>
  <c r="GC37" i="64"/>
  <c r="GB37" i="64"/>
  <c r="GA37" i="64"/>
  <c r="FZ37" i="64"/>
  <c r="FY37" i="64"/>
  <c r="FW37" i="64"/>
  <c r="FU37" i="64"/>
  <c r="FT37" i="64"/>
  <c r="FS37" i="64"/>
  <c r="FQ37" i="64"/>
  <c r="FO37" i="64"/>
  <c r="FM37" i="64"/>
  <c r="FK37" i="64"/>
  <c r="FJ37" i="64"/>
  <c r="FI37" i="64"/>
  <c r="FH37" i="64"/>
  <c r="FG37" i="64"/>
  <c r="FF37" i="64"/>
  <c r="FE37" i="64"/>
  <c r="FD37" i="64"/>
  <c r="FC37" i="64"/>
  <c r="FB37" i="64"/>
  <c r="FA37" i="64"/>
  <c r="EZ37" i="64"/>
  <c r="EY37" i="64"/>
  <c r="EX37" i="64"/>
  <c r="EW37" i="64"/>
  <c r="EV37" i="64"/>
  <c r="EU37" i="64"/>
  <c r="ET37" i="64"/>
  <c r="ES37" i="64"/>
  <c r="ER37" i="64"/>
  <c r="EQ37" i="64"/>
  <c r="EP37" i="64"/>
  <c r="EO37" i="64"/>
  <c r="EN37" i="64"/>
  <c r="EM37" i="64"/>
  <c r="EL37" i="64"/>
  <c r="EK37" i="64"/>
  <c r="EJ37" i="64"/>
  <c r="EI37" i="64"/>
  <c r="EH37" i="64"/>
  <c r="EG37" i="64"/>
  <c r="EF37" i="64"/>
  <c r="EE37" i="64"/>
  <c r="ED37" i="64"/>
  <c r="EC37" i="64"/>
  <c r="EB37" i="64"/>
  <c r="EA37" i="64"/>
  <c r="DZ37" i="64"/>
  <c r="DY37" i="64"/>
  <c r="DX37" i="64"/>
  <c r="DW37" i="64"/>
  <c r="DV37" i="64"/>
  <c r="DU37" i="64"/>
  <c r="DT37" i="64"/>
  <c r="DS37" i="64"/>
  <c r="DR37" i="64"/>
  <c r="DQ37" i="64"/>
  <c r="DP37" i="64"/>
  <c r="DO37" i="64"/>
  <c r="GP36" i="64"/>
  <c r="GN36" i="64"/>
  <c r="GM36" i="64"/>
  <c r="GL36" i="64"/>
  <c r="GK36" i="64"/>
  <c r="GJ36" i="64"/>
  <c r="GI36" i="64"/>
  <c r="GH36" i="64"/>
  <c r="GG36" i="64"/>
  <c r="GF36" i="64"/>
  <c r="GE36" i="64"/>
  <c r="GD36" i="64"/>
  <c r="GC36" i="64"/>
  <c r="GB36" i="64"/>
  <c r="GA36" i="64"/>
  <c r="FZ36" i="64"/>
  <c r="FY36" i="64"/>
  <c r="FW36" i="64"/>
  <c r="FU36" i="64"/>
  <c r="FT36" i="64"/>
  <c r="FS36" i="64"/>
  <c r="FQ36" i="64"/>
  <c r="FO36" i="64"/>
  <c r="FM36" i="64"/>
  <c r="FK36" i="64"/>
  <c r="FJ36" i="64"/>
  <c r="FI36" i="64"/>
  <c r="FH36" i="64"/>
  <c r="FG36" i="64"/>
  <c r="FF36" i="64"/>
  <c r="FE36" i="64"/>
  <c r="FD36" i="64"/>
  <c r="FC36" i="64"/>
  <c r="FB36" i="64"/>
  <c r="FA36" i="64"/>
  <c r="EZ36" i="64"/>
  <c r="EY36" i="64"/>
  <c r="EX36" i="64"/>
  <c r="EW36" i="64"/>
  <c r="EV36" i="64"/>
  <c r="EU36" i="64"/>
  <c r="ET36" i="64"/>
  <c r="ES36" i="64"/>
  <c r="ER36" i="64"/>
  <c r="EQ36" i="64"/>
  <c r="EP36" i="64"/>
  <c r="EO36" i="64"/>
  <c r="EN36" i="64"/>
  <c r="EM36" i="64"/>
  <c r="EL36" i="64"/>
  <c r="EK36" i="64"/>
  <c r="EJ36" i="64"/>
  <c r="EI36" i="64"/>
  <c r="EH36" i="64"/>
  <c r="EG36" i="64"/>
  <c r="EF36" i="64"/>
  <c r="EE36" i="64"/>
  <c r="ED36" i="64"/>
  <c r="EC36" i="64"/>
  <c r="EB36" i="64"/>
  <c r="EA36" i="64"/>
  <c r="DZ36" i="64"/>
  <c r="DY36" i="64"/>
  <c r="DX36" i="64"/>
  <c r="DW36" i="64"/>
  <c r="DV36" i="64"/>
  <c r="DU36" i="64"/>
  <c r="DT36" i="64"/>
  <c r="DS36" i="64"/>
  <c r="DR36" i="64"/>
  <c r="DQ36" i="64"/>
  <c r="DP36" i="64"/>
  <c r="DO36" i="64"/>
  <c r="GP35" i="64"/>
  <c r="GN35" i="64"/>
  <c r="GM35" i="64"/>
  <c r="GL35" i="64"/>
  <c r="GK35" i="64"/>
  <c r="GJ35" i="64"/>
  <c r="GI35" i="64"/>
  <c r="GH35" i="64"/>
  <c r="GG35" i="64"/>
  <c r="GF35" i="64"/>
  <c r="GE35" i="64"/>
  <c r="GD35" i="64"/>
  <c r="GC35" i="64"/>
  <c r="GB35" i="64"/>
  <c r="GA35" i="64"/>
  <c r="FZ35" i="64"/>
  <c r="FY35" i="64"/>
  <c r="FW35" i="64"/>
  <c r="FU35" i="64"/>
  <c r="FT35" i="64"/>
  <c r="FS35" i="64"/>
  <c r="FQ35" i="64"/>
  <c r="FM35" i="64"/>
  <c r="FJ35" i="64"/>
  <c r="FI35" i="64"/>
  <c r="FH35" i="64"/>
  <c r="FG35" i="64"/>
  <c r="FF35" i="64"/>
  <c r="FE35" i="64"/>
  <c r="FD35" i="64"/>
  <c r="FC35" i="64"/>
  <c r="FB35" i="64"/>
  <c r="FA35" i="64"/>
  <c r="EX35" i="64"/>
  <c r="EW35" i="64"/>
  <c r="ET35" i="64"/>
  <c r="ES35" i="64"/>
  <c r="EP35" i="64"/>
  <c r="EO35" i="64"/>
  <c r="EL35" i="64"/>
  <c r="EK35" i="64"/>
  <c r="EH35" i="64"/>
  <c r="EG35" i="64"/>
  <c r="ED35" i="64"/>
  <c r="EC35" i="64"/>
  <c r="EB35" i="64"/>
  <c r="EA35" i="64"/>
  <c r="DZ35" i="64"/>
  <c r="DY35" i="64"/>
  <c r="DW35" i="64"/>
  <c r="DV35" i="64"/>
  <c r="DU35" i="64"/>
  <c r="DT35" i="64"/>
  <c r="DS35" i="64"/>
  <c r="DR35" i="64"/>
  <c r="DQ35" i="64"/>
  <c r="DO35" i="64"/>
  <c r="GP34" i="64"/>
  <c r="GN34" i="64"/>
  <c r="GM34" i="64"/>
  <c r="GL34" i="64"/>
  <c r="GK34" i="64"/>
  <c r="GJ34" i="64"/>
  <c r="GI34" i="64"/>
  <c r="GH34" i="64"/>
  <c r="GG34" i="64"/>
  <c r="GF34" i="64"/>
  <c r="GE34" i="64"/>
  <c r="GD34" i="64"/>
  <c r="GC34" i="64"/>
  <c r="GB34" i="64"/>
  <c r="GA34" i="64"/>
  <c r="FZ34" i="64"/>
  <c r="FY34" i="64"/>
  <c r="FW34" i="64"/>
  <c r="FU34" i="64"/>
  <c r="FT34" i="64"/>
  <c r="FS34" i="64"/>
  <c r="FQ34" i="64"/>
  <c r="FO34" i="64"/>
  <c r="FM34" i="64"/>
  <c r="FK34" i="64"/>
  <c r="FJ34" i="64"/>
  <c r="FI34" i="64"/>
  <c r="FH34" i="64"/>
  <c r="FG34" i="64"/>
  <c r="FF34" i="64"/>
  <c r="FE34" i="64"/>
  <c r="FD34" i="64"/>
  <c r="FC34" i="64"/>
  <c r="FB34" i="64"/>
  <c r="FA34" i="64"/>
  <c r="EZ34" i="64"/>
  <c r="EY34" i="64"/>
  <c r="EX34" i="64"/>
  <c r="EW34" i="64"/>
  <c r="EV34" i="64"/>
  <c r="EU34" i="64"/>
  <c r="ET34" i="64"/>
  <c r="ES34" i="64"/>
  <c r="ER34" i="64"/>
  <c r="EQ34" i="64"/>
  <c r="EP34" i="64"/>
  <c r="EO34" i="64"/>
  <c r="EN34" i="64"/>
  <c r="EM34" i="64"/>
  <c r="EL34" i="64"/>
  <c r="EK34" i="64"/>
  <c r="EJ34" i="64"/>
  <c r="EI34" i="64"/>
  <c r="EH34" i="64"/>
  <c r="EG34" i="64"/>
  <c r="EF34" i="64"/>
  <c r="EE34" i="64"/>
  <c r="ED34" i="64"/>
  <c r="EC34" i="64"/>
  <c r="EB34" i="64"/>
  <c r="EA34" i="64"/>
  <c r="DZ34" i="64"/>
  <c r="DY34" i="64"/>
  <c r="DX34" i="64"/>
  <c r="DW34" i="64"/>
  <c r="DV34" i="64"/>
  <c r="DU34" i="64"/>
  <c r="DT34" i="64"/>
  <c r="DS34" i="64"/>
  <c r="DR34" i="64"/>
  <c r="DQ34" i="64"/>
  <c r="DP34" i="64"/>
  <c r="DO34" i="64"/>
  <c r="GP33" i="64"/>
  <c r="GN33" i="64"/>
  <c r="GM33" i="64"/>
  <c r="GL33" i="64"/>
  <c r="GK33" i="64"/>
  <c r="GJ33" i="64"/>
  <c r="GI33" i="64"/>
  <c r="GH33" i="64"/>
  <c r="GG33" i="64"/>
  <c r="GF33" i="64"/>
  <c r="GE33" i="64"/>
  <c r="GD33" i="64"/>
  <c r="GC33" i="64"/>
  <c r="GB33" i="64"/>
  <c r="GA33" i="64"/>
  <c r="FZ33" i="64"/>
  <c r="FY33" i="64"/>
  <c r="FW33" i="64"/>
  <c r="FU33" i="64"/>
  <c r="FT33" i="64"/>
  <c r="FS33" i="64"/>
  <c r="FQ33" i="64"/>
  <c r="FO33" i="64"/>
  <c r="FM33" i="64"/>
  <c r="FK33" i="64"/>
  <c r="FJ33" i="64"/>
  <c r="FI33" i="64"/>
  <c r="FH33" i="64"/>
  <c r="FG33" i="64"/>
  <c r="FF33" i="64"/>
  <c r="FE33" i="64"/>
  <c r="FD33" i="64"/>
  <c r="FC33" i="64"/>
  <c r="FB33" i="64"/>
  <c r="FA33" i="64"/>
  <c r="EZ33" i="64"/>
  <c r="EY33" i="64"/>
  <c r="EX33" i="64"/>
  <c r="EW33" i="64"/>
  <c r="EV33" i="64"/>
  <c r="EU33" i="64"/>
  <c r="ET33" i="64"/>
  <c r="ES33" i="64"/>
  <c r="ER33" i="64"/>
  <c r="EQ33" i="64"/>
  <c r="EP33" i="64"/>
  <c r="EO33" i="64"/>
  <c r="EN33" i="64"/>
  <c r="EM33" i="64"/>
  <c r="EL33" i="64"/>
  <c r="EK33" i="64"/>
  <c r="EJ33" i="64"/>
  <c r="EI33" i="64"/>
  <c r="EH33" i="64"/>
  <c r="EG33" i="64"/>
  <c r="EF33" i="64"/>
  <c r="EE33" i="64"/>
  <c r="ED33" i="64"/>
  <c r="EC33" i="64"/>
  <c r="EB33" i="64"/>
  <c r="EA33" i="64"/>
  <c r="DZ33" i="64"/>
  <c r="DY33" i="64"/>
  <c r="DX33" i="64"/>
  <c r="DW33" i="64"/>
  <c r="DV33" i="64"/>
  <c r="DU33" i="64"/>
  <c r="DT33" i="64"/>
  <c r="DS33" i="64"/>
  <c r="DR33" i="64"/>
  <c r="DQ33" i="64"/>
  <c r="DP33" i="64"/>
  <c r="DO33" i="64"/>
  <c r="GN32" i="64"/>
  <c r="GM32" i="64"/>
  <c r="GL32" i="64"/>
  <c r="GK32" i="64"/>
  <c r="GJ32" i="64"/>
  <c r="FQ32" i="64"/>
  <c r="ET32" i="64"/>
  <c r="ES32" i="64"/>
  <c r="EL32" i="64"/>
  <c r="EK32" i="64"/>
  <c r="EC32" i="64"/>
  <c r="EA32" i="64"/>
  <c r="DY32" i="64"/>
  <c r="DW32" i="64"/>
  <c r="DU32" i="64"/>
  <c r="DS32" i="64"/>
  <c r="DQ32" i="64"/>
  <c r="DO32" i="64"/>
  <c r="GN31" i="64"/>
  <c r="GM31" i="64"/>
  <c r="GL31" i="64"/>
  <c r="GK31" i="64"/>
  <c r="GJ31" i="64"/>
  <c r="FQ31" i="64"/>
  <c r="ET31" i="64"/>
  <c r="ES31" i="64"/>
  <c r="EL31" i="64"/>
  <c r="EK31" i="64"/>
  <c r="EC31" i="64"/>
  <c r="EA31" i="64"/>
  <c r="DY31" i="64"/>
  <c r="DW31" i="64"/>
  <c r="DU31" i="64"/>
  <c r="DS31" i="64"/>
  <c r="DQ31" i="64"/>
  <c r="DO31" i="64"/>
  <c r="GP30" i="64"/>
  <c r="GN30" i="64"/>
  <c r="GM30" i="64"/>
  <c r="GL30" i="64"/>
  <c r="GK30" i="64"/>
  <c r="GO30" i="64" s="1"/>
  <c r="GJ30" i="64"/>
  <c r="GI30" i="64"/>
  <c r="GH30" i="64"/>
  <c r="GG30" i="64"/>
  <c r="GF30" i="64"/>
  <c r="GE30" i="64"/>
  <c r="GD30" i="64"/>
  <c r="GC30" i="64"/>
  <c r="GB30" i="64"/>
  <c r="GA30" i="64"/>
  <c r="FZ30" i="64"/>
  <c r="FY30" i="64"/>
  <c r="FW30" i="64"/>
  <c r="FU30" i="64"/>
  <c r="FT30" i="64"/>
  <c r="FS30" i="64"/>
  <c r="FQ30" i="64"/>
  <c r="FO30" i="64"/>
  <c r="FM30" i="64"/>
  <c r="FK30" i="64"/>
  <c r="FJ30" i="64"/>
  <c r="FI30" i="64"/>
  <c r="FH30" i="64"/>
  <c r="FG30" i="64"/>
  <c r="FF30" i="64"/>
  <c r="FE30" i="64"/>
  <c r="FD30" i="64"/>
  <c r="FC30" i="64"/>
  <c r="FB30" i="64"/>
  <c r="FA30" i="64"/>
  <c r="EZ30" i="64"/>
  <c r="EY30" i="64"/>
  <c r="EX30" i="64"/>
  <c r="EW30" i="64"/>
  <c r="EV30" i="64"/>
  <c r="EU30" i="64"/>
  <c r="ET30" i="64"/>
  <c r="ES30" i="64"/>
  <c r="ER30" i="64"/>
  <c r="EQ30" i="64"/>
  <c r="EP30" i="64"/>
  <c r="EO30" i="64"/>
  <c r="EN30" i="64"/>
  <c r="EM30" i="64"/>
  <c r="EL30" i="64"/>
  <c r="EK30" i="64"/>
  <c r="EJ30" i="64"/>
  <c r="EI30" i="64"/>
  <c r="EH30" i="64"/>
  <c r="EG30" i="64"/>
  <c r="EF30" i="64"/>
  <c r="EE30" i="64"/>
  <c r="ED30" i="64"/>
  <c r="EC30" i="64"/>
  <c r="EB30" i="64"/>
  <c r="EA30" i="64"/>
  <c r="DZ30" i="64"/>
  <c r="DY30" i="64"/>
  <c r="DX30" i="64"/>
  <c r="DW30" i="64"/>
  <c r="DV30" i="64"/>
  <c r="DU30" i="64"/>
  <c r="DT30" i="64"/>
  <c r="DS30" i="64"/>
  <c r="DR30" i="64"/>
  <c r="DQ30" i="64"/>
  <c r="DP30" i="64"/>
  <c r="DO30" i="64"/>
  <c r="GP29" i="64"/>
  <c r="GN29" i="64"/>
  <c r="GM29" i="64"/>
  <c r="GL29" i="64"/>
  <c r="GK29" i="64"/>
  <c r="GJ29" i="64"/>
  <c r="GI29" i="64"/>
  <c r="GH29" i="64"/>
  <c r="GG29" i="64"/>
  <c r="GF29" i="64"/>
  <c r="GE29" i="64"/>
  <c r="GD29" i="64"/>
  <c r="GC29" i="64"/>
  <c r="GB29" i="64"/>
  <c r="GA29" i="64"/>
  <c r="FZ29" i="64"/>
  <c r="FY29" i="64"/>
  <c r="FW29" i="64"/>
  <c r="FU29" i="64"/>
  <c r="FT29" i="64"/>
  <c r="FS29" i="64"/>
  <c r="FQ29" i="64"/>
  <c r="FO29" i="64"/>
  <c r="FM29" i="64"/>
  <c r="FK29" i="64"/>
  <c r="FJ29" i="64"/>
  <c r="FI29" i="64"/>
  <c r="FH29" i="64"/>
  <c r="FG29" i="64"/>
  <c r="FF29" i="64"/>
  <c r="FE29" i="64"/>
  <c r="FD29" i="64"/>
  <c r="FC29" i="64"/>
  <c r="FB29" i="64"/>
  <c r="FA29" i="64"/>
  <c r="EZ29" i="64"/>
  <c r="EY29" i="64"/>
  <c r="EX29" i="64"/>
  <c r="EW29" i="64"/>
  <c r="EV29" i="64"/>
  <c r="EU29" i="64"/>
  <c r="ET29" i="64"/>
  <c r="ES29" i="64"/>
  <c r="ER29" i="64"/>
  <c r="EQ29" i="64"/>
  <c r="EP29" i="64"/>
  <c r="EO29" i="64"/>
  <c r="EN29" i="64"/>
  <c r="EM29" i="64"/>
  <c r="EL29" i="64"/>
  <c r="EK29" i="64"/>
  <c r="EJ29" i="64"/>
  <c r="EI29" i="64"/>
  <c r="EH29" i="64"/>
  <c r="EG29" i="64"/>
  <c r="EF29" i="64"/>
  <c r="EE29" i="64"/>
  <c r="ED29" i="64"/>
  <c r="EC29" i="64"/>
  <c r="EB29" i="64"/>
  <c r="EA29" i="64"/>
  <c r="DZ29" i="64"/>
  <c r="DY29" i="64"/>
  <c r="DX29" i="64"/>
  <c r="DW29" i="64"/>
  <c r="DV29" i="64"/>
  <c r="DU29" i="64"/>
  <c r="DT29" i="64"/>
  <c r="DS29" i="64"/>
  <c r="DR29" i="64"/>
  <c r="DQ29" i="64"/>
  <c r="DP29" i="64"/>
  <c r="DO29" i="64"/>
  <c r="GP28" i="64"/>
  <c r="GN28" i="64"/>
  <c r="GM28" i="64"/>
  <c r="GL28" i="64"/>
  <c r="GK28" i="64"/>
  <c r="GJ28" i="64"/>
  <c r="GI28" i="64"/>
  <c r="GH28" i="64"/>
  <c r="GG28" i="64"/>
  <c r="GF28" i="64"/>
  <c r="GE28" i="64"/>
  <c r="GD28" i="64"/>
  <c r="GC28" i="64"/>
  <c r="GB28" i="64"/>
  <c r="GA28" i="64"/>
  <c r="FZ28" i="64"/>
  <c r="FY28" i="64"/>
  <c r="FW28" i="64"/>
  <c r="FU28" i="64"/>
  <c r="FT28" i="64"/>
  <c r="FS28" i="64"/>
  <c r="FQ28" i="64"/>
  <c r="FO28" i="64"/>
  <c r="FM28" i="64"/>
  <c r="FK28" i="64"/>
  <c r="FJ28" i="64"/>
  <c r="FI28" i="64"/>
  <c r="FH28" i="64"/>
  <c r="FG28" i="64"/>
  <c r="FF28" i="64"/>
  <c r="FE28" i="64"/>
  <c r="FD28" i="64"/>
  <c r="FC28" i="64"/>
  <c r="FB28" i="64"/>
  <c r="FA28" i="64"/>
  <c r="EZ28" i="64"/>
  <c r="EY28" i="64"/>
  <c r="EX28" i="64"/>
  <c r="EW28" i="64"/>
  <c r="EV28" i="64"/>
  <c r="EU28" i="64"/>
  <c r="ET28" i="64"/>
  <c r="ES28" i="64"/>
  <c r="ER28" i="64"/>
  <c r="EQ28" i="64"/>
  <c r="EP28" i="64"/>
  <c r="EO28" i="64"/>
  <c r="EN28" i="64"/>
  <c r="EM28" i="64"/>
  <c r="EL28" i="64"/>
  <c r="EK28" i="64"/>
  <c r="EJ28" i="64"/>
  <c r="EI28" i="64"/>
  <c r="EH28" i="64"/>
  <c r="EG28" i="64"/>
  <c r="EF28" i="64"/>
  <c r="EE28" i="64"/>
  <c r="ED28" i="64"/>
  <c r="EC28" i="64"/>
  <c r="EB28" i="64"/>
  <c r="EA28" i="64"/>
  <c r="DZ28" i="64"/>
  <c r="DY28" i="64"/>
  <c r="DX28" i="64"/>
  <c r="DW28" i="64"/>
  <c r="DV28" i="64"/>
  <c r="DU28" i="64"/>
  <c r="DT28" i="64"/>
  <c r="DS28" i="64"/>
  <c r="DR28" i="64"/>
  <c r="DQ28" i="64"/>
  <c r="DP28" i="64"/>
  <c r="DO28" i="64"/>
  <c r="GP27" i="64"/>
  <c r="GN27" i="64"/>
  <c r="GM27" i="64"/>
  <c r="GL27" i="64"/>
  <c r="GK27" i="64"/>
  <c r="GJ27" i="64"/>
  <c r="GI27" i="64"/>
  <c r="GH27" i="64"/>
  <c r="GG27" i="64"/>
  <c r="GF27" i="64"/>
  <c r="GE27" i="64"/>
  <c r="GD27" i="64"/>
  <c r="GC27" i="64"/>
  <c r="GB27" i="64"/>
  <c r="GA27" i="64"/>
  <c r="FZ27" i="64"/>
  <c r="FY27" i="64"/>
  <c r="FW27" i="64"/>
  <c r="FU27" i="64"/>
  <c r="FT27" i="64"/>
  <c r="FS27" i="64"/>
  <c r="FQ27" i="64"/>
  <c r="FM27" i="64"/>
  <c r="FJ27" i="64"/>
  <c r="FI27" i="64"/>
  <c r="FH27" i="64"/>
  <c r="FG27" i="64"/>
  <c r="FF27" i="64"/>
  <c r="FE27" i="64"/>
  <c r="FD27" i="64"/>
  <c r="FC27" i="64"/>
  <c r="FB27" i="64"/>
  <c r="FA27" i="64"/>
  <c r="EZ27" i="64"/>
  <c r="EX27" i="64"/>
  <c r="EW27" i="64"/>
  <c r="ET27" i="64"/>
  <c r="ES27" i="64"/>
  <c r="ER27" i="64"/>
  <c r="EP27" i="64"/>
  <c r="EO27" i="64"/>
  <c r="EL27" i="64"/>
  <c r="EK27" i="64"/>
  <c r="EJ27" i="64"/>
  <c r="EH27" i="64"/>
  <c r="EG27" i="64"/>
  <c r="ED27" i="64"/>
  <c r="EC27" i="64"/>
  <c r="EB27" i="64"/>
  <c r="EA27" i="64"/>
  <c r="DY27" i="64"/>
  <c r="DW27" i="64"/>
  <c r="DV27" i="64"/>
  <c r="DU27" i="64"/>
  <c r="DT27" i="64"/>
  <c r="DS27" i="64"/>
  <c r="DQ27" i="64"/>
  <c r="DO27" i="64"/>
  <c r="GP26" i="64"/>
  <c r="GN26" i="64"/>
  <c r="GM26" i="64"/>
  <c r="GL26" i="64"/>
  <c r="GK26" i="64"/>
  <c r="GJ26" i="64"/>
  <c r="GI26" i="64"/>
  <c r="GH26" i="64"/>
  <c r="GG26" i="64"/>
  <c r="GF26" i="64"/>
  <c r="GE26" i="64"/>
  <c r="GD26" i="64"/>
  <c r="GC26" i="64"/>
  <c r="GB26" i="64"/>
  <c r="GA26" i="64"/>
  <c r="FZ26" i="64"/>
  <c r="FY26" i="64"/>
  <c r="FW26" i="64"/>
  <c r="FU26" i="64"/>
  <c r="FT26" i="64"/>
  <c r="FS26" i="64"/>
  <c r="FQ26" i="64"/>
  <c r="FM26" i="64"/>
  <c r="FJ26" i="64"/>
  <c r="FI26" i="64"/>
  <c r="FH26" i="64"/>
  <c r="FG26" i="64"/>
  <c r="FF26" i="64"/>
  <c r="FE26" i="64"/>
  <c r="FD26" i="64"/>
  <c r="FC26" i="64"/>
  <c r="FB26" i="64"/>
  <c r="FA26" i="64"/>
  <c r="EZ26" i="64"/>
  <c r="EX26" i="64"/>
  <c r="EW26" i="64"/>
  <c r="ET26" i="64"/>
  <c r="ES26" i="64"/>
  <c r="ER26" i="64"/>
  <c r="EP26" i="64"/>
  <c r="EO26" i="64"/>
  <c r="EL26" i="64"/>
  <c r="EK26" i="64"/>
  <c r="EJ26" i="64"/>
  <c r="EH26" i="64"/>
  <c r="EG26" i="64"/>
  <c r="ED26" i="64"/>
  <c r="EC26" i="64"/>
  <c r="EB26" i="64"/>
  <c r="EA26" i="64"/>
  <c r="DY26" i="64"/>
  <c r="DW26" i="64"/>
  <c r="DV26" i="64"/>
  <c r="DU26" i="64"/>
  <c r="DT26" i="64"/>
  <c r="DS26" i="64"/>
  <c r="DQ26" i="64"/>
  <c r="DO26" i="64"/>
  <c r="GN25" i="64"/>
  <c r="GM25" i="64"/>
  <c r="GL25" i="64"/>
  <c r="GK25" i="64"/>
  <c r="GJ25" i="64"/>
  <c r="FQ25" i="64"/>
  <c r="ET25" i="64"/>
  <c r="ES25" i="64"/>
  <c r="EL25" i="64"/>
  <c r="EK25" i="64"/>
  <c r="EC25" i="64"/>
  <c r="EA25" i="64"/>
  <c r="DY25" i="64"/>
  <c r="DW25" i="64"/>
  <c r="DU25" i="64"/>
  <c r="DS25" i="64"/>
  <c r="DQ25" i="64"/>
  <c r="DO25" i="64"/>
  <c r="GN24" i="64"/>
  <c r="GM24" i="64"/>
  <c r="GL24" i="64"/>
  <c r="GK24" i="64"/>
  <c r="GJ24" i="64"/>
  <c r="FQ24" i="64"/>
  <c r="ET24" i="64"/>
  <c r="ES24" i="64"/>
  <c r="EL24" i="64"/>
  <c r="EK24" i="64"/>
  <c r="EC24" i="64"/>
  <c r="EA24" i="64"/>
  <c r="DY24" i="64"/>
  <c r="DW24" i="64"/>
  <c r="DU24" i="64"/>
  <c r="DS24" i="64"/>
  <c r="DQ24" i="64"/>
  <c r="DO24" i="64"/>
  <c r="GP23" i="64"/>
  <c r="GN23" i="64"/>
  <c r="GM23" i="64"/>
  <c r="GL23" i="64"/>
  <c r="GK23" i="64"/>
  <c r="GJ23" i="64"/>
  <c r="GI23" i="64"/>
  <c r="GH23" i="64"/>
  <c r="GG23" i="64"/>
  <c r="GF23" i="64"/>
  <c r="GE23" i="64"/>
  <c r="GD23" i="64"/>
  <c r="GC23" i="64"/>
  <c r="GB23" i="64"/>
  <c r="GA23" i="64"/>
  <c r="FZ23" i="64"/>
  <c r="FY23" i="64"/>
  <c r="FW23" i="64"/>
  <c r="FU23" i="64"/>
  <c r="FT23" i="64"/>
  <c r="FS23" i="64"/>
  <c r="FQ23" i="64"/>
  <c r="FO23" i="64"/>
  <c r="FM23" i="64"/>
  <c r="FK23" i="64"/>
  <c r="FJ23" i="64"/>
  <c r="FI23" i="64"/>
  <c r="FH23" i="64"/>
  <c r="FG23" i="64"/>
  <c r="FF23" i="64"/>
  <c r="FE23" i="64"/>
  <c r="FD23" i="64"/>
  <c r="FC23" i="64"/>
  <c r="FB23" i="64"/>
  <c r="FA23" i="64"/>
  <c r="EZ23" i="64"/>
  <c r="EY23" i="64"/>
  <c r="EX23" i="64"/>
  <c r="EW23" i="64"/>
  <c r="EV23" i="64"/>
  <c r="EU23" i="64"/>
  <c r="ET23" i="64"/>
  <c r="ES23" i="64"/>
  <c r="ER23" i="64"/>
  <c r="EQ23" i="64"/>
  <c r="EP23" i="64"/>
  <c r="EO23" i="64"/>
  <c r="EN23" i="64"/>
  <c r="EM23" i="64"/>
  <c r="EL23" i="64"/>
  <c r="EK23" i="64"/>
  <c r="EJ23" i="64"/>
  <c r="EI23" i="64"/>
  <c r="EH23" i="64"/>
  <c r="EG23" i="64"/>
  <c r="EF23" i="64"/>
  <c r="EE23" i="64"/>
  <c r="ED23" i="64"/>
  <c r="EC23" i="64"/>
  <c r="EB23" i="64"/>
  <c r="EA23" i="64"/>
  <c r="DZ23" i="64"/>
  <c r="DY23" i="64"/>
  <c r="DX23" i="64"/>
  <c r="DW23" i="64"/>
  <c r="DV23" i="64"/>
  <c r="DU23" i="64"/>
  <c r="DT23" i="64"/>
  <c r="DS23" i="64"/>
  <c r="DR23" i="64"/>
  <c r="DQ23" i="64"/>
  <c r="DP23" i="64"/>
  <c r="DO23" i="64"/>
  <c r="GP22" i="64"/>
  <c r="GN22" i="64"/>
  <c r="GM22" i="64"/>
  <c r="GL22" i="64"/>
  <c r="GK22" i="64"/>
  <c r="GJ22" i="64"/>
  <c r="GI22" i="64"/>
  <c r="GH22" i="64"/>
  <c r="GG22" i="64"/>
  <c r="GF22" i="64"/>
  <c r="GE22" i="64"/>
  <c r="GD22" i="64"/>
  <c r="GC22" i="64"/>
  <c r="GB22" i="64"/>
  <c r="GA22" i="64"/>
  <c r="FZ22" i="64"/>
  <c r="FY22" i="64"/>
  <c r="FW22" i="64"/>
  <c r="FU22" i="64"/>
  <c r="FT22" i="64"/>
  <c r="FS22" i="64"/>
  <c r="FQ22" i="64"/>
  <c r="FO22" i="64"/>
  <c r="FM22" i="64"/>
  <c r="FK22" i="64"/>
  <c r="FJ22" i="64"/>
  <c r="FI22" i="64"/>
  <c r="FH22" i="64"/>
  <c r="FG22" i="64"/>
  <c r="FF22" i="64"/>
  <c r="FE22" i="64"/>
  <c r="FD22" i="64"/>
  <c r="FC22" i="64"/>
  <c r="FB22" i="64"/>
  <c r="FA22" i="64"/>
  <c r="EZ22" i="64"/>
  <c r="EY22" i="64"/>
  <c r="EX22" i="64"/>
  <c r="EW22" i="64"/>
  <c r="EV22" i="64"/>
  <c r="EU22" i="64"/>
  <c r="ET22" i="64"/>
  <c r="ES22" i="64"/>
  <c r="ER22" i="64"/>
  <c r="EQ22" i="64"/>
  <c r="EP22" i="64"/>
  <c r="EO22" i="64"/>
  <c r="EN22" i="64"/>
  <c r="EM22" i="64"/>
  <c r="EL22" i="64"/>
  <c r="EK22" i="64"/>
  <c r="EJ22" i="64"/>
  <c r="EI22" i="64"/>
  <c r="EH22" i="64"/>
  <c r="EG22" i="64"/>
  <c r="EF22" i="64"/>
  <c r="EE22" i="64"/>
  <c r="ED22" i="64"/>
  <c r="EC22" i="64"/>
  <c r="EB22" i="64"/>
  <c r="EA22" i="64"/>
  <c r="DZ22" i="64"/>
  <c r="DY22" i="64"/>
  <c r="DX22" i="64"/>
  <c r="DW22" i="64"/>
  <c r="DV22" i="64"/>
  <c r="DU22" i="64"/>
  <c r="DT22" i="64"/>
  <c r="DS22" i="64"/>
  <c r="DR22" i="64"/>
  <c r="DQ22" i="64"/>
  <c r="DP22" i="64"/>
  <c r="DO22" i="64"/>
  <c r="GP21" i="64"/>
  <c r="GN21" i="64"/>
  <c r="GM21" i="64"/>
  <c r="GL21" i="64"/>
  <c r="GK21" i="64"/>
  <c r="GJ21" i="64"/>
  <c r="GI21" i="64"/>
  <c r="GH21" i="64"/>
  <c r="GG21" i="64"/>
  <c r="GF21" i="64"/>
  <c r="GE21" i="64"/>
  <c r="GD21" i="64"/>
  <c r="GC21" i="64"/>
  <c r="GB21" i="64"/>
  <c r="GA21" i="64"/>
  <c r="FZ21" i="64"/>
  <c r="FY21" i="64"/>
  <c r="FW21" i="64"/>
  <c r="FU21" i="64"/>
  <c r="FT21" i="64"/>
  <c r="FS21" i="64"/>
  <c r="FQ21" i="64"/>
  <c r="FO21" i="64"/>
  <c r="FM21" i="64"/>
  <c r="FK21" i="64"/>
  <c r="FJ21" i="64"/>
  <c r="FI21" i="64"/>
  <c r="FH21" i="64"/>
  <c r="FG21" i="64"/>
  <c r="FF21" i="64"/>
  <c r="FE21" i="64"/>
  <c r="FD21" i="64"/>
  <c r="FC21" i="64"/>
  <c r="FB21" i="64"/>
  <c r="FA21" i="64"/>
  <c r="EZ21" i="64"/>
  <c r="EY21" i="64"/>
  <c r="EX21" i="64"/>
  <c r="EW21" i="64"/>
  <c r="EV21" i="64"/>
  <c r="EU21" i="64"/>
  <c r="ET21" i="64"/>
  <c r="ES21" i="64"/>
  <c r="ER21" i="64"/>
  <c r="EQ21" i="64"/>
  <c r="EP21" i="64"/>
  <c r="EO21" i="64"/>
  <c r="EN21" i="64"/>
  <c r="EM21" i="64"/>
  <c r="EL21" i="64"/>
  <c r="EK21" i="64"/>
  <c r="EJ21" i="64"/>
  <c r="EI21" i="64"/>
  <c r="EH21" i="64"/>
  <c r="EG21" i="64"/>
  <c r="EF21" i="64"/>
  <c r="EE21" i="64"/>
  <c r="ED21" i="64"/>
  <c r="EC21" i="64"/>
  <c r="EB21" i="64"/>
  <c r="EA21" i="64"/>
  <c r="DZ21" i="64"/>
  <c r="DY21" i="64"/>
  <c r="DX21" i="64"/>
  <c r="DW21" i="64"/>
  <c r="DV21" i="64"/>
  <c r="DU21" i="64"/>
  <c r="DT21" i="64"/>
  <c r="DS21" i="64"/>
  <c r="DR21" i="64"/>
  <c r="DQ21" i="64"/>
  <c r="DP21" i="64"/>
  <c r="DO21" i="64"/>
  <c r="GP20" i="64"/>
  <c r="GN20" i="64"/>
  <c r="GM20" i="64"/>
  <c r="GL20" i="64"/>
  <c r="GK20" i="64"/>
  <c r="GJ20" i="64"/>
  <c r="GI20" i="64"/>
  <c r="GH20" i="64"/>
  <c r="GG20" i="64"/>
  <c r="GF20" i="64"/>
  <c r="GE20" i="64"/>
  <c r="GD20" i="64"/>
  <c r="GC20" i="64"/>
  <c r="GB20" i="64"/>
  <c r="GA20" i="64"/>
  <c r="FZ20" i="64"/>
  <c r="FY20" i="64"/>
  <c r="FW20" i="64"/>
  <c r="FU20" i="64"/>
  <c r="FT20" i="64"/>
  <c r="FS20" i="64"/>
  <c r="FQ20" i="64"/>
  <c r="FM20" i="64"/>
  <c r="FJ20" i="64"/>
  <c r="FI20" i="64"/>
  <c r="FH20" i="64"/>
  <c r="FG20" i="64"/>
  <c r="FF20" i="64"/>
  <c r="FE20" i="64"/>
  <c r="FD20" i="64"/>
  <c r="FC20" i="64"/>
  <c r="FB20" i="64"/>
  <c r="FA20" i="64"/>
  <c r="EX20" i="64"/>
  <c r="EW20" i="64"/>
  <c r="ET20" i="64"/>
  <c r="ES20" i="64"/>
  <c r="EP20" i="64"/>
  <c r="EO20" i="64"/>
  <c r="EL20" i="64"/>
  <c r="EK20" i="64"/>
  <c r="EH20" i="64"/>
  <c r="EG20" i="64"/>
  <c r="ED20" i="64"/>
  <c r="EC20" i="64"/>
  <c r="EB20" i="64"/>
  <c r="EA20" i="64"/>
  <c r="DY20" i="64"/>
  <c r="DW20" i="64"/>
  <c r="DV20" i="64"/>
  <c r="DU20" i="64"/>
  <c r="DT20" i="64"/>
  <c r="DS20" i="64"/>
  <c r="DQ20" i="64"/>
  <c r="DO20" i="64"/>
  <c r="GP19" i="64"/>
  <c r="GN19" i="64"/>
  <c r="GM19" i="64"/>
  <c r="GL19" i="64"/>
  <c r="GK19" i="64"/>
  <c r="GJ19" i="64"/>
  <c r="GI19" i="64"/>
  <c r="GH19" i="64"/>
  <c r="GG19" i="64"/>
  <c r="GF19" i="64"/>
  <c r="GE19" i="64"/>
  <c r="GD19" i="64"/>
  <c r="GC19" i="64"/>
  <c r="GB19" i="64"/>
  <c r="GA19" i="64"/>
  <c r="FZ19" i="64"/>
  <c r="FY19" i="64"/>
  <c r="FW19" i="64"/>
  <c r="FU19" i="64"/>
  <c r="FT19" i="64"/>
  <c r="FS19" i="64"/>
  <c r="FQ19" i="64"/>
  <c r="FM19" i="64"/>
  <c r="FJ19" i="64"/>
  <c r="FI19" i="64"/>
  <c r="FH19" i="64"/>
  <c r="FG19" i="64"/>
  <c r="FF19" i="64"/>
  <c r="FE19" i="64"/>
  <c r="FD19" i="64"/>
  <c r="FC19" i="64"/>
  <c r="FB19" i="64"/>
  <c r="FA19" i="64"/>
  <c r="EX19" i="64"/>
  <c r="EW19" i="64"/>
  <c r="ET19" i="64"/>
  <c r="ES19" i="64"/>
  <c r="EP19" i="64"/>
  <c r="EO19" i="64"/>
  <c r="EL19" i="64"/>
  <c r="EK19" i="64"/>
  <c r="EH19" i="64"/>
  <c r="EG19" i="64"/>
  <c r="ED19" i="64"/>
  <c r="EC19" i="64"/>
  <c r="EB19" i="64"/>
  <c r="EA19" i="64"/>
  <c r="DY19" i="64"/>
  <c r="DW19" i="64"/>
  <c r="DV19" i="64"/>
  <c r="DU19" i="64"/>
  <c r="DT19" i="64"/>
  <c r="DS19" i="64"/>
  <c r="DQ19" i="64"/>
  <c r="DO19" i="64"/>
  <c r="GN18" i="64"/>
  <c r="GM18" i="64"/>
  <c r="GL18" i="64"/>
  <c r="GK18" i="64"/>
  <c r="GJ18" i="64"/>
  <c r="FQ18" i="64"/>
  <c r="ET18" i="64"/>
  <c r="ES18" i="64"/>
  <c r="EL18" i="64"/>
  <c r="EK18" i="64"/>
  <c r="EC18" i="64"/>
  <c r="EA18" i="64"/>
  <c r="DY18" i="64"/>
  <c r="DW18" i="64"/>
  <c r="DU18" i="64"/>
  <c r="DS18" i="64"/>
  <c r="DQ18" i="64"/>
  <c r="DO18" i="64"/>
  <c r="GN17" i="64"/>
  <c r="GM17" i="64"/>
  <c r="GL17" i="64"/>
  <c r="GK17" i="64"/>
  <c r="GJ17" i="64"/>
  <c r="FQ17" i="64"/>
  <c r="ET17" i="64"/>
  <c r="ES17" i="64"/>
  <c r="EL17" i="64"/>
  <c r="EK17" i="64"/>
  <c r="EC17" i="64"/>
  <c r="EA17" i="64"/>
  <c r="DY17" i="64"/>
  <c r="DW17" i="64"/>
  <c r="DU17" i="64"/>
  <c r="DS17" i="64"/>
  <c r="DQ17" i="64"/>
  <c r="DO17" i="64"/>
  <c r="GP16" i="64"/>
  <c r="GN16" i="64"/>
  <c r="GM16" i="64"/>
  <c r="GL16" i="64"/>
  <c r="GK16" i="64"/>
  <c r="GJ16" i="64"/>
  <c r="GI16" i="64"/>
  <c r="GH16" i="64"/>
  <c r="GG16" i="64"/>
  <c r="GF16" i="64"/>
  <c r="GE16" i="64"/>
  <c r="GD16" i="64"/>
  <c r="GC16" i="64"/>
  <c r="GB16" i="64"/>
  <c r="GA16" i="64"/>
  <c r="FZ16" i="64"/>
  <c r="FY16" i="64"/>
  <c r="FW16" i="64"/>
  <c r="FU16" i="64"/>
  <c r="FT16" i="64"/>
  <c r="FS16" i="64"/>
  <c r="FQ16" i="64"/>
  <c r="FO16" i="64"/>
  <c r="FM16" i="64"/>
  <c r="FK16" i="64"/>
  <c r="FJ16" i="64"/>
  <c r="FI16" i="64"/>
  <c r="FH16" i="64"/>
  <c r="FG16" i="64"/>
  <c r="FF16" i="64"/>
  <c r="FE16" i="64"/>
  <c r="FD16" i="64"/>
  <c r="FC16" i="64"/>
  <c r="FB16" i="64"/>
  <c r="FA16" i="64"/>
  <c r="EZ16" i="64"/>
  <c r="EY16" i="64"/>
  <c r="EX16" i="64"/>
  <c r="EW16" i="64"/>
  <c r="EV16" i="64"/>
  <c r="EU16" i="64"/>
  <c r="ET16" i="64"/>
  <c r="ES16" i="64"/>
  <c r="ER16" i="64"/>
  <c r="EQ16" i="64"/>
  <c r="EP16" i="64"/>
  <c r="EO16" i="64"/>
  <c r="EN16" i="64"/>
  <c r="EM16" i="64"/>
  <c r="EL16" i="64"/>
  <c r="EK16" i="64"/>
  <c r="EJ16" i="64"/>
  <c r="EI16" i="64"/>
  <c r="EH16" i="64"/>
  <c r="EG16" i="64"/>
  <c r="EF16" i="64"/>
  <c r="EE16" i="64"/>
  <c r="ED16" i="64"/>
  <c r="EC16" i="64"/>
  <c r="EB16" i="64"/>
  <c r="EA16" i="64"/>
  <c r="DZ16" i="64"/>
  <c r="DY16" i="64"/>
  <c r="DX16" i="64"/>
  <c r="DW16" i="64"/>
  <c r="DV16" i="64"/>
  <c r="DU16" i="64"/>
  <c r="DT16" i="64"/>
  <c r="DS16" i="64"/>
  <c r="DR16" i="64"/>
  <c r="DQ16" i="64"/>
  <c r="DP16" i="64"/>
  <c r="DO16" i="64"/>
  <c r="GP15" i="64"/>
  <c r="GN15" i="64"/>
  <c r="GM15" i="64"/>
  <c r="GL15" i="64"/>
  <c r="GK15" i="64"/>
  <c r="GJ15" i="64"/>
  <c r="GI15" i="64"/>
  <c r="GH15" i="64"/>
  <c r="GG15" i="64"/>
  <c r="GF15" i="64"/>
  <c r="GE15" i="64"/>
  <c r="GD15" i="64"/>
  <c r="GC15" i="64"/>
  <c r="GB15" i="64"/>
  <c r="GA15" i="64"/>
  <c r="FZ15" i="64"/>
  <c r="FY15" i="64"/>
  <c r="FW15" i="64"/>
  <c r="FU15" i="64"/>
  <c r="FT15" i="64"/>
  <c r="FS15" i="64"/>
  <c r="FQ15" i="64"/>
  <c r="FO15" i="64"/>
  <c r="FM15" i="64"/>
  <c r="FK15" i="64"/>
  <c r="FJ15" i="64"/>
  <c r="FI15" i="64"/>
  <c r="FH15" i="64"/>
  <c r="FG15" i="64"/>
  <c r="FF15" i="64"/>
  <c r="FE15" i="64"/>
  <c r="FD15" i="64"/>
  <c r="FC15" i="64"/>
  <c r="FB15" i="64"/>
  <c r="FA15" i="64"/>
  <c r="EZ15" i="64"/>
  <c r="EY15" i="64"/>
  <c r="EX15" i="64"/>
  <c r="EW15" i="64"/>
  <c r="EV15" i="64"/>
  <c r="EU15" i="64"/>
  <c r="ET15" i="64"/>
  <c r="ES15" i="64"/>
  <c r="ER15" i="64"/>
  <c r="EQ15" i="64"/>
  <c r="EP15" i="64"/>
  <c r="EO15" i="64"/>
  <c r="EN15" i="64"/>
  <c r="EM15" i="64"/>
  <c r="EL15" i="64"/>
  <c r="EK15" i="64"/>
  <c r="EJ15" i="64"/>
  <c r="EI15" i="64"/>
  <c r="EH15" i="64"/>
  <c r="EG15" i="64"/>
  <c r="EF15" i="64"/>
  <c r="EE15" i="64"/>
  <c r="ED15" i="64"/>
  <c r="EC15" i="64"/>
  <c r="EB15" i="64"/>
  <c r="EA15" i="64"/>
  <c r="DZ15" i="64"/>
  <c r="DY15" i="64"/>
  <c r="DX15" i="64"/>
  <c r="DW15" i="64"/>
  <c r="DV15" i="64"/>
  <c r="DU15" i="64"/>
  <c r="DT15" i="64"/>
  <c r="DS15" i="64"/>
  <c r="DR15" i="64"/>
  <c r="DQ15" i="64"/>
  <c r="DP15" i="64"/>
  <c r="DO15" i="64"/>
  <c r="GP14" i="64"/>
  <c r="GN14" i="64"/>
  <c r="GM14" i="64"/>
  <c r="GL14" i="64"/>
  <c r="GK14" i="64"/>
  <c r="GI14" i="64"/>
  <c r="GH14" i="64"/>
  <c r="GG14" i="64"/>
  <c r="GF14" i="64"/>
  <c r="GE14" i="64"/>
  <c r="GD14" i="64"/>
  <c r="GC14" i="64"/>
  <c r="GB14" i="64"/>
  <c r="GA14" i="64"/>
  <c r="FZ14" i="64"/>
  <c r="FY14" i="64"/>
  <c r="FW14" i="64"/>
  <c r="FU14" i="64"/>
  <c r="FT14" i="64"/>
  <c r="FS14" i="64"/>
  <c r="FR14" i="64"/>
  <c r="FQ14" i="64"/>
  <c r="FP14" i="64"/>
  <c r="FO14" i="64"/>
  <c r="FN14" i="64"/>
  <c r="FM14" i="64"/>
  <c r="FL14" i="64"/>
  <c r="FK14" i="64"/>
  <c r="FJ14" i="64"/>
  <c r="FI14" i="64"/>
  <c r="FH14" i="64"/>
  <c r="FG14" i="64"/>
  <c r="FF14" i="64"/>
  <c r="FE14" i="64"/>
  <c r="FD14" i="64"/>
  <c r="FC14" i="64"/>
  <c r="FB14" i="64"/>
  <c r="FA14" i="64"/>
  <c r="EZ14" i="64"/>
  <c r="EY14" i="64"/>
  <c r="EX14" i="64"/>
  <c r="EW14" i="64"/>
  <c r="EV14" i="64"/>
  <c r="EU14" i="64"/>
  <c r="ET14" i="64"/>
  <c r="ES14" i="64"/>
  <c r="ER14" i="64"/>
  <c r="EQ14" i="64"/>
  <c r="EP14" i="64"/>
  <c r="EO14" i="64"/>
  <c r="EN14" i="64"/>
  <c r="EM14" i="64"/>
  <c r="EL14" i="64"/>
  <c r="EK14" i="64"/>
  <c r="EJ14" i="64"/>
  <c r="EI14" i="64"/>
  <c r="EH14" i="64"/>
  <c r="EG14" i="64"/>
  <c r="EF14" i="64"/>
  <c r="EE14" i="64"/>
  <c r="ED14" i="64"/>
  <c r="EC14" i="64"/>
  <c r="EB14" i="64"/>
  <c r="EA14" i="64"/>
  <c r="DZ14" i="64"/>
  <c r="DY14" i="64"/>
  <c r="DX14" i="64"/>
  <c r="DW14" i="64"/>
  <c r="DV14" i="64"/>
  <c r="DU14" i="64"/>
  <c r="DT14" i="64"/>
  <c r="DS14" i="64"/>
  <c r="DR14" i="64"/>
  <c r="DQ14" i="64"/>
  <c r="DP14" i="64"/>
  <c r="DO14" i="64"/>
  <c r="FG12" i="64"/>
  <c r="ED12" i="64"/>
  <c r="EB12" i="64"/>
  <c r="DV12" i="64"/>
  <c r="DT12" i="64"/>
  <c r="EF44" i="69" l="1"/>
  <c r="EZ44" i="69"/>
  <c r="EQ44" i="69"/>
  <c r="FK44" i="69"/>
  <c r="EI44" i="69"/>
  <c r="FO44" i="69"/>
  <c r="DP44" i="69"/>
  <c r="DZ44" i="69"/>
  <c r="EJ44" i="69"/>
  <c r="EU44" i="69"/>
  <c r="DR44" i="69"/>
  <c r="EV44" i="69"/>
  <c r="EM44" i="69"/>
  <c r="EN44" i="69"/>
  <c r="EE44" i="69"/>
  <c r="DX22" i="70"/>
  <c r="ER22" i="70"/>
  <c r="DP43" i="70"/>
  <c r="DZ43" i="70"/>
  <c r="EJ43" i="70"/>
  <c r="EN22" i="70"/>
  <c r="EF43" i="70"/>
  <c r="EZ43" i="70"/>
  <c r="EE22" i="70"/>
  <c r="EY22" i="70"/>
  <c r="EQ43" i="70"/>
  <c r="FK43" i="70"/>
  <c r="EF22" i="70"/>
  <c r="DX43" i="70"/>
  <c r="DR31" i="72"/>
  <c r="EV31" i="72"/>
  <c r="GO20" i="72"/>
  <c r="DX31" i="72"/>
  <c r="ER31" i="72"/>
  <c r="DP31" i="72"/>
  <c r="DZ31" i="72"/>
  <c r="EJ31" i="72"/>
  <c r="GO19" i="73"/>
  <c r="GO16" i="72"/>
  <c r="GO15" i="70"/>
  <c r="EJ21" i="70"/>
  <c r="FO41" i="70"/>
  <c r="EI21" i="70"/>
  <c r="DP22" i="69"/>
  <c r="DZ22" i="69"/>
  <c r="EJ22" i="69"/>
  <c r="EU22" i="69"/>
  <c r="EM22" i="69"/>
  <c r="DX32" i="69"/>
  <c r="EN22" i="69"/>
  <c r="EN32" i="69"/>
  <c r="EE22" i="69"/>
  <c r="EY22" i="69"/>
  <c r="EF22" i="69"/>
  <c r="EZ22" i="69"/>
  <c r="DP32" i="69"/>
  <c r="EQ22" i="69"/>
  <c r="FK22" i="69"/>
  <c r="DX22" i="69"/>
  <c r="ER22" i="69"/>
  <c r="EI22" i="69"/>
  <c r="EF32" i="69"/>
  <c r="EV32" i="69"/>
  <c r="DX25" i="68"/>
  <c r="ER25" i="68"/>
  <c r="EI25" i="68"/>
  <c r="FO25" i="68"/>
  <c r="FO19" i="68"/>
  <c r="DP25" i="68"/>
  <c r="DZ25" i="68"/>
  <c r="EJ25" i="68"/>
  <c r="EU25" i="68"/>
  <c r="DR25" i="68"/>
  <c r="EV25" i="68"/>
  <c r="EN25" i="68"/>
  <c r="EE25" i="68"/>
  <c r="EY25" i="68"/>
  <c r="EF25" i="68"/>
  <c r="EZ25" i="68"/>
  <c r="EQ25" i="68"/>
  <c r="GO14" i="68"/>
  <c r="DR32" i="72"/>
  <c r="EU32" i="72"/>
  <c r="FO32" i="72"/>
  <c r="EE32" i="72"/>
  <c r="EM32" i="72"/>
  <c r="EV32" i="72"/>
  <c r="GO32" i="72"/>
  <c r="I32" i="72" s="1"/>
  <c r="DZ25" i="72"/>
  <c r="EI25" i="72"/>
  <c r="EF23" i="70"/>
  <c r="EY14" i="70"/>
  <c r="EN14" i="70"/>
  <c r="EQ14" i="70"/>
  <c r="EV14" i="70"/>
  <c r="DZ31" i="68"/>
  <c r="ER30" i="68"/>
  <c r="EJ30" i="68"/>
  <c r="GO22" i="67"/>
  <c r="I22" i="67" s="1"/>
  <c r="FO22" i="67" s="1"/>
  <c r="EJ20" i="65"/>
  <c r="ER20" i="65"/>
  <c r="EZ20" i="65"/>
  <c r="EE20" i="65"/>
  <c r="EM20" i="65"/>
  <c r="EU20" i="65"/>
  <c r="EE44" i="64"/>
  <c r="EM44" i="64"/>
  <c r="EU44" i="64"/>
  <c r="FK44" i="64"/>
  <c r="DP44" i="64"/>
  <c r="DX44" i="64"/>
  <c r="EF44" i="64"/>
  <c r="EN44" i="64"/>
  <c r="EV44" i="64"/>
  <c r="FO44" i="64"/>
  <c r="EY44" i="64"/>
  <c r="EJ44" i="64"/>
  <c r="ER44" i="64"/>
  <c r="FO17" i="72"/>
  <c r="DR17" i="72"/>
  <c r="ER14" i="72"/>
  <c r="EZ14" i="72"/>
  <c r="GO14" i="73"/>
  <c r="GO24" i="72"/>
  <c r="EF42" i="72"/>
  <c r="GO36" i="72"/>
  <c r="DX42" i="72"/>
  <c r="EV42" i="72"/>
  <c r="GO39" i="72"/>
  <c r="I39" i="72" s="1"/>
  <c r="DP42" i="72"/>
  <c r="GO43" i="72"/>
  <c r="EN42" i="72"/>
  <c r="DR32" i="71"/>
  <c r="DZ32" i="71"/>
  <c r="EE40" i="71"/>
  <c r="EM40" i="71"/>
  <c r="EU40" i="71"/>
  <c r="FK40" i="71"/>
  <c r="EI32" i="71"/>
  <c r="EQ32" i="71"/>
  <c r="EY32" i="71"/>
  <c r="DP40" i="71"/>
  <c r="DX40" i="71"/>
  <c r="EF40" i="71"/>
  <c r="EN40" i="71"/>
  <c r="EV40" i="71"/>
  <c r="EE24" i="71"/>
  <c r="EM24" i="71"/>
  <c r="EU24" i="71"/>
  <c r="FK24" i="71"/>
  <c r="EJ32" i="71"/>
  <c r="ER32" i="71"/>
  <c r="EZ32" i="71"/>
  <c r="FO40" i="71"/>
  <c r="DP24" i="71"/>
  <c r="DX24" i="71"/>
  <c r="EF24" i="71"/>
  <c r="EN24" i="71"/>
  <c r="EV24" i="71"/>
  <c r="GO28" i="71"/>
  <c r="I28" i="71" s="1"/>
  <c r="DR40" i="71"/>
  <c r="DZ40" i="71"/>
  <c r="FO24" i="71"/>
  <c r="EI40" i="71"/>
  <c r="EQ40" i="71"/>
  <c r="EI24" i="71"/>
  <c r="EQ24" i="71"/>
  <c r="EY24" i="71"/>
  <c r="DP32" i="71"/>
  <c r="DX32" i="71"/>
  <c r="EF32" i="71"/>
  <c r="EN32" i="71"/>
  <c r="EV32" i="71"/>
  <c r="EJ24" i="71"/>
  <c r="ER24" i="71"/>
  <c r="DP26" i="70"/>
  <c r="DX26" i="70"/>
  <c r="EF26" i="70"/>
  <c r="EN26" i="70"/>
  <c r="EV26" i="70"/>
  <c r="EI42" i="70"/>
  <c r="EQ42" i="70"/>
  <c r="EY42" i="70"/>
  <c r="FO26" i="70"/>
  <c r="EZ34" i="70"/>
  <c r="EJ42" i="70"/>
  <c r="ER42" i="70"/>
  <c r="EZ42" i="70"/>
  <c r="DR26" i="70"/>
  <c r="DZ26" i="70"/>
  <c r="GO14" i="70"/>
  <c r="EJ26" i="70"/>
  <c r="ER26" i="70"/>
  <c r="EZ26" i="70"/>
  <c r="ER34" i="70"/>
  <c r="EE42" i="70"/>
  <c r="EM42" i="70"/>
  <c r="EU42" i="70"/>
  <c r="FK42" i="70"/>
  <c r="GO43" i="70"/>
  <c r="GO22" i="70"/>
  <c r="GO23" i="70"/>
  <c r="I23" i="70" s="1"/>
  <c r="FK23" i="70" s="1"/>
  <c r="DP42" i="70"/>
  <c r="DX42" i="70"/>
  <c r="EF42" i="70"/>
  <c r="EN42" i="70"/>
  <c r="EV42" i="70"/>
  <c r="FO42" i="70"/>
  <c r="EE26" i="70"/>
  <c r="EM26" i="70"/>
  <c r="EU26" i="70"/>
  <c r="EJ34" i="70"/>
  <c r="DR42" i="70"/>
  <c r="DR29" i="69"/>
  <c r="DZ29" i="69"/>
  <c r="GO32" i="69"/>
  <c r="EE37" i="69"/>
  <c r="EM37" i="69"/>
  <c r="EU37" i="69"/>
  <c r="FK37" i="69"/>
  <c r="EI29" i="69"/>
  <c r="EQ29" i="69"/>
  <c r="EY29" i="69"/>
  <c r="DP37" i="69"/>
  <c r="DX37" i="69"/>
  <c r="EF37" i="69"/>
  <c r="EN37" i="69"/>
  <c r="EV37" i="69"/>
  <c r="GO16" i="69"/>
  <c r="GO28" i="69"/>
  <c r="GP28" i="69" s="1"/>
  <c r="EJ29" i="69"/>
  <c r="ER29" i="69"/>
  <c r="EZ29" i="69"/>
  <c r="FO37" i="69"/>
  <c r="EI37" i="69"/>
  <c r="EQ37" i="69"/>
  <c r="EY37" i="69"/>
  <c r="EE29" i="69"/>
  <c r="EM29" i="69"/>
  <c r="EU29" i="69"/>
  <c r="FK29" i="69"/>
  <c r="EJ37" i="69"/>
  <c r="ER37" i="69"/>
  <c r="DP29" i="69"/>
  <c r="DX29" i="69"/>
  <c r="EF29" i="69"/>
  <c r="EN29" i="69"/>
  <c r="EV29" i="69"/>
  <c r="GO41" i="69"/>
  <c r="I41" i="69" s="1"/>
  <c r="EX41" i="69" s="1"/>
  <c r="GO43" i="68"/>
  <c r="GO29" i="68"/>
  <c r="DP18" i="67"/>
  <c r="DX18" i="67"/>
  <c r="EF18" i="67"/>
  <c r="EN18" i="67"/>
  <c r="EV18" i="67"/>
  <c r="EJ42" i="67"/>
  <c r="ER42" i="67"/>
  <c r="EZ42" i="67"/>
  <c r="GO43" i="67"/>
  <c r="I43" i="67" s="1"/>
  <c r="DR18" i="67"/>
  <c r="DZ18" i="67"/>
  <c r="DP26" i="67"/>
  <c r="DX26" i="67"/>
  <c r="EF26" i="67"/>
  <c r="EN26" i="67"/>
  <c r="EV26" i="67"/>
  <c r="DP34" i="67"/>
  <c r="DX34" i="67"/>
  <c r="EF34" i="67"/>
  <c r="EN34" i="67"/>
  <c r="EV34" i="67"/>
  <c r="GO17" i="67"/>
  <c r="GH17" i="67" s="1"/>
  <c r="EI18" i="67"/>
  <c r="EQ18" i="67"/>
  <c r="EY18" i="67"/>
  <c r="FO26" i="67"/>
  <c r="FO34" i="67"/>
  <c r="EE42" i="67"/>
  <c r="EM42" i="67"/>
  <c r="EU42" i="67"/>
  <c r="FK42" i="67"/>
  <c r="GO44" i="67"/>
  <c r="I44" i="67" s="1"/>
  <c r="GH44" i="67" s="1"/>
  <c r="EJ18" i="67"/>
  <c r="ER18" i="67"/>
  <c r="EZ18" i="67"/>
  <c r="DR26" i="67"/>
  <c r="DZ26" i="67"/>
  <c r="DR34" i="67"/>
  <c r="DZ34" i="67"/>
  <c r="DP42" i="67"/>
  <c r="DX42" i="67"/>
  <c r="EF42" i="67"/>
  <c r="EN42" i="67"/>
  <c r="EV42" i="67"/>
  <c r="GO20" i="67"/>
  <c r="EI26" i="67"/>
  <c r="EQ26" i="67"/>
  <c r="EY26" i="67"/>
  <c r="GO26" i="67"/>
  <c r="GO28" i="67"/>
  <c r="EI34" i="67"/>
  <c r="EQ34" i="67"/>
  <c r="EY34" i="67"/>
  <c r="GO38" i="67"/>
  <c r="EQ38" i="67" s="1"/>
  <c r="GO40" i="67"/>
  <c r="FO42" i="67"/>
  <c r="EJ26" i="67"/>
  <c r="ER26" i="67"/>
  <c r="EJ34" i="67"/>
  <c r="ER34" i="67"/>
  <c r="DR42" i="67"/>
  <c r="DZ42" i="67"/>
  <c r="EE18" i="67"/>
  <c r="EM18" i="67"/>
  <c r="EU18" i="67"/>
  <c r="EI42" i="67"/>
  <c r="EQ42" i="67"/>
  <c r="FO28" i="66"/>
  <c r="DR28" i="66"/>
  <c r="DZ28" i="66"/>
  <c r="EE44" i="66"/>
  <c r="EM44" i="66"/>
  <c r="EU44" i="66"/>
  <c r="FK44" i="66"/>
  <c r="EI28" i="66"/>
  <c r="EQ28" i="66"/>
  <c r="EY28" i="66"/>
  <c r="GO28" i="66"/>
  <c r="EE36" i="66"/>
  <c r="EM36" i="66"/>
  <c r="EU36" i="66"/>
  <c r="FK36" i="66"/>
  <c r="DP44" i="66"/>
  <c r="DX44" i="66"/>
  <c r="EF44" i="66"/>
  <c r="EN44" i="66"/>
  <c r="EV44" i="66"/>
  <c r="GO15" i="66"/>
  <c r="EJ28" i="66"/>
  <c r="ER28" i="66"/>
  <c r="EZ28" i="66"/>
  <c r="DP36" i="66"/>
  <c r="DX36" i="66"/>
  <c r="EF36" i="66"/>
  <c r="EN36" i="66"/>
  <c r="EV36" i="66"/>
  <c r="FO44" i="66"/>
  <c r="GO29" i="66"/>
  <c r="GO34" i="66"/>
  <c r="EF34" i="66" s="1"/>
  <c r="DR36" i="66"/>
  <c r="DZ36" i="66"/>
  <c r="EI44" i="66"/>
  <c r="EQ44" i="66"/>
  <c r="EY44" i="66"/>
  <c r="GO44" i="66"/>
  <c r="GO18" i="66"/>
  <c r="EE28" i="66"/>
  <c r="EM28" i="66"/>
  <c r="EU28" i="66"/>
  <c r="FK28" i="66"/>
  <c r="EI36" i="66"/>
  <c r="EQ36" i="66"/>
  <c r="EY36" i="66"/>
  <c r="EJ44" i="66"/>
  <c r="ER44" i="66"/>
  <c r="DP28" i="66"/>
  <c r="DX28" i="66"/>
  <c r="EF28" i="66"/>
  <c r="EN28" i="66"/>
  <c r="EJ36" i="66"/>
  <c r="ER36" i="66"/>
  <c r="DP18" i="65"/>
  <c r="DX18" i="65"/>
  <c r="EF18" i="65"/>
  <c r="EN18" i="65"/>
  <c r="EV18" i="65"/>
  <c r="EJ26" i="65"/>
  <c r="ER26" i="65"/>
  <c r="EZ26" i="65"/>
  <c r="DR34" i="65"/>
  <c r="DZ34" i="65"/>
  <c r="FO18" i="65"/>
  <c r="EI34" i="65"/>
  <c r="EQ34" i="65"/>
  <c r="EY34" i="65"/>
  <c r="DR18" i="65"/>
  <c r="DZ18" i="65"/>
  <c r="EJ34" i="65"/>
  <c r="ER34" i="65"/>
  <c r="EZ34" i="65"/>
  <c r="EI18" i="65"/>
  <c r="EQ18" i="65"/>
  <c r="EY18" i="65"/>
  <c r="EE26" i="65"/>
  <c r="EM26" i="65"/>
  <c r="EU26" i="65"/>
  <c r="FK26" i="65"/>
  <c r="EJ18" i="65"/>
  <c r="ER18" i="65"/>
  <c r="EZ18" i="65"/>
  <c r="DP26" i="65"/>
  <c r="DX26" i="65"/>
  <c r="EF26" i="65"/>
  <c r="EN26" i="65"/>
  <c r="EV26" i="65"/>
  <c r="DW44" i="65"/>
  <c r="GO19" i="65"/>
  <c r="DR26" i="65"/>
  <c r="DZ26" i="65"/>
  <c r="DP34" i="65"/>
  <c r="DX34" i="65"/>
  <c r="EF34" i="65"/>
  <c r="EN34" i="65"/>
  <c r="EV34" i="65"/>
  <c r="GO43" i="65"/>
  <c r="EN43" i="65" s="1"/>
  <c r="GO14" i="65"/>
  <c r="I14" i="65" s="1"/>
  <c r="EE18" i="65"/>
  <c r="EM18" i="65"/>
  <c r="EU18" i="65"/>
  <c r="EI26" i="65"/>
  <c r="EQ26" i="65"/>
  <c r="GO26" i="65"/>
  <c r="DR19" i="64"/>
  <c r="DZ19" i="64"/>
  <c r="FO27" i="64"/>
  <c r="EE35" i="64"/>
  <c r="EM35" i="64"/>
  <c r="EU35" i="64"/>
  <c r="FK35" i="64"/>
  <c r="EI19" i="64"/>
  <c r="EQ19" i="64"/>
  <c r="EY19" i="64"/>
  <c r="DR27" i="64"/>
  <c r="DZ27" i="64"/>
  <c r="DP35" i="64"/>
  <c r="DX35" i="64"/>
  <c r="EF35" i="64"/>
  <c r="EN35" i="64"/>
  <c r="EV35" i="64"/>
  <c r="EJ19" i="64"/>
  <c r="ER19" i="64"/>
  <c r="EZ19" i="64"/>
  <c r="EI27" i="64"/>
  <c r="EQ27" i="64"/>
  <c r="EY27" i="64"/>
  <c r="FO35" i="64"/>
  <c r="EE43" i="64"/>
  <c r="EM43" i="64"/>
  <c r="EU43" i="64"/>
  <c r="FK43" i="64"/>
  <c r="EI35" i="64"/>
  <c r="EQ35" i="64"/>
  <c r="EY35" i="64"/>
  <c r="FO43" i="64"/>
  <c r="EE19" i="64"/>
  <c r="EM19" i="64"/>
  <c r="EU19" i="64"/>
  <c r="FK19" i="64"/>
  <c r="EJ35" i="64"/>
  <c r="ER35" i="64"/>
  <c r="DR43" i="64"/>
  <c r="DZ43" i="64"/>
  <c r="DP19" i="64"/>
  <c r="DX19" i="64"/>
  <c r="EF19" i="64"/>
  <c r="EN19" i="64"/>
  <c r="EV19" i="64"/>
  <c r="EE27" i="64"/>
  <c r="EM27" i="64"/>
  <c r="EU27" i="64"/>
  <c r="FK27" i="64"/>
  <c r="EI43" i="64"/>
  <c r="EQ43" i="64"/>
  <c r="EY43" i="64"/>
  <c r="DP27" i="64"/>
  <c r="DX27" i="64"/>
  <c r="EF27" i="64"/>
  <c r="EN27" i="64"/>
  <c r="EJ43" i="64"/>
  <c r="ER43" i="64"/>
  <c r="DY45" i="71"/>
  <c r="GO35" i="73"/>
  <c r="GO31" i="73"/>
  <c r="I31" i="73" s="1"/>
  <c r="FD31" i="73" s="1"/>
  <c r="GO23" i="73"/>
  <c r="I23" i="73" s="1"/>
  <c r="EE23" i="73" s="1"/>
  <c r="EE43" i="72"/>
  <c r="EM43" i="72"/>
  <c r="EU43" i="72"/>
  <c r="FK43" i="72"/>
  <c r="DP43" i="72"/>
  <c r="DX43" i="72"/>
  <c r="EF43" i="72"/>
  <c r="EN43" i="72"/>
  <c r="EV43" i="72"/>
  <c r="DR43" i="72"/>
  <c r="DZ43" i="72"/>
  <c r="EI43" i="72"/>
  <c r="EQ43" i="72"/>
  <c r="EY43" i="72"/>
  <c r="EJ43" i="72"/>
  <c r="ER43" i="72"/>
  <c r="GO42" i="72"/>
  <c r="DP35" i="72"/>
  <c r="DX35" i="72"/>
  <c r="EF35" i="72"/>
  <c r="EN35" i="72"/>
  <c r="EV35" i="72"/>
  <c r="FO35" i="72"/>
  <c r="DR35" i="72"/>
  <c r="DZ35" i="72"/>
  <c r="EU35" i="72"/>
  <c r="EI35" i="72"/>
  <c r="EQ35" i="72"/>
  <c r="EY35" i="72"/>
  <c r="EJ35" i="72"/>
  <c r="ER35" i="72"/>
  <c r="EU28" i="72"/>
  <c r="EJ28" i="72"/>
  <c r="ER28" i="72"/>
  <c r="EZ28" i="72"/>
  <c r="DP28" i="72"/>
  <c r="DX28" i="72"/>
  <c r="EF28" i="72"/>
  <c r="EN28" i="72"/>
  <c r="EV28" i="72"/>
  <c r="FK28" i="72"/>
  <c r="FO28" i="72"/>
  <c r="EE28" i="72"/>
  <c r="DR28" i="72"/>
  <c r="DZ28" i="72"/>
  <c r="GO28" i="72"/>
  <c r="EM28" i="72"/>
  <c r="EI28" i="72"/>
  <c r="EQ28" i="72"/>
  <c r="EM14" i="72"/>
  <c r="DR14" i="72"/>
  <c r="DZ14" i="72"/>
  <c r="EE14" i="72"/>
  <c r="FK14" i="72"/>
  <c r="EI14" i="72"/>
  <c r="EQ14" i="72"/>
  <c r="EY14" i="72"/>
  <c r="FO14" i="72"/>
  <c r="EU14" i="72"/>
  <c r="DP14" i="72"/>
  <c r="DX14" i="72"/>
  <c r="EF14" i="72"/>
  <c r="EN14" i="72"/>
  <c r="GO44" i="71"/>
  <c r="EP44" i="71" s="1"/>
  <c r="DQ45" i="71"/>
  <c r="GO27" i="71"/>
  <c r="FC27" i="71" s="1"/>
  <c r="EE17" i="71"/>
  <c r="EM17" i="71"/>
  <c r="EU17" i="71"/>
  <c r="FK17" i="71"/>
  <c r="DP17" i="71"/>
  <c r="DX17" i="71"/>
  <c r="EF17" i="71"/>
  <c r="EN17" i="71"/>
  <c r="EV17" i="71"/>
  <c r="FO17" i="71"/>
  <c r="DR17" i="71"/>
  <c r="DZ17" i="71"/>
  <c r="EJ17" i="71"/>
  <c r="ER17" i="71"/>
  <c r="DR41" i="70"/>
  <c r="DZ41" i="70"/>
  <c r="EI41" i="70"/>
  <c r="EQ41" i="70"/>
  <c r="EY41" i="70"/>
  <c r="EJ41" i="70"/>
  <c r="ER41" i="70"/>
  <c r="EZ41" i="70"/>
  <c r="EE41" i="70"/>
  <c r="EM41" i="70"/>
  <c r="EU41" i="70"/>
  <c r="FK41" i="70"/>
  <c r="DP41" i="70"/>
  <c r="DX41" i="70"/>
  <c r="EF41" i="70"/>
  <c r="EN41" i="70"/>
  <c r="FO35" i="70"/>
  <c r="DR35" i="70"/>
  <c r="DZ35" i="70"/>
  <c r="EJ35" i="70"/>
  <c r="ER35" i="70"/>
  <c r="EZ35" i="70"/>
  <c r="EE35" i="70"/>
  <c r="EM35" i="70"/>
  <c r="EU35" i="70"/>
  <c r="FK35" i="70"/>
  <c r="DP35" i="70"/>
  <c r="DX35" i="70"/>
  <c r="EF35" i="70"/>
  <c r="EN35" i="70"/>
  <c r="GO20" i="70"/>
  <c r="EI20" i="70"/>
  <c r="EQ20" i="70"/>
  <c r="EY20" i="70"/>
  <c r="EJ20" i="70"/>
  <c r="ER20" i="70"/>
  <c r="EZ20" i="70"/>
  <c r="EE20" i="70"/>
  <c r="EM20" i="70"/>
  <c r="EU20" i="70"/>
  <c r="FK20" i="70"/>
  <c r="DP20" i="70"/>
  <c r="DX20" i="70"/>
  <c r="EF20" i="70"/>
  <c r="EN20" i="70"/>
  <c r="EV20" i="70"/>
  <c r="FE15" i="70"/>
  <c r="EM15" i="70"/>
  <c r="DR14" i="70"/>
  <c r="DZ14" i="70"/>
  <c r="ER14" i="70"/>
  <c r="EZ14" i="70"/>
  <c r="EI14" i="70"/>
  <c r="EJ14" i="70"/>
  <c r="EM14" i="70"/>
  <c r="EU14" i="70"/>
  <c r="FK14" i="70"/>
  <c r="EE14" i="70"/>
  <c r="DP14" i="70"/>
  <c r="DX14" i="70"/>
  <c r="GO43" i="69"/>
  <c r="EE36" i="69"/>
  <c r="EM36" i="69"/>
  <c r="EU36" i="69"/>
  <c r="FK36" i="69"/>
  <c r="DP36" i="69"/>
  <c r="DX36" i="69"/>
  <c r="EF36" i="69"/>
  <c r="EN36" i="69"/>
  <c r="EV36" i="69"/>
  <c r="FO36" i="69"/>
  <c r="DR36" i="69"/>
  <c r="DZ36" i="69"/>
  <c r="EI36" i="69"/>
  <c r="EQ36" i="69"/>
  <c r="EY36" i="69"/>
  <c r="EJ36" i="69"/>
  <c r="ER36" i="69"/>
  <c r="GO33" i="69"/>
  <c r="I33" i="69" s="1"/>
  <c r="EJ32" i="69"/>
  <c r="ER32" i="69"/>
  <c r="EZ32" i="69"/>
  <c r="EE32" i="69"/>
  <c r="EM32" i="69"/>
  <c r="EU32" i="69"/>
  <c r="FK32" i="69"/>
  <c r="FO32" i="69"/>
  <c r="DR32" i="69"/>
  <c r="DZ32" i="69"/>
  <c r="EI32" i="69"/>
  <c r="EQ32" i="69"/>
  <c r="EE24" i="69"/>
  <c r="EM24" i="69"/>
  <c r="EU24" i="69"/>
  <c r="FK24" i="69"/>
  <c r="DP24" i="69"/>
  <c r="DX24" i="69"/>
  <c r="EF24" i="69"/>
  <c r="EN24" i="69"/>
  <c r="EV24" i="69"/>
  <c r="FO24" i="69"/>
  <c r="EI24" i="69"/>
  <c r="EQ24" i="69"/>
  <c r="EY24" i="69"/>
  <c r="EJ24" i="69"/>
  <c r="ER24" i="69"/>
  <c r="GO41" i="68"/>
  <c r="EJ36" i="68"/>
  <c r="ER36" i="68"/>
  <c r="EZ36" i="68"/>
  <c r="EE36" i="68"/>
  <c r="EM36" i="68"/>
  <c r="EU36" i="68"/>
  <c r="FK36" i="68"/>
  <c r="DP36" i="68"/>
  <c r="DX36" i="68"/>
  <c r="EF36" i="68"/>
  <c r="EN36" i="68"/>
  <c r="EV36" i="68"/>
  <c r="FO36" i="68"/>
  <c r="DR36" i="68"/>
  <c r="DZ36" i="68"/>
  <c r="EI36" i="68"/>
  <c r="EQ36" i="68"/>
  <c r="GO33" i="68"/>
  <c r="I33" i="68" s="1"/>
  <c r="DR31" i="68"/>
  <c r="GO25" i="68"/>
  <c r="EJ19" i="68"/>
  <c r="ER19" i="68"/>
  <c r="DP19" i="68"/>
  <c r="DX19" i="68"/>
  <c r="GO42" i="67"/>
  <c r="EE39" i="67"/>
  <c r="EM39" i="67"/>
  <c r="EU39" i="67"/>
  <c r="FK39" i="67"/>
  <c r="DP39" i="67"/>
  <c r="DX39" i="67"/>
  <c r="EF39" i="67"/>
  <c r="EN39" i="67"/>
  <c r="EV39" i="67"/>
  <c r="DR39" i="67"/>
  <c r="DZ39" i="67"/>
  <c r="EI39" i="67"/>
  <c r="EQ39" i="67"/>
  <c r="EY39" i="67"/>
  <c r="EJ39" i="67"/>
  <c r="ER39" i="67"/>
  <c r="EJ35" i="67"/>
  <c r="ER35" i="67"/>
  <c r="EZ35" i="67"/>
  <c r="EE35" i="67"/>
  <c r="EM35" i="67"/>
  <c r="EU35" i="67"/>
  <c r="FK35" i="67"/>
  <c r="DP35" i="67"/>
  <c r="DX35" i="67"/>
  <c r="EF35" i="67"/>
  <c r="EN35" i="67"/>
  <c r="EV35" i="67"/>
  <c r="FO35" i="67"/>
  <c r="DR35" i="67"/>
  <c r="GO34" i="67"/>
  <c r="EE27" i="67"/>
  <c r="EM27" i="67"/>
  <c r="EU27" i="67"/>
  <c r="FK27" i="67"/>
  <c r="DP27" i="67"/>
  <c r="DX27" i="67"/>
  <c r="EF27" i="67"/>
  <c r="EN27" i="67"/>
  <c r="EV27" i="67"/>
  <c r="FO27" i="67"/>
  <c r="DR27" i="67"/>
  <c r="DZ27" i="67"/>
  <c r="EI27" i="67"/>
  <c r="EQ27" i="67"/>
  <c r="EY27" i="67"/>
  <c r="EJ27" i="67"/>
  <c r="ER27" i="67"/>
  <c r="EE25" i="67"/>
  <c r="EM25" i="67"/>
  <c r="EU25" i="67"/>
  <c r="FK25" i="67"/>
  <c r="DP25" i="67"/>
  <c r="DX25" i="67"/>
  <c r="EF25" i="67"/>
  <c r="EN25" i="67"/>
  <c r="EV25" i="67"/>
  <c r="FO25" i="67"/>
  <c r="DR25" i="67"/>
  <c r="DZ25" i="67"/>
  <c r="EI25" i="67"/>
  <c r="EQ25" i="67"/>
  <c r="EY25" i="67"/>
  <c r="EJ25" i="67"/>
  <c r="ER25" i="67"/>
  <c r="EF22" i="67"/>
  <c r="EN22" i="67"/>
  <c r="GO18" i="67"/>
  <c r="GO43" i="66"/>
  <c r="GO33" i="66"/>
  <c r="DP33" i="66" s="1"/>
  <c r="GO42" i="65"/>
  <c r="EE39" i="65"/>
  <c r="EM39" i="65"/>
  <c r="EU39" i="65"/>
  <c r="FK39" i="65"/>
  <c r="DP39" i="65"/>
  <c r="DX39" i="65"/>
  <c r="EF39" i="65"/>
  <c r="EN39" i="65"/>
  <c r="EV39" i="65"/>
  <c r="DR39" i="65"/>
  <c r="DZ39" i="65"/>
  <c r="EI39" i="65"/>
  <c r="EQ39" i="65"/>
  <c r="EY39" i="65"/>
  <c r="EJ39" i="65"/>
  <c r="ER39" i="65"/>
  <c r="GO35" i="65"/>
  <c r="EN35" i="65" s="1"/>
  <c r="GO34" i="65"/>
  <c r="GO29" i="65"/>
  <c r="FK29" i="65" s="1"/>
  <c r="FO24" i="65"/>
  <c r="EI24" i="65"/>
  <c r="EQ24" i="65"/>
  <c r="EY24" i="65"/>
  <c r="GO24" i="65"/>
  <c r="EJ24" i="65"/>
  <c r="ER24" i="65"/>
  <c r="EZ24" i="65"/>
  <c r="EE24" i="65"/>
  <c r="EM24" i="65"/>
  <c r="EU24" i="65"/>
  <c r="FK24" i="65"/>
  <c r="DP24" i="65"/>
  <c r="DX24" i="65"/>
  <c r="EF24" i="65"/>
  <c r="EN24" i="65"/>
  <c r="GO17" i="65"/>
  <c r="GO44" i="64"/>
  <c r="EE26" i="64"/>
  <c r="EM26" i="64"/>
  <c r="EU26" i="64"/>
  <c r="FK26" i="64"/>
  <c r="DP26" i="64"/>
  <c r="DX26" i="64"/>
  <c r="EF26" i="64"/>
  <c r="EN26" i="64"/>
  <c r="EV26" i="64"/>
  <c r="FO26" i="64"/>
  <c r="DR26" i="64"/>
  <c r="DZ26" i="64"/>
  <c r="EI26" i="64"/>
  <c r="EQ26" i="64"/>
  <c r="GO16" i="64"/>
  <c r="GO14" i="64"/>
  <c r="GD35" i="65"/>
  <c r="EV35" i="65"/>
  <c r="DP35" i="65"/>
  <c r="GC35" i="65"/>
  <c r="FU35" i="65"/>
  <c r="FK35" i="65"/>
  <c r="FC35" i="65"/>
  <c r="GB35" i="65"/>
  <c r="FT35" i="65"/>
  <c r="FJ35" i="65"/>
  <c r="FB35" i="65"/>
  <c r="ED35" i="65"/>
  <c r="GI35" i="65"/>
  <c r="GA35" i="65"/>
  <c r="FS35" i="65"/>
  <c r="FI35" i="65"/>
  <c r="FA35" i="65"/>
  <c r="GH35" i="65"/>
  <c r="FZ35" i="65"/>
  <c r="EZ35" i="65"/>
  <c r="ER35" i="65"/>
  <c r="EJ35" i="65"/>
  <c r="EB35" i="65"/>
  <c r="DT35" i="65"/>
  <c r="GP35" i="65"/>
  <c r="GG35" i="65"/>
  <c r="FY35" i="65"/>
  <c r="FG35" i="65"/>
  <c r="EY35" i="65"/>
  <c r="EQ35" i="65"/>
  <c r="EI35" i="65"/>
  <c r="GF35" i="65"/>
  <c r="FF35" i="65"/>
  <c r="EX35" i="65"/>
  <c r="EP35" i="65"/>
  <c r="EH35" i="65"/>
  <c r="DZ35" i="65"/>
  <c r="DR35" i="65"/>
  <c r="GE35" i="65"/>
  <c r="FW35" i="65"/>
  <c r="FO35" i="65"/>
  <c r="FE35" i="65"/>
  <c r="EW35" i="65"/>
  <c r="EO35" i="65"/>
  <c r="EG35" i="65"/>
  <c r="EV43" i="65"/>
  <c r="FC43" i="65"/>
  <c r="ED43" i="65"/>
  <c r="FZ43" i="65"/>
  <c r="GG43" i="65"/>
  <c r="EX43" i="65"/>
  <c r="FE43" i="65"/>
  <c r="GO15" i="65"/>
  <c r="GO23" i="65"/>
  <c r="GO37" i="65"/>
  <c r="GO21" i="65"/>
  <c r="GO25" i="65"/>
  <c r="GO31" i="65"/>
  <c r="GO39" i="65"/>
  <c r="GO18" i="65"/>
  <c r="GO36" i="65"/>
  <c r="GO27" i="65"/>
  <c r="GO33" i="65"/>
  <c r="GO41" i="65"/>
  <c r="I41" i="65" s="1"/>
  <c r="GO30" i="65"/>
  <c r="GO38" i="65"/>
  <c r="GO20" i="65"/>
  <c r="GO28" i="65"/>
  <c r="FI28" i="65" s="1"/>
  <c r="GO32" i="65"/>
  <c r="GO40" i="65"/>
  <c r="GH14" i="65"/>
  <c r="FZ14" i="65"/>
  <c r="FJ14" i="65"/>
  <c r="FB14" i="65"/>
  <c r="ED14" i="65"/>
  <c r="DV14" i="65"/>
  <c r="GP14" i="65"/>
  <c r="GG14" i="65"/>
  <c r="FY14" i="65"/>
  <c r="FI14" i="65"/>
  <c r="FA14" i="65"/>
  <c r="GF14" i="65"/>
  <c r="FH14" i="65"/>
  <c r="EZ14" i="65"/>
  <c r="ER14" i="65"/>
  <c r="EJ14" i="65"/>
  <c r="EB14" i="65"/>
  <c r="DT14" i="65"/>
  <c r="GE14" i="65"/>
  <c r="FW14" i="65"/>
  <c r="FO14" i="65"/>
  <c r="FG14" i="65"/>
  <c r="EY14" i="65"/>
  <c r="EQ14" i="65"/>
  <c r="EI14" i="65"/>
  <c r="GD14" i="65"/>
  <c r="FN14" i="65"/>
  <c r="FF14" i="65"/>
  <c r="EX14" i="65"/>
  <c r="EP14" i="65"/>
  <c r="EH14" i="65"/>
  <c r="DZ14" i="65"/>
  <c r="DR14" i="65"/>
  <c r="GC14" i="65"/>
  <c r="FU14" i="65"/>
  <c r="FM14" i="65"/>
  <c r="FE14" i="65"/>
  <c r="EW14" i="65"/>
  <c r="EO14" i="65"/>
  <c r="EG14" i="65"/>
  <c r="GB14" i="65"/>
  <c r="FT14" i="65"/>
  <c r="FL14" i="65"/>
  <c r="FD14" i="65"/>
  <c r="EV14" i="65"/>
  <c r="EN14" i="65"/>
  <c r="EF14" i="65"/>
  <c r="DX14" i="65"/>
  <c r="DP14" i="65"/>
  <c r="GI14" i="65"/>
  <c r="GA14" i="65"/>
  <c r="FS14" i="65"/>
  <c r="FK14" i="65"/>
  <c r="FC14" i="65"/>
  <c r="EU14" i="65"/>
  <c r="EM14" i="65"/>
  <c r="EE14" i="65"/>
  <c r="EG33" i="66"/>
  <c r="FZ33" i="66"/>
  <c r="DT33" i="66"/>
  <c r="FU33" i="66"/>
  <c r="DX33" i="66"/>
  <c r="FD34" i="66"/>
  <c r="EV34" i="66"/>
  <c r="EN34" i="66"/>
  <c r="FT34" i="66"/>
  <c r="FJ34" i="66"/>
  <c r="FB34" i="66"/>
  <c r="FI34" i="66"/>
  <c r="FA34" i="66"/>
  <c r="GH34" i="66"/>
  <c r="EB34" i="66"/>
  <c r="DT34" i="66"/>
  <c r="EU34" i="66"/>
  <c r="EQ34" i="66"/>
  <c r="EI34" i="66"/>
  <c r="FU34" i="66"/>
  <c r="EH34" i="66"/>
  <c r="DZ34" i="66"/>
  <c r="DR34" i="66"/>
  <c r="FE34" i="66"/>
  <c r="EW34" i="66"/>
  <c r="EO34" i="66"/>
  <c r="GO21" i="66"/>
  <c r="FO29" i="66"/>
  <c r="GO31" i="66"/>
  <c r="GO36" i="66"/>
  <c r="DR37" i="66"/>
  <c r="DZ37" i="66"/>
  <c r="GO17" i="66"/>
  <c r="DR29" i="66"/>
  <c r="DZ29" i="66"/>
  <c r="EI37" i="66"/>
  <c r="EQ37" i="66"/>
  <c r="EY37" i="66"/>
  <c r="ER21" i="66"/>
  <c r="GO23" i="66"/>
  <c r="EI29" i="66"/>
  <c r="EQ29" i="66"/>
  <c r="EY29" i="66"/>
  <c r="EJ37" i="66"/>
  <c r="ER37" i="66"/>
  <c r="EZ37" i="66"/>
  <c r="GO38" i="66"/>
  <c r="I38" i="66" s="1"/>
  <c r="GO40" i="66"/>
  <c r="I40" i="66" s="1"/>
  <c r="FK33" i="66"/>
  <c r="GO20" i="66"/>
  <c r="FE20" i="66" s="1"/>
  <c r="EJ29" i="66"/>
  <c r="ER29" i="66"/>
  <c r="EZ29" i="66"/>
  <c r="GO30" i="66"/>
  <c r="GO35" i="66"/>
  <c r="GO16" i="66"/>
  <c r="GO25" i="66"/>
  <c r="GO42" i="66"/>
  <c r="EJ21" i="66"/>
  <c r="GO22" i="66"/>
  <c r="GO27" i="66"/>
  <c r="GI27" i="66" s="1"/>
  <c r="EE37" i="66"/>
  <c r="EM37" i="66"/>
  <c r="EU37" i="66"/>
  <c r="FK37" i="66"/>
  <c r="GO37" i="66"/>
  <c r="GO39" i="66"/>
  <c r="I39" i="66" s="1"/>
  <c r="EZ39" i="66" s="1"/>
  <c r="EZ21" i="66"/>
  <c r="GO24" i="66"/>
  <c r="GO26" i="66"/>
  <c r="GE26" i="66" s="1"/>
  <c r="DP29" i="66"/>
  <c r="DX29" i="66"/>
  <c r="EF29" i="66"/>
  <c r="EN29" i="66"/>
  <c r="GO41" i="66"/>
  <c r="GO14" i="66"/>
  <c r="EB17" i="67"/>
  <c r="DR17" i="67"/>
  <c r="FW17" i="67"/>
  <c r="GD17" i="67"/>
  <c r="FM17" i="67"/>
  <c r="FD17" i="67"/>
  <c r="FU17" i="67"/>
  <c r="FK17" i="67"/>
  <c r="FT17" i="67"/>
  <c r="FJ17" i="67"/>
  <c r="FB17" i="67"/>
  <c r="FI17" i="67"/>
  <c r="FA17" i="67"/>
  <c r="GI44" i="67"/>
  <c r="GA44" i="67"/>
  <c r="FS44" i="67"/>
  <c r="FI44" i="67"/>
  <c r="ER44" i="67"/>
  <c r="EJ44" i="67"/>
  <c r="EB44" i="67"/>
  <c r="DT44" i="67"/>
  <c r="GP44" i="67"/>
  <c r="EI44" i="67"/>
  <c r="GF44" i="67"/>
  <c r="FF44" i="67"/>
  <c r="EX44" i="67"/>
  <c r="EP44" i="67"/>
  <c r="FO44" i="67"/>
  <c r="FE44" i="67"/>
  <c r="EW44" i="67"/>
  <c r="EO44" i="67"/>
  <c r="EG44" i="67"/>
  <c r="EF44" i="67"/>
  <c r="DX44" i="67"/>
  <c r="DP44" i="67"/>
  <c r="GC44" i="67"/>
  <c r="FU44" i="67"/>
  <c r="GB44" i="67"/>
  <c r="FT44" i="67"/>
  <c r="FJ44" i="67"/>
  <c r="FB44" i="67"/>
  <c r="ED44" i="67"/>
  <c r="GO15" i="67"/>
  <c r="I15" i="67" s="1"/>
  <c r="GO29" i="67"/>
  <c r="I29" i="67" s="1"/>
  <c r="GO39" i="67"/>
  <c r="GO41" i="67"/>
  <c r="GO14" i="67"/>
  <c r="I14" i="67" s="1"/>
  <c r="GP14" i="67" s="1"/>
  <c r="GO19" i="67"/>
  <c r="GO25" i="67"/>
  <c r="GO16" i="67"/>
  <c r="I16" i="67" s="1"/>
  <c r="GO31" i="67"/>
  <c r="FS31" i="67" s="1"/>
  <c r="GO21" i="67"/>
  <c r="GO27" i="67"/>
  <c r="GO37" i="67"/>
  <c r="I37" i="67" s="1"/>
  <c r="EE29" i="68"/>
  <c r="EM29" i="68"/>
  <c r="EU29" i="68"/>
  <c r="FK29" i="68"/>
  <c r="EI37" i="68"/>
  <c r="EQ37" i="68"/>
  <c r="EY37" i="68"/>
  <c r="GO37" i="68"/>
  <c r="GO16" i="68"/>
  <c r="GO22" i="68"/>
  <c r="GO26" i="68"/>
  <c r="I26" i="68" s="1"/>
  <c r="DP29" i="68"/>
  <c r="DX29" i="68"/>
  <c r="EF29" i="68"/>
  <c r="EN29" i="68"/>
  <c r="EV29" i="68"/>
  <c r="EJ37" i="68"/>
  <c r="ER37" i="68"/>
  <c r="EZ37" i="68"/>
  <c r="FO29" i="68"/>
  <c r="GO23" i="68"/>
  <c r="DR29" i="68"/>
  <c r="DZ29" i="68"/>
  <c r="GO40" i="68"/>
  <c r="I40" i="68" s="1"/>
  <c r="EI29" i="68"/>
  <c r="EQ29" i="68"/>
  <c r="EY29" i="68"/>
  <c r="EE37" i="68"/>
  <c r="EM37" i="68"/>
  <c r="EU37" i="68"/>
  <c r="FK37" i="68"/>
  <c r="EJ29" i="68"/>
  <c r="ER29" i="68"/>
  <c r="DP37" i="68"/>
  <c r="DX37" i="68"/>
  <c r="EF37" i="68"/>
  <c r="EN37" i="68"/>
  <c r="EV37" i="68"/>
  <c r="GO35" i="68"/>
  <c r="EI35" i="68" s="1"/>
  <c r="GO36" i="68"/>
  <c r="DR37" i="68"/>
  <c r="GF41" i="69"/>
  <c r="FF41" i="69"/>
  <c r="FW41" i="69"/>
  <c r="FO41" i="69"/>
  <c r="EG41" i="69"/>
  <c r="GD41" i="69"/>
  <c r="FM41" i="69"/>
  <c r="FK41" i="69"/>
  <c r="FC41" i="69"/>
  <c r="EU41" i="69"/>
  <c r="EM41" i="69"/>
  <c r="EE41" i="69"/>
  <c r="GH41" i="69"/>
  <c r="FZ41" i="69"/>
  <c r="FH41" i="69"/>
  <c r="EB41" i="69"/>
  <c r="DT41" i="69"/>
  <c r="GO17" i="69"/>
  <c r="GO42" i="69"/>
  <c r="I42" i="69" s="1"/>
  <c r="FO43" i="69"/>
  <c r="GO20" i="69"/>
  <c r="GO25" i="69"/>
  <c r="GO27" i="69"/>
  <c r="GO31" i="69"/>
  <c r="GO39" i="69"/>
  <c r="I39" i="69" s="1"/>
  <c r="DR43" i="69"/>
  <c r="DZ43" i="69"/>
  <c r="GO14" i="69"/>
  <c r="FM14" i="69" s="1"/>
  <c r="GO22" i="69"/>
  <c r="EI43" i="69"/>
  <c r="EQ43" i="69"/>
  <c r="EY43" i="69"/>
  <c r="GO44" i="69"/>
  <c r="GO24" i="69"/>
  <c r="GO30" i="69"/>
  <c r="GO36" i="69"/>
  <c r="GO38" i="69"/>
  <c r="I38" i="69" s="1"/>
  <c r="EJ38" i="69" s="1"/>
  <c r="GO18" i="69"/>
  <c r="GO21" i="69"/>
  <c r="GO15" i="69"/>
  <c r="GO19" i="69"/>
  <c r="I19" i="69" s="1"/>
  <c r="GO26" i="69"/>
  <c r="I26" i="69" s="1"/>
  <c r="GO34" i="69"/>
  <c r="GO40" i="69"/>
  <c r="I40" i="69" s="1"/>
  <c r="EE43" i="69"/>
  <c r="EM43" i="69"/>
  <c r="EU43" i="69"/>
  <c r="FK43" i="69"/>
  <c r="GO23" i="69"/>
  <c r="GO29" i="69"/>
  <c r="GO37" i="69"/>
  <c r="DP43" i="69"/>
  <c r="DX43" i="69"/>
  <c r="EF43" i="69"/>
  <c r="EN43" i="69"/>
  <c r="FB15" i="70"/>
  <c r="FC15" i="70"/>
  <c r="EB15" i="70"/>
  <c r="ER15" i="70"/>
  <c r="FY15" i="70"/>
  <c r="EK14" i="70"/>
  <c r="EK44" i="70" s="1"/>
  <c r="GG15" i="70"/>
  <c r="GO17" i="70"/>
  <c r="I17" i="70" s="1"/>
  <c r="GB17" i="70" s="1"/>
  <c r="DT15" i="70"/>
  <c r="ED15" i="70"/>
  <c r="EE15" i="70"/>
  <c r="EU15" i="70"/>
  <c r="GO30" i="70"/>
  <c r="I30" i="70" s="1"/>
  <c r="DV15" i="70"/>
  <c r="EJ15" i="70"/>
  <c r="FA15" i="70"/>
  <c r="GO18" i="71"/>
  <c r="GO17" i="72"/>
  <c r="GO40" i="72"/>
  <c r="GO33" i="72"/>
  <c r="GO23" i="72"/>
  <c r="GO25" i="72"/>
  <c r="I25" i="72" s="1"/>
  <c r="EF25" i="72" s="1"/>
  <c r="GO31" i="72"/>
  <c r="GO34" i="72"/>
  <c r="GO35" i="72"/>
  <c r="GO37" i="72"/>
  <c r="GO18" i="72"/>
  <c r="I18" i="72" s="1"/>
  <c r="FO18" i="72" s="1"/>
  <c r="GO22" i="72"/>
  <c r="DR15" i="73"/>
  <c r="DZ15" i="73"/>
  <c r="ER19" i="73"/>
  <c r="FO21" i="73"/>
  <c r="EJ22" i="73"/>
  <c r="ER22" i="73"/>
  <c r="EZ22" i="73"/>
  <c r="FO27" i="73"/>
  <c r="EJ28" i="73"/>
  <c r="ER28" i="73"/>
  <c r="EZ28" i="73"/>
  <c r="EE29" i="73"/>
  <c r="EM29" i="73"/>
  <c r="EU29" i="73"/>
  <c r="FK29" i="73"/>
  <c r="FO33" i="73"/>
  <c r="EJ34" i="73"/>
  <c r="ER34" i="73"/>
  <c r="EZ34" i="73"/>
  <c r="EE35" i="73"/>
  <c r="EM35" i="73"/>
  <c r="EU35" i="73"/>
  <c r="FK35" i="73"/>
  <c r="DR36" i="73"/>
  <c r="DZ36" i="73"/>
  <c r="EJ40" i="73"/>
  <c r="ER40" i="73"/>
  <c r="EZ40" i="73"/>
  <c r="EE41" i="73"/>
  <c r="EM41" i="73"/>
  <c r="EU41" i="73"/>
  <c r="FK41" i="73"/>
  <c r="DR42" i="73"/>
  <c r="DZ42" i="73"/>
  <c r="EI15" i="73"/>
  <c r="EQ15" i="73"/>
  <c r="EY15" i="73"/>
  <c r="FK19" i="73"/>
  <c r="EE20" i="73"/>
  <c r="EM20" i="73"/>
  <c r="EU20" i="73"/>
  <c r="FK20" i="73"/>
  <c r="GO20" i="73"/>
  <c r="DR21" i="73"/>
  <c r="DZ21" i="73"/>
  <c r="EE26" i="73"/>
  <c r="EM26" i="73"/>
  <c r="EU26" i="73"/>
  <c r="FK26" i="73"/>
  <c r="GO26" i="73"/>
  <c r="DR27" i="73"/>
  <c r="DZ27" i="73"/>
  <c r="DP29" i="73"/>
  <c r="DX29" i="73"/>
  <c r="EF29" i="73"/>
  <c r="EN29" i="73"/>
  <c r="EV29" i="73"/>
  <c r="DR33" i="73"/>
  <c r="DZ33" i="73"/>
  <c r="DP35" i="73"/>
  <c r="DX35" i="73"/>
  <c r="EF35" i="73"/>
  <c r="EN35" i="73"/>
  <c r="EV35" i="73"/>
  <c r="EI36" i="73"/>
  <c r="EQ36" i="73"/>
  <c r="EY36" i="73"/>
  <c r="GO38" i="73"/>
  <c r="I38" i="73" s="1"/>
  <c r="GI38" i="73" s="1"/>
  <c r="DP41" i="73"/>
  <c r="DX41" i="73"/>
  <c r="EF41" i="73"/>
  <c r="EN41" i="73"/>
  <c r="EV41" i="73"/>
  <c r="EI42" i="73"/>
  <c r="EQ42" i="73"/>
  <c r="EY42" i="73"/>
  <c r="EJ15" i="73"/>
  <c r="ER15" i="73"/>
  <c r="EZ15" i="73"/>
  <c r="GO16" i="73"/>
  <c r="I16" i="73" s="1"/>
  <c r="EV16" i="73" s="1"/>
  <c r="EJ19" i="73"/>
  <c r="DP20" i="73"/>
  <c r="DX20" i="73"/>
  <c r="EF20" i="73"/>
  <c r="EN20" i="73"/>
  <c r="EV20" i="73"/>
  <c r="EI21" i="73"/>
  <c r="EQ21" i="73"/>
  <c r="EY21" i="73"/>
  <c r="DP26" i="73"/>
  <c r="DX26" i="73"/>
  <c r="EF26" i="73"/>
  <c r="EN26" i="73"/>
  <c r="EV26" i="73"/>
  <c r="EI27" i="73"/>
  <c r="EQ27" i="73"/>
  <c r="EY27" i="73"/>
  <c r="FO29" i="73"/>
  <c r="GO32" i="73"/>
  <c r="FT32" i="73" s="1"/>
  <c r="EI33" i="73"/>
  <c r="EQ33" i="73"/>
  <c r="EY33" i="73"/>
  <c r="FO35" i="73"/>
  <c r="EJ36" i="73"/>
  <c r="ER36" i="73"/>
  <c r="EZ36" i="73"/>
  <c r="EE37" i="73"/>
  <c r="EM37" i="73"/>
  <c r="GO37" i="73"/>
  <c r="I37" i="73" s="1"/>
  <c r="EZ37" i="73" s="1"/>
  <c r="FO41" i="73"/>
  <c r="EJ42" i="73"/>
  <c r="ER42" i="73"/>
  <c r="EZ42" i="73"/>
  <c r="EE43" i="73"/>
  <c r="EM43" i="73"/>
  <c r="EU43" i="73"/>
  <c r="FK43" i="73"/>
  <c r="GO43" i="73"/>
  <c r="EN16" i="73"/>
  <c r="EU19" i="73"/>
  <c r="FO20" i="73"/>
  <c r="EJ21" i="73"/>
  <c r="ER21" i="73"/>
  <c r="EZ21" i="73"/>
  <c r="EE22" i="73"/>
  <c r="EM22" i="73"/>
  <c r="EU22" i="73"/>
  <c r="FK22" i="73"/>
  <c r="GO22" i="73"/>
  <c r="GO24" i="73"/>
  <c r="FO26" i="73"/>
  <c r="EJ27" i="73"/>
  <c r="ER27" i="73"/>
  <c r="EZ27" i="73"/>
  <c r="EE28" i="73"/>
  <c r="EM28" i="73"/>
  <c r="EU28" i="73"/>
  <c r="FK28" i="73"/>
  <c r="GO28" i="73"/>
  <c r="DR29" i="73"/>
  <c r="DZ29" i="73"/>
  <c r="EJ33" i="73"/>
  <c r="ER33" i="73"/>
  <c r="EZ33" i="73"/>
  <c r="EE34" i="73"/>
  <c r="EM34" i="73"/>
  <c r="EU34" i="73"/>
  <c r="FK34" i="73"/>
  <c r="GO34" i="73"/>
  <c r="DR35" i="73"/>
  <c r="DZ35" i="73"/>
  <c r="DX37" i="73"/>
  <c r="EF37" i="73"/>
  <c r="EN37" i="73"/>
  <c r="EV37" i="73"/>
  <c r="EE40" i="73"/>
  <c r="EM40" i="73"/>
  <c r="EU40" i="73"/>
  <c r="FK40" i="73"/>
  <c r="GO40" i="73"/>
  <c r="DR41" i="73"/>
  <c r="DZ41" i="73"/>
  <c r="DP43" i="73"/>
  <c r="DX43" i="73"/>
  <c r="EF43" i="73"/>
  <c r="EN43" i="73"/>
  <c r="EV43" i="73"/>
  <c r="DR20" i="73"/>
  <c r="DZ20" i="73"/>
  <c r="DP22" i="73"/>
  <c r="DX22" i="73"/>
  <c r="EF22" i="73"/>
  <c r="EN22" i="73"/>
  <c r="EV22" i="73"/>
  <c r="EI23" i="73"/>
  <c r="DR26" i="73"/>
  <c r="DZ26" i="73"/>
  <c r="DP28" i="73"/>
  <c r="DX28" i="73"/>
  <c r="EF28" i="73"/>
  <c r="EN28" i="73"/>
  <c r="EV28" i="73"/>
  <c r="EI29" i="73"/>
  <c r="EQ29" i="73"/>
  <c r="EY29" i="73"/>
  <c r="DP34" i="73"/>
  <c r="DX34" i="73"/>
  <c r="EF34" i="73"/>
  <c r="EN34" i="73"/>
  <c r="EV34" i="73"/>
  <c r="EI35" i="73"/>
  <c r="EQ35" i="73"/>
  <c r="EY35" i="73"/>
  <c r="FO37" i="73"/>
  <c r="DP40" i="73"/>
  <c r="DX40" i="73"/>
  <c r="EF40" i="73"/>
  <c r="EN40" i="73"/>
  <c r="EV40" i="73"/>
  <c r="EI41" i="73"/>
  <c r="EQ41" i="73"/>
  <c r="EY41" i="73"/>
  <c r="FO43" i="73"/>
  <c r="EE15" i="73"/>
  <c r="EM15" i="73"/>
  <c r="EU15" i="73"/>
  <c r="FK15" i="73"/>
  <c r="GO15" i="73"/>
  <c r="DR16" i="73"/>
  <c r="DZ16" i="73"/>
  <c r="GO17" i="73"/>
  <c r="EM19" i="73"/>
  <c r="EI20" i="73"/>
  <c r="EQ20" i="73"/>
  <c r="EY20" i="73"/>
  <c r="FO22" i="73"/>
  <c r="EI26" i="73"/>
  <c r="EQ26" i="73"/>
  <c r="EY26" i="73"/>
  <c r="FO28" i="73"/>
  <c r="EJ29" i="73"/>
  <c r="ER29" i="73"/>
  <c r="GO30" i="73"/>
  <c r="I30" i="73" s="1"/>
  <c r="DR30" i="73" s="1"/>
  <c r="FO34" i="73"/>
  <c r="EJ35" i="73"/>
  <c r="ER35" i="73"/>
  <c r="EE36" i="73"/>
  <c r="EM36" i="73"/>
  <c r="EU36" i="73"/>
  <c r="FK36" i="73"/>
  <c r="GO36" i="73"/>
  <c r="DR37" i="73"/>
  <c r="DZ37" i="73"/>
  <c r="FO40" i="73"/>
  <c r="EJ41" i="73"/>
  <c r="ER41" i="73"/>
  <c r="EE42" i="73"/>
  <c r="EM42" i="73"/>
  <c r="EU42" i="73"/>
  <c r="FK42" i="73"/>
  <c r="GO42" i="73"/>
  <c r="DR43" i="73"/>
  <c r="DZ43" i="73"/>
  <c r="T111" i="73"/>
  <c r="DP15" i="73"/>
  <c r="DX15" i="73"/>
  <c r="EF15" i="73"/>
  <c r="EN15" i="73"/>
  <c r="EV15" i="73"/>
  <c r="EZ19" i="73"/>
  <c r="EJ20" i="73"/>
  <c r="ER20" i="73"/>
  <c r="EE21" i="73"/>
  <c r="EM21" i="73"/>
  <c r="EU21" i="73"/>
  <c r="FK21" i="73"/>
  <c r="GO21" i="73"/>
  <c r="DR22" i="73"/>
  <c r="DZ22" i="73"/>
  <c r="EJ26" i="73"/>
  <c r="ER26" i="73"/>
  <c r="EE27" i="73"/>
  <c r="EM27" i="73"/>
  <c r="EU27" i="73"/>
  <c r="FK27" i="73"/>
  <c r="GO27" i="73"/>
  <c r="DR28" i="73"/>
  <c r="DZ28" i="73"/>
  <c r="EV30" i="73"/>
  <c r="EE33" i="73"/>
  <c r="EM33" i="73"/>
  <c r="EU33" i="73"/>
  <c r="FK33" i="73"/>
  <c r="GO33" i="73"/>
  <c r="DR34" i="73"/>
  <c r="DZ34" i="73"/>
  <c r="DP36" i="73"/>
  <c r="DX36" i="73"/>
  <c r="EF36" i="73"/>
  <c r="EN36" i="73"/>
  <c r="EV36" i="73"/>
  <c r="EI37" i="73"/>
  <c r="EQ37" i="73"/>
  <c r="EY37" i="73"/>
  <c r="DR40" i="73"/>
  <c r="DZ40" i="73"/>
  <c r="DP42" i="73"/>
  <c r="DX42" i="73"/>
  <c r="EF42" i="73"/>
  <c r="EN42" i="73"/>
  <c r="EV42" i="73"/>
  <c r="EI43" i="73"/>
  <c r="EQ43" i="73"/>
  <c r="EY43" i="73"/>
  <c r="ER16" i="73"/>
  <c r="EE19" i="73"/>
  <c r="DP21" i="73"/>
  <c r="DX21" i="73"/>
  <c r="EF21" i="73"/>
  <c r="EN21" i="73"/>
  <c r="EI22" i="73"/>
  <c r="EQ22" i="73"/>
  <c r="DP27" i="73"/>
  <c r="DX27" i="73"/>
  <c r="EF27" i="73"/>
  <c r="EN27" i="73"/>
  <c r="EI28" i="73"/>
  <c r="EQ28" i="73"/>
  <c r="DP33" i="73"/>
  <c r="DX33" i="73"/>
  <c r="EF33" i="73"/>
  <c r="EN33" i="73"/>
  <c r="EI34" i="73"/>
  <c r="EQ34" i="73"/>
  <c r="EJ37" i="73"/>
  <c r="ER37" i="73"/>
  <c r="GO39" i="73"/>
  <c r="EI40" i="73"/>
  <c r="EQ40" i="73"/>
  <c r="EJ43" i="73"/>
  <c r="ER43" i="73"/>
  <c r="GO44" i="73"/>
  <c r="I44" i="73" s="1"/>
  <c r="DP44" i="73" s="1"/>
  <c r="DR14" i="73"/>
  <c r="DZ14" i="73"/>
  <c r="EI14" i="73"/>
  <c r="EQ14" i="73"/>
  <c r="EY14" i="73"/>
  <c r="FO14" i="73"/>
  <c r="EJ14" i="73"/>
  <c r="ER14" i="73"/>
  <c r="EZ14" i="73"/>
  <c r="EE14" i="73"/>
  <c r="EM14" i="73"/>
  <c r="EU14" i="73"/>
  <c r="FK14" i="73"/>
  <c r="DP14" i="73"/>
  <c r="DX14" i="73"/>
  <c r="EF14" i="73"/>
  <c r="EN14" i="73"/>
  <c r="DW45" i="64"/>
  <c r="DQ45" i="67"/>
  <c r="DY45" i="67"/>
  <c r="DO45" i="69"/>
  <c r="DW45" i="69"/>
  <c r="DY45" i="64"/>
  <c r="DO45" i="73"/>
  <c r="DW45" i="73"/>
  <c r="DO45" i="71"/>
  <c r="DW45" i="71"/>
  <c r="DO45" i="64"/>
  <c r="DQ44" i="65"/>
  <c r="DY44" i="65"/>
  <c r="DO44" i="65"/>
  <c r="DY45" i="66"/>
  <c r="DQ45" i="66"/>
  <c r="DY44" i="68"/>
  <c r="DQ45" i="69"/>
  <c r="DY45" i="69"/>
  <c r="DO44" i="72"/>
  <c r="DW44" i="72"/>
  <c r="DQ45" i="73"/>
  <c r="DY45" i="73"/>
  <c r="GO25" i="73"/>
  <c r="DX25" i="73" s="1"/>
  <c r="EA45" i="73"/>
  <c r="DU45" i="73"/>
  <c r="GO18" i="73"/>
  <c r="FD18" i="73" s="1"/>
  <c r="EC45" i="73"/>
  <c r="DP19" i="73"/>
  <c r="DX19" i="73"/>
  <c r="EF19" i="73"/>
  <c r="EN19" i="73"/>
  <c r="EV19" i="73"/>
  <c r="R111" i="73"/>
  <c r="FO19" i="73"/>
  <c r="DR19" i="73"/>
  <c r="DZ19" i="73"/>
  <c r="EI19" i="73"/>
  <c r="EQ19" i="73"/>
  <c r="DS45" i="73"/>
  <c r="V111" i="73"/>
  <c r="GO25" i="70"/>
  <c r="EE25" i="70" s="1"/>
  <c r="GO35" i="69"/>
  <c r="DU45" i="69"/>
  <c r="EC45" i="69"/>
  <c r="EQ28" i="69"/>
  <c r="GF28" i="69"/>
  <c r="FF28" i="69"/>
  <c r="DR28" i="69"/>
  <c r="FW28" i="69"/>
  <c r="FO28" i="69"/>
  <c r="GD28" i="69"/>
  <c r="FD28" i="69"/>
  <c r="EV28" i="69"/>
  <c r="GC28" i="69"/>
  <c r="FK28" i="69"/>
  <c r="FC28" i="69"/>
  <c r="FT28" i="69"/>
  <c r="FB28" i="69"/>
  <c r="ED28" i="69"/>
  <c r="FI28" i="69"/>
  <c r="GH28" i="69"/>
  <c r="FZ28" i="69"/>
  <c r="EB28" i="69"/>
  <c r="T111" i="69"/>
  <c r="DS45" i="69"/>
  <c r="EA45" i="69"/>
  <c r="GO27" i="68"/>
  <c r="I27" i="68" s="1"/>
  <c r="EI27" i="68" s="1"/>
  <c r="FA31" i="67"/>
  <c r="FE31" i="67"/>
  <c r="FD31" i="67"/>
  <c r="GB31" i="67"/>
  <c r="FJ31" i="67"/>
  <c r="GO30" i="67"/>
  <c r="I30" i="67" s="1"/>
  <c r="DO45" i="67"/>
  <c r="DW45" i="67"/>
  <c r="DT27" i="66"/>
  <c r="FK26" i="66"/>
  <c r="GD20" i="66"/>
  <c r="FD20" i="66"/>
  <c r="DX20" i="66"/>
  <c r="FU20" i="66"/>
  <c r="FK20" i="66"/>
  <c r="FC20" i="66"/>
  <c r="EM20" i="66"/>
  <c r="FB20" i="66"/>
  <c r="ED20" i="66"/>
  <c r="DV20" i="66"/>
  <c r="GA20" i="66"/>
  <c r="GH20" i="66"/>
  <c r="FZ20" i="66"/>
  <c r="FH20" i="66"/>
  <c r="ER20" i="66"/>
  <c r="GP20" i="66"/>
  <c r="GG20" i="66"/>
  <c r="FY20" i="66"/>
  <c r="EY20" i="66"/>
  <c r="FF20" i="66"/>
  <c r="EX20" i="66"/>
  <c r="EP20" i="66"/>
  <c r="DZ20" i="66"/>
  <c r="DU45" i="66"/>
  <c r="EC45" i="66"/>
  <c r="GO19" i="66"/>
  <c r="GC29" i="65"/>
  <c r="FU29" i="65"/>
  <c r="EE29" i="65"/>
  <c r="FT29" i="65"/>
  <c r="FJ29" i="65"/>
  <c r="FB29" i="65"/>
  <c r="ED29" i="65"/>
  <c r="DV29" i="65"/>
  <c r="GI29" i="65"/>
  <c r="GA29" i="65"/>
  <c r="FS29" i="65"/>
  <c r="FI29" i="65"/>
  <c r="FA29" i="65"/>
  <c r="GH29" i="65"/>
  <c r="FZ29" i="65"/>
  <c r="FH29" i="65"/>
  <c r="EZ29" i="65"/>
  <c r="ER29" i="65"/>
  <c r="EJ29" i="65"/>
  <c r="EB29" i="65"/>
  <c r="DT29" i="65"/>
  <c r="GP29" i="65"/>
  <c r="GG29" i="65"/>
  <c r="FY29" i="65"/>
  <c r="FG29" i="65"/>
  <c r="EY29" i="65"/>
  <c r="EQ29" i="65"/>
  <c r="EI29" i="65"/>
  <c r="GF29" i="65"/>
  <c r="FF29" i="65"/>
  <c r="EX29" i="65"/>
  <c r="EP29" i="65"/>
  <c r="EH29" i="65"/>
  <c r="DZ29" i="65"/>
  <c r="DR29" i="65"/>
  <c r="GE29" i="65"/>
  <c r="FW29" i="65"/>
  <c r="FO29" i="65"/>
  <c r="FE29" i="65"/>
  <c r="EW29" i="65"/>
  <c r="EO29" i="65"/>
  <c r="EG29" i="65"/>
  <c r="GD29" i="65"/>
  <c r="FM29" i="65"/>
  <c r="FD29" i="65"/>
  <c r="EV29" i="65"/>
  <c r="EN29" i="65"/>
  <c r="EF29" i="65"/>
  <c r="DX29" i="65"/>
  <c r="DP29" i="65"/>
  <c r="GA28" i="65"/>
  <c r="ER28" i="65"/>
  <c r="EY28" i="65"/>
  <c r="EQ28" i="65"/>
  <c r="DZ28" i="65"/>
  <c r="DR28" i="65"/>
  <c r="EG28" i="65"/>
  <c r="GD28" i="65"/>
  <c r="DP28" i="65"/>
  <c r="GC28" i="65"/>
  <c r="GB28" i="65"/>
  <c r="FT28" i="65"/>
  <c r="GO22" i="65"/>
  <c r="GF21" i="65"/>
  <c r="FF21" i="65"/>
  <c r="EX21" i="65"/>
  <c r="EP21" i="65"/>
  <c r="EH21" i="65"/>
  <c r="DZ21" i="65"/>
  <c r="DR21" i="65"/>
  <c r="GE21" i="65"/>
  <c r="FW21" i="65"/>
  <c r="FO21" i="65"/>
  <c r="FE21" i="65"/>
  <c r="EW21" i="65"/>
  <c r="EO21" i="65"/>
  <c r="EG21" i="65"/>
  <c r="GD21" i="65"/>
  <c r="FM21" i="65"/>
  <c r="FD21" i="65"/>
  <c r="EV21" i="65"/>
  <c r="EN21" i="65"/>
  <c r="EF21" i="65"/>
  <c r="DX21" i="65"/>
  <c r="DP21" i="65"/>
  <c r="GP21" i="65"/>
  <c r="EI21" i="65"/>
  <c r="GC21" i="65"/>
  <c r="FU21" i="65"/>
  <c r="FK21" i="65"/>
  <c r="FC21" i="65"/>
  <c r="EU21" i="65"/>
  <c r="EM21" i="65"/>
  <c r="EE21" i="65"/>
  <c r="EY21" i="65"/>
  <c r="GB21" i="65"/>
  <c r="FT21" i="65"/>
  <c r="FJ21" i="65"/>
  <c r="FB21" i="65"/>
  <c r="ED21" i="65"/>
  <c r="DV21" i="65"/>
  <c r="FG21" i="65"/>
  <c r="GI21" i="65"/>
  <c r="GA21" i="65"/>
  <c r="FS21" i="65"/>
  <c r="FI21" i="65"/>
  <c r="FA21" i="65"/>
  <c r="GG21" i="65"/>
  <c r="GH21" i="65"/>
  <c r="FZ21" i="65"/>
  <c r="FH21" i="65"/>
  <c r="EZ21" i="65"/>
  <c r="ER21" i="65"/>
  <c r="EJ21" i="65"/>
  <c r="EB21" i="65"/>
  <c r="DT21" i="65"/>
  <c r="FY21" i="65"/>
  <c r="EQ21" i="65"/>
  <c r="EE15" i="72"/>
  <c r="EM15" i="72"/>
  <c r="EU15" i="72"/>
  <c r="FK15" i="72"/>
  <c r="DP15" i="72"/>
  <c r="DX15" i="72"/>
  <c r="EF15" i="72"/>
  <c r="EN15" i="72"/>
  <c r="EV15" i="72"/>
  <c r="FO15" i="72"/>
  <c r="DR15" i="72"/>
  <c r="DZ15" i="72"/>
  <c r="EI15" i="72"/>
  <c r="EQ15" i="72"/>
  <c r="EY15" i="72"/>
  <c r="EJ15" i="72"/>
  <c r="ER15" i="72"/>
  <c r="GO41" i="72"/>
  <c r="FY41" i="72" s="1"/>
  <c r="EJ42" i="72"/>
  <c r="ER42" i="72"/>
  <c r="EZ42" i="72"/>
  <c r="EE42" i="72"/>
  <c r="EM42" i="72"/>
  <c r="EU42" i="72"/>
  <c r="FK42" i="72"/>
  <c r="FO42" i="72"/>
  <c r="DR42" i="72"/>
  <c r="DZ42" i="72"/>
  <c r="EI42" i="72"/>
  <c r="EQ42" i="72"/>
  <c r="EN39" i="72"/>
  <c r="EV39" i="72"/>
  <c r="EE38" i="72"/>
  <c r="EM38" i="72"/>
  <c r="EU38" i="72"/>
  <c r="FK38" i="72"/>
  <c r="FO38" i="72"/>
  <c r="EI38" i="72"/>
  <c r="EQ38" i="72"/>
  <c r="GO38" i="72"/>
  <c r="FK32" i="72"/>
  <c r="ER32" i="72"/>
  <c r="GO30" i="72"/>
  <c r="GO29" i="72"/>
  <c r="GO21" i="72"/>
  <c r="GO19" i="72"/>
  <c r="GO35" i="70"/>
  <c r="R111" i="69"/>
  <c r="V111" i="69"/>
  <c r="GO18" i="68"/>
  <c r="EL43" i="68"/>
  <c r="GO34" i="68"/>
  <c r="GO32" i="68"/>
  <c r="EI31" i="68"/>
  <c r="EQ31" i="68"/>
  <c r="EY31" i="68"/>
  <c r="GO31" i="68"/>
  <c r="EJ31" i="68"/>
  <c r="ER31" i="68"/>
  <c r="EZ31" i="68"/>
  <c r="EE31" i="68"/>
  <c r="EM31" i="68"/>
  <c r="EU31" i="68"/>
  <c r="FK31" i="68"/>
  <c r="DP31" i="68"/>
  <c r="DX31" i="68"/>
  <c r="EF31" i="68"/>
  <c r="EN31" i="68"/>
  <c r="EV31" i="68"/>
  <c r="EI30" i="68"/>
  <c r="EQ30" i="68"/>
  <c r="EY30" i="68"/>
  <c r="EE30" i="68"/>
  <c r="EM30" i="68"/>
  <c r="EU30" i="68"/>
  <c r="FK30" i="68"/>
  <c r="DP30" i="68"/>
  <c r="DX30" i="68"/>
  <c r="EF30" i="68"/>
  <c r="EN30" i="68"/>
  <c r="EV30" i="68"/>
  <c r="FO30" i="68"/>
  <c r="DR30" i="68"/>
  <c r="GO30" i="68"/>
  <c r="GO28" i="68"/>
  <c r="GI28" i="68" s="1"/>
  <c r="DQ44" i="68"/>
  <c r="GO24" i="68"/>
  <c r="DO44" i="68"/>
  <c r="DW44" i="68"/>
  <c r="GO21" i="68"/>
  <c r="DR21" i="68" s="1"/>
  <c r="GO19" i="68"/>
  <c r="I19" i="68" s="1"/>
  <c r="DZ19" i="68" s="1"/>
  <c r="GO17" i="68"/>
  <c r="GO15" i="68"/>
  <c r="GO36" i="67"/>
  <c r="I36" i="67" s="1"/>
  <c r="GO35" i="67"/>
  <c r="GO33" i="67"/>
  <c r="GO32" i="67"/>
  <c r="EA45" i="67"/>
  <c r="DS45" i="67"/>
  <c r="GO32" i="66"/>
  <c r="EA45" i="66"/>
  <c r="T111" i="66"/>
  <c r="R111" i="66"/>
  <c r="DS45" i="66"/>
  <c r="DO45" i="66"/>
  <c r="DW45" i="66"/>
  <c r="V111" i="66"/>
  <c r="T109" i="65"/>
  <c r="DP19" i="65"/>
  <c r="DX19" i="65"/>
  <c r="EF19" i="65"/>
  <c r="EN19" i="65"/>
  <c r="EV19" i="65"/>
  <c r="FO19" i="65"/>
  <c r="DR19" i="65"/>
  <c r="DZ19" i="65"/>
  <c r="EI19" i="65"/>
  <c r="EQ19" i="65"/>
  <c r="EY19" i="65"/>
  <c r="EJ19" i="65"/>
  <c r="ER19" i="65"/>
  <c r="DU44" i="65"/>
  <c r="EC44" i="65"/>
  <c r="DS44" i="65"/>
  <c r="EA44" i="65"/>
  <c r="V109" i="65"/>
  <c r="GO16" i="65"/>
  <c r="R109" i="65"/>
  <c r="DQ45" i="64"/>
  <c r="EE20" i="64"/>
  <c r="EM20" i="64"/>
  <c r="EU20" i="64"/>
  <c r="FK20" i="64"/>
  <c r="DP20" i="64"/>
  <c r="DX20" i="64"/>
  <c r="EF20" i="64"/>
  <c r="EN20" i="64"/>
  <c r="EV20" i="64"/>
  <c r="FO20" i="64"/>
  <c r="DR20" i="64"/>
  <c r="DZ20" i="64"/>
  <c r="EI20" i="64"/>
  <c r="EQ20" i="64"/>
  <c r="EY20" i="64"/>
  <c r="EJ20" i="64"/>
  <c r="ER20" i="64"/>
  <c r="EJ40" i="70"/>
  <c r="ER40" i="70"/>
  <c r="EZ40" i="70"/>
  <c r="EE40" i="70"/>
  <c r="EM40" i="70"/>
  <c r="EU40" i="70"/>
  <c r="FK40" i="70"/>
  <c r="DP40" i="70"/>
  <c r="DX40" i="70"/>
  <c r="EF40" i="70"/>
  <c r="EN40" i="70"/>
  <c r="EV40" i="70"/>
  <c r="FO40" i="70"/>
  <c r="EI40" i="70"/>
  <c r="EQ40" i="70"/>
  <c r="GO38" i="70"/>
  <c r="EE34" i="70"/>
  <c r="EM34" i="70"/>
  <c r="EU34" i="70"/>
  <c r="FK34" i="70"/>
  <c r="DP34" i="70"/>
  <c r="DX34" i="70"/>
  <c r="EF34" i="70"/>
  <c r="EN34" i="70"/>
  <c r="EV34" i="70"/>
  <c r="FO34" i="70"/>
  <c r="DR34" i="70"/>
  <c r="DZ34" i="70"/>
  <c r="EI34" i="70"/>
  <c r="EQ34" i="70"/>
  <c r="GO24" i="70"/>
  <c r="DO44" i="70"/>
  <c r="DW44" i="70"/>
  <c r="EE21" i="70"/>
  <c r="EM21" i="70"/>
  <c r="EU21" i="70"/>
  <c r="FK21" i="70"/>
  <c r="DP21" i="70"/>
  <c r="DX21" i="70"/>
  <c r="EF21" i="70"/>
  <c r="EN21" i="70"/>
  <c r="EV21" i="70"/>
  <c r="GO21" i="70"/>
  <c r="EY21" i="70"/>
  <c r="GO19" i="70"/>
  <c r="DZ19" i="70" s="1"/>
  <c r="GO18" i="70"/>
  <c r="DX18" i="70" s="1"/>
  <c r="FE17" i="70"/>
  <c r="GO16" i="70"/>
  <c r="I16" i="70" s="1"/>
  <c r="GP16" i="70" s="1"/>
  <c r="FK15" i="70"/>
  <c r="FO15" i="70"/>
  <c r="GP15" i="70"/>
  <c r="GH15" i="70"/>
  <c r="GE20" i="72"/>
  <c r="FW20" i="72"/>
  <c r="FO20" i="72"/>
  <c r="FE20" i="72"/>
  <c r="EW20" i="72"/>
  <c r="EO20" i="72"/>
  <c r="EG20" i="72"/>
  <c r="GD20" i="72"/>
  <c r="FM20" i="72"/>
  <c r="FD20" i="72"/>
  <c r="EV20" i="72"/>
  <c r="EN20" i="72"/>
  <c r="EF20" i="72"/>
  <c r="DX20" i="72"/>
  <c r="DP20" i="72"/>
  <c r="GC20" i="72"/>
  <c r="FU20" i="72"/>
  <c r="FK20" i="72"/>
  <c r="FC20" i="72"/>
  <c r="EU20" i="72"/>
  <c r="EM20" i="72"/>
  <c r="EE20" i="72"/>
  <c r="GB20" i="72"/>
  <c r="FT20" i="72"/>
  <c r="FJ20" i="72"/>
  <c r="FB20" i="72"/>
  <c r="ED20" i="72"/>
  <c r="DV20" i="72"/>
  <c r="GI20" i="72"/>
  <c r="GA20" i="72"/>
  <c r="FS20" i="72"/>
  <c r="FI20" i="72"/>
  <c r="FA20" i="72"/>
  <c r="GP20" i="72"/>
  <c r="GH20" i="72"/>
  <c r="FZ20" i="72"/>
  <c r="FH20" i="72"/>
  <c r="EZ20" i="72"/>
  <c r="ER20" i="72"/>
  <c r="EJ20" i="72"/>
  <c r="EB20" i="72"/>
  <c r="DT20" i="72"/>
  <c r="GG20" i="72"/>
  <c r="FY20" i="72"/>
  <c r="FG20" i="72"/>
  <c r="EY20" i="72"/>
  <c r="EQ20" i="72"/>
  <c r="EI20" i="72"/>
  <c r="GF20" i="72"/>
  <c r="FF20" i="72"/>
  <c r="EX20" i="72"/>
  <c r="EP20" i="72"/>
  <c r="EH20" i="72"/>
  <c r="DZ20" i="72"/>
  <c r="DR20" i="72"/>
  <c r="GI34" i="72"/>
  <c r="GA34" i="72"/>
  <c r="FS34" i="72"/>
  <c r="FI34" i="72"/>
  <c r="FA34" i="72"/>
  <c r="GP34" i="72"/>
  <c r="GH34" i="72"/>
  <c r="FZ34" i="72"/>
  <c r="FH34" i="72"/>
  <c r="EZ34" i="72"/>
  <c r="ER34" i="72"/>
  <c r="EJ34" i="72"/>
  <c r="EB34" i="72"/>
  <c r="DT34" i="72"/>
  <c r="GG34" i="72"/>
  <c r="FY34" i="72"/>
  <c r="FG34" i="72"/>
  <c r="EY34" i="72"/>
  <c r="EQ34" i="72"/>
  <c r="EI34" i="72"/>
  <c r="GF34" i="72"/>
  <c r="FF34" i="72"/>
  <c r="EX34" i="72"/>
  <c r="EP34" i="72"/>
  <c r="EH34" i="72"/>
  <c r="DZ34" i="72"/>
  <c r="DR34" i="72"/>
  <c r="GE34" i="72"/>
  <c r="FW34" i="72"/>
  <c r="FO34" i="72"/>
  <c r="FE34" i="72"/>
  <c r="EW34" i="72"/>
  <c r="EO34" i="72"/>
  <c r="EG34" i="72"/>
  <c r="GD34" i="72"/>
  <c r="FM34" i="72"/>
  <c r="FD34" i="72"/>
  <c r="EV34" i="72"/>
  <c r="EN34" i="72"/>
  <c r="EF34" i="72"/>
  <c r="DX34" i="72"/>
  <c r="DP34" i="72"/>
  <c r="GC34" i="72"/>
  <c r="FU34" i="72"/>
  <c r="FK34" i="72"/>
  <c r="FC34" i="72"/>
  <c r="EU34" i="72"/>
  <c r="EM34" i="72"/>
  <c r="EE34" i="72"/>
  <c r="GB34" i="72"/>
  <c r="FT34" i="72"/>
  <c r="FJ34" i="72"/>
  <c r="FB34" i="72"/>
  <c r="ED34" i="72"/>
  <c r="DV34" i="72"/>
  <c r="EA44" i="72"/>
  <c r="GO15" i="72"/>
  <c r="GO26" i="72"/>
  <c r="GO14" i="72"/>
  <c r="GO14" i="71"/>
  <c r="I14" i="71" s="1"/>
  <c r="GO16" i="71"/>
  <c r="DT16" i="71" s="1"/>
  <c r="GO17" i="71"/>
  <c r="GO35" i="71"/>
  <c r="I35" i="71" s="1"/>
  <c r="GO40" i="71"/>
  <c r="GO20" i="71"/>
  <c r="GO22" i="71"/>
  <c r="GO25" i="71"/>
  <c r="GO36" i="71"/>
  <c r="GO21" i="71"/>
  <c r="I21" i="71" s="1"/>
  <c r="GO32" i="71"/>
  <c r="GO43" i="71"/>
  <c r="GO15" i="71"/>
  <c r="GO19" i="71"/>
  <c r="I19" i="71" s="1"/>
  <c r="EF16" i="71"/>
  <c r="GF44" i="71"/>
  <c r="EX44" i="71"/>
  <c r="FW44" i="71"/>
  <c r="FE44" i="71"/>
  <c r="FD44" i="71"/>
  <c r="EN44" i="71"/>
  <c r="FK44" i="71"/>
  <c r="EU44" i="71"/>
  <c r="FB44" i="71"/>
  <c r="DV44" i="71"/>
  <c r="GH44" i="71"/>
  <c r="FH44" i="71"/>
  <c r="GP44" i="71"/>
  <c r="FY44" i="71"/>
  <c r="GO24" i="71"/>
  <c r="GO29" i="71"/>
  <c r="I29" i="71" s="1"/>
  <c r="GO37" i="71"/>
  <c r="GO26" i="71"/>
  <c r="GO34" i="71"/>
  <c r="GO42" i="71"/>
  <c r="I42" i="71" s="1"/>
  <c r="GO31" i="71"/>
  <c r="GO39" i="71"/>
  <c r="GO33" i="71"/>
  <c r="GO41" i="71"/>
  <c r="GO30" i="71"/>
  <c r="I30" i="71" s="1"/>
  <c r="GO38" i="71"/>
  <c r="V111" i="71"/>
  <c r="GO23" i="71"/>
  <c r="T111" i="71"/>
  <c r="R111" i="71"/>
  <c r="DS45" i="71"/>
  <c r="EA45" i="71"/>
  <c r="DU45" i="71"/>
  <c r="EC45" i="71"/>
  <c r="GF18" i="70"/>
  <c r="EF19" i="70"/>
  <c r="EU19" i="70"/>
  <c r="EG19" i="70"/>
  <c r="EQ19" i="70"/>
  <c r="GD15" i="70"/>
  <c r="FM15" i="70"/>
  <c r="FD15" i="70"/>
  <c r="EV15" i="70"/>
  <c r="FD17" i="70"/>
  <c r="FJ17" i="70"/>
  <c r="EZ17" i="70"/>
  <c r="ER17" i="70"/>
  <c r="EJ17" i="70"/>
  <c r="EB17" i="70"/>
  <c r="DT17" i="70"/>
  <c r="EI17" i="70"/>
  <c r="EP17" i="70"/>
  <c r="EH17" i="70"/>
  <c r="EL14" i="70"/>
  <c r="EL44" i="70" s="1"/>
  <c r="DP15" i="70"/>
  <c r="DX15" i="70"/>
  <c r="EF15" i="70"/>
  <c r="EN15" i="70"/>
  <c r="EW15" i="70"/>
  <c r="FF15" i="70"/>
  <c r="FZ15" i="70"/>
  <c r="GI15" i="70"/>
  <c r="EF17" i="70"/>
  <c r="FI17" i="70"/>
  <c r="FW17" i="70"/>
  <c r="EG15" i="70"/>
  <c r="EO15" i="70"/>
  <c r="EX15" i="70"/>
  <c r="FG15" i="70"/>
  <c r="GA15" i="70"/>
  <c r="GA17" i="70"/>
  <c r="DR15" i="70"/>
  <c r="DZ15" i="70"/>
  <c r="EH15" i="70"/>
  <c r="EP15" i="70"/>
  <c r="EY15" i="70"/>
  <c r="FH15" i="70"/>
  <c r="FS15" i="70"/>
  <c r="GB15" i="70"/>
  <c r="FM17" i="70"/>
  <c r="GC17" i="70"/>
  <c r="EI15" i="70"/>
  <c r="EQ15" i="70"/>
  <c r="EZ15" i="70"/>
  <c r="FI15" i="70"/>
  <c r="FT15" i="70"/>
  <c r="GC15" i="70"/>
  <c r="GD17" i="70"/>
  <c r="FJ15" i="70"/>
  <c r="FU15" i="70"/>
  <c r="GE15" i="70"/>
  <c r="FW15" i="70"/>
  <c r="GF15" i="70"/>
  <c r="EN17" i="70"/>
  <c r="GO26" i="70"/>
  <c r="GO34" i="70"/>
  <c r="GO42" i="70"/>
  <c r="GO31" i="70"/>
  <c r="I31" i="70" s="1"/>
  <c r="GO39" i="70"/>
  <c r="GO28" i="70"/>
  <c r="GO36" i="70"/>
  <c r="GO33" i="70"/>
  <c r="GO41" i="70"/>
  <c r="GO27" i="70"/>
  <c r="GO32" i="70"/>
  <c r="GO40" i="70"/>
  <c r="GO29" i="70"/>
  <c r="GO37" i="70"/>
  <c r="I37" i="70" s="1"/>
  <c r="DU44" i="70"/>
  <c r="EC44" i="70"/>
  <c r="DQ44" i="70"/>
  <c r="DY44" i="70"/>
  <c r="R109" i="70"/>
  <c r="GC25" i="70"/>
  <c r="FK25" i="70"/>
  <c r="FC25" i="70"/>
  <c r="EU25" i="70"/>
  <c r="EM25" i="70"/>
  <c r="FT25" i="70"/>
  <c r="FB25" i="70"/>
  <c r="ED25" i="70"/>
  <c r="DV25" i="70"/>
  <c r="GI25" i="70"/>
  <c r="FI25" i="70"/>
  <c r="GH25" i="70"/>
  <c r="FZ25" i="70"/>
  <c r="FH25" i="70"/>
  <c r="EZ25" i="70"/>
  <c r="EB25" i="70"/>
  <c r="GP25" i="70"/>
  <c r="GG25" i="70"/>
  <c r="FY25" i="70"/>
  <c r="FG25" i="70"/>
  <c r="EI25" i="70"/>
  <c r="FF25" i="70"/>
  <c r="EX25" i="70"/>
  <c r="EP25" i="70"/>
  <c r="EH25" i="70"/>
  <c r="DR25" i="70"/>
  <c r="GE25" i="70"/>
  <c r="FO25" i="70"/>
  <c r="FE25" i="70"/>
  <c r="EW25" i="70"/>
  <c r="EO25" i="70"/>
  <c r="GD25" i="70"/>
  <c r="FM25" i="70"/>
  <c r="EV25" i="70"/>
  <c r="EN25" i="70"/>
  <c r="EF25" i="70"/>
  <c r="DX25" i="70"/>
  <c r="DP25" i="70"/>
  <c r="DS44" i="70"/>
  <c r="EA44" i="70"/>
  <c r="T109" i="70"/>
  <c r="V109" i="70"/>
  <c r="EY35" i="68"/>
  <c r="EQ35" i="68"/>
  <c r="GF35" i="68"/>
  <c r="FF35" i="68"/>
  <c r="EX35" i="68"/>
  <c r="EP35" i="68"/>
  <c r="EH35" i="68"/>
  <c r="DZ35" i="68"/>
  <c r="DR35" i="68"/>
  <c r="GE35" i="68"/>
  <c r="FW35" i="68"/>
  <c r="FO35" i="68"/>
  <c r="FE35" i="68"/>
  <c r="EW35" i="68"/>
  <c r="EO35" i="68"/>
  <c r="EG35" i="68"/>
  <c r="GD35" i="68"/>
  <c r="FM35" i="68"/>
  <c r="FD35" i="68"/>
  <c r="EV35" i="68"/>
  <c r="EN35" i="68"/>
  <c r="EF35" i="68"/>
  <c r="DX35" i="68"/>
  <c r="DP35" i="68"/>
  <c r="GC35" i="68"/>
  <c r="FU35" i="68"/>
  <c r="FK35" i="68"/>
  <c r="FC35" i="68"/>
  <c r="EU35" i="68"/>
  <c r="EM35" i="68"/>
  <c r="EE35" i="68"/>
  <c r="GB35" i="68"/>
  <c r="FT35" i="68"/>
  <c r="FJ35" i="68"/>
  <c r="FB35" i="68"/>
  <c r="ED35" i="68"/>
  <c r="DV35" i="68"/>
  <c r="GI35" i="68"/>
  <c r="GA35" i="68"/>
  <c r="FS35" i="68"/>
  <c r="FI35" i="68"/>
  <c r="FA35" i="68"/>
  <c r="GP35" i="68"/>
  <c r="GH35" i="68"/>
  <c r="FZ35" i="68"/>
  <c r="FH35" i="68"/>
  <c r="EZ35" i="68"/>
  <c r="ER35" i="68"/>
  <c r="EJ35" i="68"/>
  <c r="EB35" i="68"/>
  <c r="DT35" i="68"/>
  <c r="FY27" i="68"/>
  <c r="FG27" i="68"/>
  <c r="EY27" i="68"/>
  <c r="EX27" i="68"/>
  <c r="EP27" i="68"/>
  <c r="EG27" i="68"/>
  <c r="GD27" i="68"/>
  <c r="FM27" i="68"/>
  <c r="FD27" i="68"/>
  <c r="EV27" i="68"/>
  <c r="EM27" i="68"/>
  <c r="FB27" i="68"/>
  <c r="ED27" i="68"/>
  <c r="DV27" i="68"/>
  <c r="GI27" i="68"/>
  <c r="ER27" i="68"/>
  <c r="EJ27" i="68"/>
  <c r="EB27" i="68"/>
  <c r="GO39" i="68"/>
  <c r="GO38" i="68"/>
  <c r="GO20" i="68"/>
  <c r="GG14" i="68"/>
  <c r="FY14" i="68"/>
  <c r="FI14" i="68"/>
  <c r="FA14" i="68"/>
  <c r="GF14" i="68"/>
  <c r="FH14" i="68"/>
  <c r="EZ14" i="68"/>
  <c r="ER14" i="68"/>
  <c r="EJ14" i="68"/>
  <c r="EB14" i="68"/>
  <c r="DT14" i="68"/>
  <c r="GE14" i="68"/>
  <c r="FW14" i="68"/>
  <c r="FO14" i="68"/>
  <c r="FG14" i="68"/>
  <c r="EY14" i="68"/>
  <c r="EQ14" i="68"/>
  <c r="EI14" i="68"/>
  <c r="GD14" i="68"/>
  <c r="FN14" i="68"/>
  <c r="FF14" i="68"/>
  <c r="EX14" i="68"/>
  <c r="EP14" i="68"/>
  <c r="EH14" i="68"/>
  <c r="DZ14" i="68"/>
  <c r="DR14" i="68"/>
  <c r="GC14" i="68"/>
  <c r="FU14" i="68"/>
  <c r="FM14" i="68"/>
  <c r="FE14" i="68"/>
  <c r="EW14" i="68"/>
  <c r="EO14" i="68"/>
  <c r="EG14" i="68"/>
  <c r="GB14" i="68"/>
  <c r="FT14" i="68"/>
  <c r="FL14" i="68"/>
  <c r="FD14" i="68"/>
  <c r="EV14" i="68"/>
  <c r="EN14" i="68"/>
  <c r="EF14" i="68"/>
  <c r="DX14" i="68"/>
  <c r="DP14" i="68"/>
  <c r="GI14" i="68"/>
  <c r="GA14" i="68"/>
  <c r="FS14" i="68"/>
  <c r="FK14" i="68"/>
  <c r="FC14" i="68"/>
  <c r="EU14" i="68"/>
  <c r="EM14" i="68"/>
  <c r="EE14" i="68"/>
  <c r="GP14" i="68"/>
  <c r="GH14" i="68"/>
  <c r="FZ14" i="68"/>
  <c r="FJ14" i="68"/>
  <c r="FB14" i="68"/>
  <c r="ED14" i="68"/>
  <c r="DV14" i="68"/>
  <c r="EA44" i="68"/>
  <c r="EC44" i="68"/>
  <c r="V108" i="68"/>
  <c r="R108" i="68"/>
  <c r="R111" i="67"/>
  <c r="DU45" i="67"/>
  <c r="EC45" i="67"/>
  <c r="GO24" i="67"/>
  <c r="GO23" i="67"/>
  <c r="I23" i="67" s="1"/>
  <c r="T111" i="67"/>
  <c r="V111" i="67"/>
  <c r="EG21" i="68"/>
  <c r="FK21" i="68"/>
  <c r="FC21" i="68"/>
  <c r="EM21" i="68"/>
  <c r="DV21" i="68"/>
  <c r="GI21" i="68"/>
  <c r="GA21" i="68"/>
  <c r="FS21" i="68"/>
  <c r="FZ21" i="68"/>
  <c r="FH21" i="68"/>
  <c r="EZ21" i="68"/>
  <c r="ER21" i="68"/>
  <c r="FY21" i="68"/>
  <c r="FG21" i="68"/>
  <c r="EY21" i="68"/>
  <c r="EQ21" i="68"/>
  <c r="DS44" i="68"/>
  <c r="DU44" i="68"/>
  <c r="T108" i="68"/>
  <c r="EC45" i="64"/>
  <c r="GO20" i="64"/>
  <c r="GO15" i="64"/>
  <c r="GO21" i="64"/>
  <c r="GO32" i="64"/>
  <c r="FO32" i="64" s="1"/>
  <c r="GO22" i="64"/>
  <c r="GO28" i="64"/>
  <c r="GO34" i="64"/>
  <c r="GO40" i="64"/>
  <c r="GO29" i="64"/>
  <c r="GO35" i="64"/>
  <c r="GO36" i="64"/>
  <c r="GO37" i="64"/>
  <c r="GO43" i="64"/>
  <c r="GO24" i="64"/>
  <c r="FO24" i="64" s="1"/>
  <c r="FB24" i="64"/>
  <c r="GF24" i="64"/>
  <c r="GO18" i="64"/>
  <c r="FO18" i="64" s="1"/>
  <c r="GO23" i="64"/>
  <c r="GO31" i="64"/>
  <c r="GO38" i="64"/>
  <c r="GH38" i="64" s="1"/>
  <c r="GO42" i="64"/>
  <c r="GO25" i="64"/>
  <c r="GO33" i="64"/>
  <c r="GO19" i="64"/>
  <c r="GO27" i="64"/>
  <c r="GO41" i="64"/>
  <c r="GO17" i="64"/>
  <c r="FT17" i="64" s="1"/>
  <c r="GO26" i="64"/>
  <c r="EL44" i="72"/>
  <c r="ET44" i="72"/>
  <c r="EL44" i="68"/>
  <c r="ET44" i="68"/>
  <c r="ET44" i="65"/>
  <c r="ET44" i="70"/>
  <c r="GO39" i="64"/>
  <c r="GE39" i="64" s="1"/>
  <c r="EA45" i="64"/>
  <c r="DS45" i="64"/>
  <c r="V111" i="64"/>
  <c r="DU45" i="64"/>
  <c r="ES44" i="68"/>
  <c r="FQ44" i="68"/>
  <c r="EK44" i="68"/>
  <c r="ET45" i="73"/>
  <c r="ES45" i="64"/>
  <c r="ES45" i="71"/>
  <c r="FQ45" i="71"/>
  <c r="FQ45" i="64"/>
  <c r="EK45" i="64"/>
  <c r="ES44" i="70"/>
  <c r="ET45" i="67"/>
  <c r="ES45" i="67"/>
  <c r="FQ45" i="67"/>
  <c r="FQ44" i="70"/>
  <c r="ES44" i="65"/>
  <c r="FQ44" i="65"/>
  <c r="EK45" i="73"/>
  <c r="ES45" i="73"/>
  <c r="FQ45" i="73"/>
  <c r="EL45" i="64"/>
  <c r="ET45" i="71"/>
  <c r="EK45" i="66"/>
  <c r="ES45" i="66"/>
  <c r="FQ45" i="66"/>
  <c r="EK45" i="69"/>
  <c r="ES45" i="69"/>
  <c r="FQ45" i="69"/>
  <c r="EL45" i="73"/>
  <c r="ET45" i="64"/>
  <c r="EL45" i="66"/>
  <c r="ET45" i="66"/>
  <c r="EL45" i="69"/>
  <c r="ET45" i="69"/>
  <c r="GO27" i="72"/>
  <c r="GF27" i="72" s="1"/>
  <c r="V109" i="72"/>
  <c r="DS44" i="72"/>
  <c r="R109" i="72"/>
  <c r="T109" i="72"/>
  <c r="R111" i="64"/>
  <c r="T111" i="64"/>
  <c r="FT18" i="73"/>
  <c r="EF18" i="73"/>
  <c r="DX18" i="73"/>
  <c r="DP18" i="73"/>
  <c r="EM18" i="73"/>
  <c r="EE18" i="73"/>
  <c r="GP18" i="73"/>
  <c r="GH18" i="73"/>
  <c r="ED18" i="73"/>
  <c r="FY18" i="73"/>
  <c r="FI18" i="73"/>
  <c r="EZ18" i="73"/>
  <c r="ER18" i="73"/>
  <c r="EJ18" i="73"/>
  <c r="EB18" i="73"/>
  <c r="EY18" i="73"/>
  <c r="EQ18" i="73"/>
  <c r="EI18" i="73"/>
  <c r="GD18" i="73"/>
  <c r="EH18" i="73"/>
  <c r="DZ18" i="73"/>
  <c r="FU18" i="73"/>
  <c r="EO18" i="73"/>
  <c r="EG18" i="73"/>
  <c r="FT38" i="73"/>
  <c r="FD38" i="73"/>
  <c r="EV38" i="73"/>
  <c r="EN38" i="73"/>
  <c r="EF38" i="73"/>
  <c r="DX38" i="73"/>
  <c r="FK38" i="73"/>
  <c r="FC38" i="73"/>
  <c r="EU38" i="73"/>
  <c r="EM38" i="73"/>
  <c r="EE38" i="73"/>
  <c r="GP38" i="73"/>
  <c r="ED38" i="73"/>
  <c r="DV38" i="73"/>
  <c r="GG38" i="73"/>
  <c r="FY38" i="73"/>
  <c r="FI38" i="73"/>
  <c r="FA38" i="73"/>
  <c r="EJ38" i="73"/>
  <c r="EB38" i="73"/>
  <c r="DT38" i="73"/>
  <c r="GE38" i="73"/>
  <c r="FW38" i="73"/>
  <c r="FO38" i="73"/>
  <c r="GD38" i="73"/>
  <c r="FF38" i="73"/>
  <c r="EX38" i="73"/>
  <c r="EP38" i="73"/>
  <c r="EH38" i="73"/>
  <c r="DZ38" i="73"/>
  <c r="FE38" i="73"/>
  <c r="EW38" i="73"/>
  <c r="EO38" i="73"/>
  <c r="EG38" i="73"/>
  <c r="GB39" i="73"/>
  <c r="FT39" i="73"/>
  <c r="FD39" i="73"/>
  <c r="EV39" i="73"/>
  <c r="EN39" i="73"/>
  <c r="EF39" i="73"/>
  <c r="DX39" i="73"/>
  <c r="DP39" i="73"/>
  <c r="GI39" i="73"/>
  <c r="GA39" i="73"/>
  <c r="FS39" i="73"/>
  <c r="FK39" i="73"/>
  <c r="FC39" i="73"/>
  <c r="EU39" i="73"/>
  <c r="EM39" i="73"/>
  <c r="EE39" i="73"/>
  <c r="GP39" i="73"/>
  <c r="GH39" i="73"/>
  <c r="FZ39" i="73"/>
  <c r="FJ39" i="73"/>
  <c r="FB39" i="73"/>
  <c r="ED39" i="73"/>
  <c r="DV39" i="73"/>
  <c r="GG39" i="73"/>
  <c r="FY39" i="73"/>
  <c r="FI39" i="73"/>
  <c r="FA39" i="73"/>
  <c r="GF39" i="73"/>
  <c r="FH39" i="73"/>
  <c r="EZ39" i="73"/>
  <c r="ER39" i="73"/>
  <c r="EJ39" i="73"/>
  <c r="EB39" i="73"/>
  <c r="DT39" i="73"/>
  <c r="GE39" i="73"/>
  <c r="FW39" i="73"/>
  <c r="FO39" i="73"/>
  <c r="FG39" i="73"/>
  <c r="EY39" i="73"/>
  <c r="EQ39" i="73"/>
  <c r="EI39" i="73"/>
  <c r="GD39" i="73"/>
  <c r="FF39" i="73"/>
  <c r="EX39" i="73"/>
  <c r="EP39" i="73"/>
  <c r="EH39" i="73"/>
  <c r="DZ39" i="73"/>
  <c r="DR39" i="73"/>
  <c r="GC39" i="73"/>
  <c r="FU39" i="73"/>
  <c r="FM39" i="73"/>
  <c r="FE39" i="73"/>
  <c r="EW39" i="73"/>
  <c r="EO39" i="73"/>
  <c r="EG39" i="73"/>
  <c r="FT25" i="73"/>
  <c r="FD25" i="73"/>
  <c r="EN25" i="73"/>
  <c r="EF25" i="73"/>
  <c r="DP25" i="73"/>
  <c r="GA25" i="73"/>
  <c r="FS25" i="73"/>
  <c r="FK25" i="73"/>
  <c r="FC25" i="73"/>
  <c r="EU25" i="73"/>
  <c r="EM25" i="73"/>
  <c r="EE25" i="73"/>
  <c r="GH25" i="73"/>
  <c r="FZ25" i="73"/>
  <c r="FJ25" i="73"/>
  <c r="FB25" i="73"/>
  <c r="ED25" i="73"/>
  <c r="DV25" i="73"/>
  <c r="GG25" i="73"/>
  <c r="FI25" i="73"/>
  <c r="FA25" i="73"/>
  <c r="GF25" i="73"/>
  <c r="FH25" i="73"/>
  <c r="EZ25" i="73"/>
  <c r="ER25" i="73"/>
  <c r="EJ25" i="73"/>
  <c r="DT25" i="73"/>
  <c r="GE25" i="73"/>
  <c r="FW25" i="73"/>
  <c r="FO25" i="73"/>
  <c r="FG25" i="73"/>
  <c r="EY25" i="73"/>
  <c r="EQ25" i="73"/>
  <c r="GD25" i="73"/>
  <c r="FF25" i="73"/>
  <c r="EX25" i="73"/>
  <c r="EP25" i="73"/>
  <c r="EH25" i="73"/>
  <c r="DZ25" i="73"/>
  <c r="DR25" i="73"/>
  <c r="FU25" i="73"/>
  <c r="FM25" i="73"/>
  <c r="FE25" i="73"/>
  <c r="EW25" i="73"/>
  <c r="EO25" i="73"/>
  <c r="EG25" i="73"/>
  <c r="GB31" i="73"/>
  <c r="EF31" i="73"/>
  <c r="DX31" i="73"/>
  <c r="DP31" i="73"/>
  <c r="GI31" i="73"/>
  <c r="GA31" i="73"/>
  <c r="FS31" i="73"/>
  <c r="EE31" i="73"/>
  <c r="GP31" i="73"/>
  <c r="GH31" i="73"/>
  <c r="FZ31" i="73"/>
  <c r="FJ31" i="73"/>
  <c r="FB31" i="73"/>
  <c r="FI31" i="73"/>
  <c r="FA31" i="73"/>
  <c r="GF31" i="73"/>
  <c r="FH31" i="73"/>
  <c r="EZ31" i="73"/>
  <c r="ER31" i="73"/>
  <c r="FW31" i="73"/>
  <c r="FO31" i="73"/>
  <c r="FG31" i="73"/>
  <c r="EY31" i="73"/>
  <c r="EQ31" i="73"/>
  <c r="EI31" i="73"/>
  <c r="EH31" i="73"/>
  <c r="DZ31" i="73"/>
  <c r="DR31" i="73"/>
  <c r="GC31" i="73"/>
  <c r="FU31" i="73"/>
  <c r="FM31" i="73"/>
  <c r="GB32" i="73"/>
  <c r="EN32" i="73"/>
  <c r="EF32" i="73"/>
  <c r="DX32" i="73"/>
  <c r="DP32" i="73"/>
  <c r="GI32" i="73"/>
  <c r="FC32" i="73"/>
  <c r="EU32" i="73"/>
  <c r="EM32" i="73"/>
  <c r="EE32" i="73"/>
  <c r="GP32" i="73"/>
  <c r="FB32" i="73"/>
  <c r="ED32" i="73"/>
  <c r="DV32" i="73"/>
  <c r="GG32" i="73"/>
  <c r="FY32" i="73"/>
  <c r="FH32" i="73"/>
  <c r="EZ32" i="73"/>
  <c r="ER32" i="73"/>
  <c r="EJ32" i="73"/>
  <c r="EB32" i="73"/>
  <c r="FO32" i="73"/>
  <c r="FG32" i="73"/>
  <c r="EY32" i="73"/>
  <c r="EQ32" i="73"/>
  <c r="EI32" i="73"/>
  <c r="EP32" i="73"/>
  <c r="EH32" i="73"/>
  <c r="DZ32" i="73"/>
  <c r="DR32" i="73"/>
  <c r="GC32" i="73"/>
  <c r="EW32" i="73"/>
  <c r="EO32" i="73"/>
  <c r="EG32" i="73"/>
  <c r="DU44" i="72"/>
  <c r="EC44" i="72"/>
  <c r="EK44" i="72"/>
  <c r="ES44" i="72"/>
  <c r="FQ44" i="72"/>
  <c r="DQ44" i="72"/>
  <c r="DY44" i="72"/>
  <c r="DP15" i="66"/>
  <c r="EF15" i="66"/>
  <c r="EV15" i="66"/>
  <c r="GB15" i="66"/>
  <c r="FO27" i="66"/>
  <c r="EE39" i="66"/>
  <c r="EM39" i="66"/>
  <c r="EU39" i="66"/>
  <c r="FK39" i="66"/>
  <c r="DX15" i="66"/>
  <c r="EN15" i="66"/>
  <c r="FD15" i="66"/>
  <c r="FT15" i="66"/>
  <c r="EG15" i="66"/>
  <c r="EO15" i="66"/>
  <c r="EW15" i="66"/>
  <c r="FE15" i="66"/>
  <c r="FM15" i="66"/>
  <c r="FU15" i="66"/>
  <c r="ER27" i="66"/>
  <c r="DR33" i="66"/>
  <c r="DZ33" i="66"/>
  <c r="DP39" i="66"/>
  <c r="DX39" i="66"/>
  <c r="EF39" i="66"/>
  <c r="EN39" i="66"/>
  <c r="EV39" i="66"/>
  <c r="EE21" i="66"/>
  <c r="EM21" i="66"/>
  <c r="EU21" i="66"/>
  <c r="FK21" i="66"/>
  <c r="EI33" i="66"/>
  <c r="EQ33" i="66"/>
  <c r="EY33" i="66"/>
  <c r="FO33" i="66"/>
  <c r="DP21" i="66"/>
  <c r="DX21" i="66"/>
  <c r="EF21" i="66"/>
  <c r="EN21" i="66"/>
  <c r="EV21" i="66"/>
  <c r="EJ33" i="66"/>
  <c r="ER33" i="66"/>
  <c r="EZ33" i="66"/>
  <c r="DR39" i="66"/>
  <c r="DZ39" i="66"/>
  <c r="EI39" i="66"/>
  <c r="EQ39" i="66"/>
  <c r="EY39" i="66"/>
  <c r="FO39" i="66"/>
  <c r="DR21" i="66"/>
  <c r="DZ21" i="66"/>
  <c r="EN27" i="66"/>
  <c r="EJ39" i="66"/>
  <c r="ER39" i="66"/>
  <c r="EI21" i="66"/>
  <c r="EQ21" i="66"/>
  <c r="EY21" i="66"/>
  <c r="EE33" i="66"/>
  <c r="EM33" i="66"/>
  <c r="EU33" i="66"/>
  <c r="R81" i="41"/>
  <c r="R82" i="41"/>
  <c r="R83" i="41"/>
  <c r="R84" i="41"/>
  <c r="R85" i="41"/>
  <c r="R86" i="41"/>
  <c r="R87" i="41"/>
  <c r="R88" i="41"/>
  <c r="R89" i="41"/>
  <c r="R90" i="41"/>
  <c r="R91" i="41"/>
  <c r="R92" i="41"/>
  <c r="R93" i="41"/>
  <c r="R94" i="41"/>
  <c r="R95" i="41"/>
  <c r="R96" i="41"/>
  <c r="R97" i="41"/>
  <c r="R98" i="41"/>
  <c r="R99" i="41"/>
  <c r="R100" i="41"/>
  <c r="R101" i="41"/>
  <c r="R102" i="41"/>
  <c r="R103" i="41"/>
  <c r="R104" i="41"/>
  <c r="R105" i="41"/>
  <c r="R106" i="41"/>
  <c r="R107" i="41"/>
  <c r="R108" i="41"/>
  <c r="R109" i="41"/>
  <c r="R110" i="41"/>
  <c r="R80" i="63"/>
  <c r="R81" i="63"/>
  <c r="R82" i="63"/>
  <c r="R83" i="63"/>
  <c r="R84" i="63"/>
  <c r="R85" i="63"/>
  <c r="R86" i="63"/>
  <c r="R87" i="63"/>
  <c r="R88" i="63"/>
  <c r="R89" i="63"/>
  <c r="R90" i="63"/>
  <c r="R91" i="63"/>
  <c r="R92" i="63"/>
  <c r="R93" i="63"/>
  <c r="R94" i="63"/>
  <c r="R95" i="63"/>
  <c r="R96" i="63"/>
  <c r="R97" i="63"/>
  <c r="R98" i="63"/>
  <c r="R99" i="63"/>
  <c r="R100" i="63"/>
  <c r="R101" i="63"/>
  <c r="R102" i="63"/>
  <c r="R103" i="63"/>
  <c r="R104" i="63"/>
  <c r="R105" i="63"/>
  <c r="R106" i="63"/>
  <c r="R107" i="63"/>
  <c r="R108" i="63"/>
  <c r="R79" i="63"/>
  <c r="T96" i="63"/>
  <c r="V96" i="63"/>
  <c r="X44" i="63"/>
  <c r="V108" i="63"/>
  <c r="T108" i="63"/>
  <c r="S109" i="63"/>
  <c r="V107" i="63"/>
  <c r="T107" i="63"/>
  <c r="V106" i="63"/>
  <c r="T106" i="63"/>
  <c r="V105" i="63"/>
  <c r="T105" i="63"/>
  <c r="V104" i="63"/>
  <c r="T104" i="63"/>
  <c r="V103" i="63"/>
  <c r="T103" i="63"/>
  <c r="V102" i="63"/>
  <c r="T102" i="63"/>
  <c r="V101" i="63"/>
  <c r="T101" i="63"/>
  <c r="V100" i="63"/>
  <c r="T100" i="63"/>
  <c r="V99" i="63"/>
  <c r="T99" i="63"/>
  <c r="V98" i="63"/>
  <c r="T98" i="63"/>
  <c r="V97" i="63"/>
  <c r="T97" i="63"/>
  <c r="V95" i="63"/>
  <c r="T95" i="63"/>
  <c r="V94" i="63"/>
  <c r="T94" i="63"/>
  <c r="V93" i="63"/>
  <c r="T93" i="63"/>
  <c r="V92" i="63"/>
  <c r="T92" i="63"/>
  <c r="V91" i="63"/>
  <c r="T91" i="63"/>
  <c r="V90" i="63"/>
  <c r="T90" i="63"/>
  <c r="V89" i="63"/>
  <c r="T89" i="63"/>
  <c r="V88" i="63"/>
  <c r="T88" i="63"/>
  <c r="V87" i="63"/>
  <c r="T87" i="63"/>
  <c r="V86" i="63"/>
  <c r="T86" i="63"/>
  <c r="V85" i="63"/>
  <c r="T85" i="63"/>
  <c r="V84" i="63"/>
  <c r="T84" i="63"/>
  <c r="V83" i="63"/>
  <c r="T83" i="63"/>
  <c r="V82" i="63"/>
  <c r="T82" i="63"/>
  <c r="V81" i="63"/>
  <c r="T81" i="63"/>
  <c r="V80" i="63"/>
  <c r="T80" i="63"/>
  <c r="V79" i="63"/>
  <c r="T79" i="63"/>
  <c r="W44" i="63"/>
  <c r="J43" i="63"/>
  <c r="EZ43" i="63" s="1"/>
  <c r="J42" i="63"/>
  <c r="DZ42" i="63" s="1"/>
  <c r="J41" i="63"/>
  <c r="J40" i="63"/>
  <c r="J39" i="63"/>
  <c r="EZ39" i="63" s="1"/>
  <c r="J38" i="63"/>
  <c r="J37" i="63"/>
  <c r="J36" i="63"/>
  <c r="EV36" i="63" s="1"/>
  <c r="J35" i="63"/>
  <c r="J34" i="63"/>
  <c r="J33" i="63"/>
  <c r="J32" i="63"/>
  <c r="EV32" i="63" s="1"/>
  <c r="J31" i="63"/>
  <c r="DZ31" i="63" s="1"/>
  <c r="J30" i="63"/>
  <c r="J29" i="63"/>
  <c r="EZ29" i="63" s="1"/>
  <c r="J28" i="63"/>
  <c r="FO28" i="63" s="1"/>
  <c r="J27" i="63"/>
  <c r="J26" i="63"/>
  <c r="J25" i="63"/>
  <c r="J24" i="63"/>
  <c r="EZ24" i="63" s="1"/>
  <c r="J23" i="63"/>
  <c r="EZ23" i="63" s="1"/>
  <c r="J22" i="63"/>
  <c r="EV22" i="63" s="1"/>
  <c r="J21" i="63"/>
  <c r="FK21" i="63" s="1"/>
  <c r="J20" i="63"/>
  <c r="J19" i="63"/>
  <c r="J18" i="63"/>
  <c r="J17" i="63"/>
  <c r="J16" i="63"/>
  <c r="J15" i="63"/>
  <c r="EY15" i="63" s="1"/>
  <c r="J14" i="63"/>
  <c r="EV14" i="63" s="1"/>
  <c r="DO14" i="63"/>
  <c r="GP43" i="63"/>
  <c r="GN43" i="63"/>
  <c r="GM43" i="63"/>
  <c r="GL43" i="63"/>
  <c r="GK43" i="63"/>
  <c r="GJ43" i="63"/>
  <c r="GI43" i="63"/>
  <c r="GH43" i="63"/>
  <c r="GG43" i="63"/>
  <c r="GF43" i="63"/>
  <c r="GE43" i="63"/>
  <c r="GD43" i="63"/>
  <c r="GC43" i="63"/>
  <c r="GB43" i="63"/>
  <c r="GA43" i="63"/>
  <c r="FZ43" i="63"/>
  <c r="FY43" i="63"/>
  <c r="FW43" i="63"/>
  <c r="FU43" i="63"/>
  <c r="FT43" i="63"/>
  <c r="FS43" i="63"/>
  <c r="FQ43" i="63"/>
  <c r="FM43" i="63"/>
  <c r="FJ43" i="63"/>
  <c r="FI43" i="63"/>
  <c r="FH43" i="63"/>
  <c r="FG43" i="63"/>
  <c r="FF43" i="63"/>
  <c r="FE43" i="63"/>
  <c r="FD43" i="63"/>
  <c r="FC43" i="63"/>
  <c r="FB43" i="63"/>
  <c r="FA43" i="63"/>
  <c r="EY43" i="63"/>
  <c r="EX43" i="63"/>
  <c r="EW43" i="63"/>
  <c r="ET43" i="63"/>
  <c r="ES43" i="63"/>
  <c r="ER43" i="63"/>
  <c r="EQ43" i="63"/>
  <c r="EP43" i="63"/>
  <c r="EO43" i="63"/>
  <c r="EN43" i="63"/>
  <c r="EL43" i="63"/>
  <c r="EK43" i="63"/>
  <c r="EJ43" i="63"/>
  <c r="EI43" i="63"/>
  <c r="EH43" i="63"/>
  <c r="EG43" i="63"/>
  <c r="EF43" i="63"/>
  <c r="ED43" i="63"/>
  <c r="EC43" i="63"/>
  <c r="EB43" i="63"/>
  <c r="EA43" i="63"/>
  <c r="DZ43" i="63"/>
  <c r="DY43" i="63"/>
  <c r="DX43" i="63"/>
  <c r="DW43" i="63"/>
  <c r="DV43" i="63"/>
  <c r="DU43" i="63"/>
  <c r="DT43" i="63"/>
  <c r="DS43" i="63"/>
  <c r="DR43" i="63"/>
  <c r="DQ43" i="63"/>
  <c r="DP43" i="63"/>
  <c r="DO43" i="63"/>
  <c r="GP42" i="63"/>
  <c r="GN42" i="63"/>
  <c r="GM42" i="63"/>
  <c r="GL42" i="63"/>
  <c r="GK42" i="63"/>
  <c r="GJ42" i="63"/>
  <c r="GI42" i="63"/>
  <c r="GH42" i="63"/>
  <c r="GG42" i="63"/>
  <c r="GF42" i="63"/>
  <c r="GE42" i="63"/>
  <c r="GD42" i="63"/>
  <c r="GC42" i="63"/>
  <c r="GB42" i="63"/>
  <c r="GA42" i="63"/>
  <c r="FZ42" i="63"/>
  <c r="FY42" i="63"/>
  <c r="FW42" i="63"/>
  <c r="FU42" i="63"/>
  <c r="FT42" i="63"/>
  <c r="FS42" i="63"/>
  <c r="FQ42" i="63"/>
  <c r="FM42" i="63"/>
  <c r="FJ42" i="63"/>
  <c r="FI42" i="63"/>
  <c r="FH42" i="63"/>
  <c r="FG42" i="63"/>
  <c r="FF42" i="63"/>
  <c r="FE42" i="63"/>
  <c r="FD42" i="63"/>
  <c r="FC42" i="63"/>
  <c r="FB42" i="63"/>
  <c r="FA42" i="63"/>
  <c r="EX42" i="63"/>
  <c r="EW42" i="63"/>
  <c r="ET42" i="63"/>
  <c r="ES42" i="63"/>
  <c r="EP42" i="63"/>
  <c r="EO42" i="63"/>
  <c r="EN42" i="63"/>
  <c r="EL42" i="63"/>
  <c r="EK42" i="63"/>
  <c r="EH42" i="63"/>
  <c r="EG42" i="63"/>
  <c r="ED42" i="63"/>
  <c r="EC42" i="63"/>
  <c r="EB42" i="63"/>
  <c r="EA42" i="63"/>
  <c r="DY42" i="63"/>
  <c r="DW42" i="63"/>
  <c r="DV42" i="63"/>
  <c r="DU42" i="63"/>
  <c r="DT42" i="63"/>
  <c r="DS42" i="63"/>
  <c r="DQ42" i="63"/>
  <c r="DO42" i="63"/>
  <c r="GN41" i="63"/>
  <c r="GM41" i="63"/>
  <c r="GL41" i="63"/>
  <c r="GK41" i="63"/>
  <c r="GJ41" i="63"/>
  <c r="FQ41" i="63"/>
  <c r="ET41" i="63"/>
  <c r="ES41" i="63"/>
  <c r="EL41" i="63"/>
  <c r="EK41" i="63"/>
  <c r="EC41" i="63"/>
  <c r="EA41" i="63"/>
  <c r="DY41" i="63"/>
  <c r="DW41" i="63"/>
  <c r="DU41" i="63"/>
  <c r="DS41" i="63"/>
  <c r="DQ41" i="63"/>
  <c r="DO41" i="63"/>
  <c r="GN40" i="63"/>
  <c r="GM40" i="63"/>
  <c r="GL40" i="63"/>
  <c r="GK40" i="63"/>
  <c r="GJ40" i="63"/>
  <c r="FQ40" i="63"/>
  <c r="ET40" i="63"/>
  <c r="ES40" i="63"/>
  <c r="EL40" i="63"/>
  <c r="EK40" i="63"/>
  <c r="EC40" i="63"/>
  <c r="EA40" i="63"/>
  <c r="DY40" i="63"/>
  <c r="DW40" i="63"/>
  <c r="DU40" i="63"/>
  <c r="DS40" i="63"/>
  <c r="DQ40" i="63"/>
  <c r="DO40" i="63"/>
  <c r="GP39" i="63"/>
  <c r="GN39" i="63"/>
  <c r="GM39" i="63"/>
  <c r="GL39" i="63"/>
  <c r="GK39" i="63"/>
  <c r="GJ39" i="63"/>
  <c r="GI39" i="63"/>
  <c r="GH39" i="63"/>
  <c r="GG39" i="63"/>
  <c r="GF39" i="63"/>
  <c r="GE39" i="63"/>
  <c r="GD39" i="63"/>
  <c r="GC39" i="63"/>
  <c r="GB39" i="63"/>
  <c r="GA39" i="63"/>
  <c r="FZ39" i="63"/>
  <c r="FY39" i="63"/>
  <c r="FW39" i="63"/>
  <c r="FU39" i="63"/>
  <c r="FT39" i="63"/>
  <c r="FS39" i="63"/>
  <c r="FQ39" i="63"/>
  <c r="FM39" i="63"/>
  <c r="FJ39" i="63"/>
  <c r="FI39" i="63"/>
  <c r="FH39" i="63"/>
  <c r="FG39" i="63"/>
  <c r="FF39" i="63"/>
  <c r="FE39" i="63"/>
  <c r="FD39" i="63"/>
  <c r="FC39" i="63"/>
  <c r="FB39" i="63"/>
  <c r="FA39" i="63"/>
  <c r="EX39" i="63"/>
  <c r="EW39" i="63"/>
  <c r="ET39" i="63"/>
  <c r="ES39" i="63"/>
  <c r="EP39" i="63"/>
  <c r="EO39" i="63"/>
  <c r="EL39" i="63"/>
  <c r="EK39" i="63"/>
  <c r="EH39" i="63"/>
  <c r="EG39" i="63"/>
  <c r="ED39" i="63"/>
  <c r="EC39" i="63"/>
  <c r="EB39" i="63"/>
  <c r="EA39" i="63"/>
  <c r="DY39" i="63"/>
  <c r="DW39" i="63"/>
  <c r="DV39" i="63"/>
  <c r="DU39" i="63"/>
  <c r="DT39" i="63"/>
  <c r="DS39" i="63"/>
  <c r="DQ39" i="63"/>
  <c r="DO39" i="63"/>
  <c r="GP38" i="63"/>
  <c r="GN38" i="63"/>
  <c r="GM38" i="63"/>
  <c r="GL38" i="63"/>
  <c r="GK38" i="63"/>
  <c r="GJ38" i="63"/>
  <c r="GI38" i="63"/>
  <c r="GH38" i="63"/>
  <c r="GG38" i="63"/>
  <c r="GF38" i="63"/>
  <c r="GE38" i="63"/>
  <c r="GD38" i="63"/>
  <c r="GC38" i="63"/>
  <c r="GB38" i="63"/>
  <c r="GA38" i="63"/>
  <c r="FZ38" i="63"/>
  <c r="FY38" i="63"/>
  <c r="FW38" i="63"/>
  <c r="FU38" i="63"/>
  <c r="FT38" i="63"/>
  <c r="FS38" i="63"/>
  <c r="FQ38" i="63"/>
  <c r="FO38" i="63"/>
  <c r="FM38" i="63"/>
  <c r="FK38" i="63"/>
  <c r="FJ38" i="63"/>
  <c r="FI38" i="63"/>
  <c r="FH38" i="63"/>
  <c r="FG38" i="63"/>
  <c r="FF38" i="63"/>
  <c r="FE38" i="63"/>
  <c r="FD38" i="63"/>
  <c r="FC38" i="63"/>
  <c r="FB38" i="63"/>
  <c r="FA38" i="63"/>
  <c r="EZ38" i="63"/>
  <c r="EY38" i="63"/>
  <c r="EX38" i="63"/>
  <c r="EW38" i="63"/>
  <c r="EV38" i="63"/>
  <c r="EU38" i="63"/>
  <c r="ET38" i="63"/>
  <c r="ES38" i="63"/>
  <c r="ER38" i="63"/>
  <c r="EQ38" i="63"/>
  <c r="EP38" i="63"/>
  <c r="EO38" i="63"/>
  <c r="EN38" i="63"/>
  <c r="EM38" i="63"/>
  <c r="EL38" i="63"/>
  <c r="EK38" i="63"/>
  <c r="EJ38" i="63"/>
  <c r="EI38" i="63"/>
  <c r="EH38" i="63"/>
  <c r="EG38" i="63"/>
  <c r="EF38" i="63"/>
  <c r="EE38" i="63"/>
  <c r="ED38" i="63"/>
  <c r="EC38" i="63"/>
  <c r="EB38" i="63"/>
  <c r="EA38" i="63"/>
  <c r="DZ38" i="63"/>
  <c r="DY38" i="63"/>
  <c r="DX38" i="63"/>
  <c r="DW38" i="63"/>
  <c r="DV38" i="63"/>
  <c r="DU38" i="63"/>
  <c r="DT38" i="63"/>
  <c r="DS38" i="63"/>
  <c r="DR38" i="63"/>
  <c r="DQ38" i="63"/>
  <c r="DP38" i="63"/>
  <c r="DO38" i="63"/>
  <c r="GP37" i="63"/>
  <c r="GN37" i="63"/>
  <c r="GM37" i="63"/>
  <c r="GL37" i="63"/>
  <c r="GK37" i="63"/>
  <c r="GJ37" i="63"/>
  <c r="GI37" i="63"/>
  <c r="GH37" i="63"/>
  <c r="GG37" i="63"/>
  <c r="GF37" i="63"/>
  <c r="GE37" i="63"/>
  <c r="GD37" i="63"/>
  <c r="GC37" i="63"/>
  <c r="GB37" i="63"/>
  <c r="GA37" i="63"/>
  <c r="FZ37" i="63"/>
  <c r="FY37" i="63"/>
  <c r="FW37" i="63"/>
  <c r="FU37" i="63"/>
  <c r="FT37" i="63"/>
  <c r="FS37" i="63"/>
  <c r="FQ37" i="63"/>
  <c r="FO37" i="63"/>
  <c r="FM37" i="63"/>
  <c r="FK37" i="63"/>
  <c r="FJ37" i="63"/>
  <c r="FI37" i="63"/>
  <c r="FH37" i="63"/>
  <c r="FG37" i="63"/>
  <c r="FF37" i="63"/>
  <c r="FE37" i="63"/>
  <c r="FD37" i="63"/>
  <c r="FC37" i="63"/>
  <c r="FB37" i="63"/>
  <c r="FA37" i="63"/>
  <c r="EZ37" i="63"/>
  <c r="EY37" i="63"/>
  <c r="EX37" i="63"/>
  <c r="EW37" i="63"/>
  <c r="EV37" i="63"/>
  <c r="EU37" i="63"/>
  <c r="ET37" i="63"/>
  <c r="ES37" i="63"/>
  <c r="ER37" i="63"/>
  <c r="EQ37" i="63"/>
  <c r="EP37" i="63"/>
  <c r="EO37" i="63"/>
  <c r="EN37" i="63"/>
  <c r="EM37" i="63"/>
  <c r="EL37" i="63"/>
  <c r="EK37" i="63"/>
  <c r="EJ37" i="63"/>
  <c r="EI37" i="63"/>
  <c r="EH37" i="63"/>
  <c r="EG37" i="63"/>
  <c r="EF37" i="63"/>
  <c r="EE37" i="63"/>
  <c r="ED37" i="63"/>
  <c r="EC37" i="63"/>
  <c r="EB37" i="63"/>
  <c r="EA37" i="63"/>
  <c r="DZ37" i="63"/>
  <c r="DY37" i="63"/>
  <c r="DX37" i="63"/>
  <c r="DW37" i="63"/>
  <c r="DV37" i="63"/>
  <c r="DU37" i="63"/>
  <c r="DT37" i="63"/>
  <c r="DS37" i="63"/>
  <c r="DR37" i="63"/>
  <c r="DQ37" i="63"/>
  <c r="DP37" i="63"/>
  <c r="DO37" i="63"/>
  <c r="GP36" i="63"/>
  <c r="GN36" i="63"/>
  <c r="GM36" i="63"/>
  <c r="GL36" i="63"/>
  <c r="GK36" i="63"/>
  <c r="GJ36" i="63"/>
  <c r="GI36" i="63"/>
  <c r="GH36" i="63"/>
  <c r="GG36" i="63"/>
  <c r="GF36" i="63"/>
  <c r="GE36" i="63"/>
  <c r="GD36" i="63"/>
  <c r="GC36" i="63"/>
  <c r="GB36" i="63"/>
  <c r="GA36" i="63"/>
  <c r="FZ36" i="63"/>
  <c r="FY36" i="63"/>
  <c r="FW36" i="63"/>
  <c r="FU36" i="63"/>
  <c r="FT36" i="63"/>
  <c r="FS36" i="63"/>
  <c r="FQ36" i="63"/>
  <c r="FO36" i="63"/>
  <c r="FM36" i="63"/>
  <c r="FJ36" i="63"/>
  <c r="FI36" i="63"/>
  <c r="FH36" i="63"/>
  <c r="FG36" i="63"/>
  <c r="FF36" i="63"/>
  <c r="FE36" i="63"/>
  <c r="FD36" i="63"/>
  <c r="FC36" i="63"/>
  <c r="FB36" i="63"/>
  <c r="FA36" i="63"/>
  <c r="EZ36" i="63"/>
  <c r="EY36" i="63"/>
  <c r="EX36" i="63"/>
  <c r="EW36" i="63"/>
  <c r="EU36" i="63"/>
  <c r="ET36" i="63"/>
  <c r="ES36" i="63"/>
  <c r="ER36" i="63"/>
  <c r="EQ36" i="63"/>
  <c r="EP36" i="63"/>
  <c r="EO36" i="63"/>
  <c r="EM36" i="63"/>
  <c r="EL36" i="63"/>
  <c r="EK36" i="63"/>
  <c r="EJ36" i="63"/>
  <c r="EI36" i="63"/>
  <c r="EH36" i="63"/>
  <c r="EG36" i="63"/>
  <c r="EE36" i="63"/>
  <c r="ED36" i="63"/>
  <c r="EC36" i="63"/>
  <c r="EB36" i="63"/>
  <c r="EA36" i="63"/>
  <c r="DZ36" i="63"/>
  <c r="DY36" i="63"/>
  <c r="DW36" i="63"/>
  <c r="DV36" i="63"/>
  <c r="DU36" i="63"/>
  <c r="DT36" i="63"/>
  <c r="DS36" i="63"/>
  <c r="DR36" i="63"/>
  <c r="DQ36" i="63"/>
  <c r="DP36" i="63"/>
  <c r="DO36" i="63"/>
  <c r="GP35" i="63"/>
  <c r="GN35" i="63"/>
  <c r="GM35" i="63"/>
  <c r="GL35" i="63"/>
  <c r="GK35" i="63"/>
  <c r="GJ35" i="63"/>
  <c r="GI35" i="63"/>
  <c r="GH35" i="63"/>
  <c r="GG35" i="63"/>
  <c r="GF35" i="63"/>
  <c r="GE35" i="63"/>
  <c r="GD35" i="63"/>
  <c r="GC35" i="63"/>
  <c r="GB35" i="63"/>
  <c r="GA35" i="63"/>
  <c r="FZ35" i="63"/>
  <c r="FY35" i="63"/>
  <c r="FW35" i="63"/>
  <c r="FU35" i="63"/>
  <c r="FT35" i="63"/>
  <c r="FS35" i="63"/>
  <c r="FQ35" i="63"/>
  <c r="FO35" i="63"/>
  <c r="FM35" i="63"/>
  <c r="FK35" i="63"/>
  <c r="FJ35" i="63"/>
  <c r="FI35" i="63"/>
  <c r="FH35" i="63"/>
  <c r="FG35" i="63"/>
  <c r="FF35" i="63"/>
  <c r="FE35" i="63"/>
  <c r="FD35" i="63"/>
  <c r="FC35" i="63"/>
  <c r="FB35" i="63"/>
  <c r="FA35" i="63"/>
  <c r="EZ35" i="63"/>
  <c r="EY35" i="63"/>
  <c r="EX35" i="63"/>
  <c r="EW35" i="63"/>
  <c r="EV35" i="63"/>
  <c r="EU35" i="63"/>
  <c r="ET35" i="63"/>
  <c r="ES35" i="63"/>
  <c r="ER35" i="63"/>
  <c r="EQ35" i="63"/>
  <c r="EP35" i="63"/>
  <c r="EO35" i="63"/>
  <c r="EN35" i="63"/>
  <c r="EM35" i="63"/>
  <c r="EL35" i="63"/>
  <c r="EK35" i="63"/>
  <c r="EJ35" i="63"/>
  <c r="EI35" i="63"/>
  <c r="EH35" i="63"/>
  <c r="EG35" i="63"/>
  <c r="EF35" i="63"/>
  <c r="EE35" i="63"/>
  <c r="ED35" i="63"/>
  <c r="EC35" i="63"/>
  <c r="EB35" i="63"/>
  <c r="EA35" i="63"/>
  <c r="DZ35" i="63"/>
  <c r="DY35" i="63"/>
  <c r="DX35" i="63"/>
  <c r="DW35" i="63"/>
  <c r="DV35" i="63"/>
  <c r="DU35" i="63"/>
  <c r="DT35" i="63"/>
  <c r="DS35" i="63"/>
  <c r="DR35" i="63"/>
  <c r="DQ35" i="63"/>
  <c r="DP35" i="63"/>
  <c r="DO35" i="63"/>
  <c r="GN34" i="63"/>
  <c r="GM34" i="63"/>
  <c r="GL34" i="63"/>
  <c r="GK34" i="63"/>
  <c r="GJ34" i="63"/>
  <c r="FQ34" i="63"/>
  <c r="ET34" i="63"/>
  <c r="ES34" i="63"/>
  <c r="EL34" i="63"/>
  <c r="EK34" i="63"/>
  <c r="EC34" i="63"/>
  <c r="EA34" i="63"/>
  <c r="DY34" i="63"/>
  <c r="DW34" i="63"/>
  <c r="DU34" i="63"/>
  <c r="DS34" i="63"/>
  <c r="DQ34" i="63"/>
  <c r="DO34" i="63"/>
  <c r="GN33" i="63"/>
  <c r="GM33" i="63"/>
  <c r="GL33" i="63"/>
  <c r="GK33" i="63"/>
  <c r="GJ33" i="63"/>
  <c r="FQ33" i="63"/>
  <c r="ET33" i="63"/>
  <c r="ES33" i="63"/>
  <c r="EL33" i="63"/>
  <c r="EK33" i="63"/>
  <c r="EC33" i="63"/>
  <c r="EA33" i="63"/>
  <c r="DY33" i="63"/>
  <c r="DW33" i="63"/>
  <c r="DU33" i="63"/>
  <c r="DS33" i="63"/>
  <c r="DQ33" i="63"/>
  <c r="DO33" i="63"/>
  <c r="GP32" i="63"/>
  <c r="GN32" i="63"/>
  <c r="GM32" i="63"/>
  <c r="GL32" i="63"/>
  <c r="GK32" i="63"/>
  <c r="GJ32" i="63"/>
  <c r="GI32" i="63"/>
  <c r="GH32" i="63"/>
  <c r="GG32" i="63"/>
  <c r="GF32" i="63"/>
  <c r="GE32" i="63"/>
  <c r="GD32" i="63"/>
  <c r="GC32" i="63"/>
  <c r="GB32" i="63"/>
  <c r="GA32" i="63"/>
  <c r="FZ32" i="63"/>
  <c r="FY32" i="63"/>
  <c r="FW32" i="63"/>
  <c r="FU32" i="63"/>
  <c r="FT32" i="63"/>
  <c r="FS32" i="63"/>
  <c r="FQ32" i="63"/>
  <c r="FM32" i="63"/>
  <c r="FJ32" i="63"/>
  <c r="FI32" i="63"/>
  <c r="FH32" i="63"/>
  <c r="FG32" i="63"/>
  <c r="FF32" i="63"/>
  <c r="FE32" i="63"/>
  <c r="FD32" i="63"/>
  <c r="FC32" i="63"/>
  <c r="FB32" i="63"/>
  <c r="FA32" i="63"/>
  <c r="EX32" i="63"/>
  <c r="EW32" i="63"/>
  <c r="ET32" i="63"/>
  <c r="ES32" i="63"/>
  <c r="EP32" i="63"/>
  <c r="EO32" i="63"/>
  <c r="EL32" i="63"/>
  <c r="EK32" i="63"/>
  <c r="EH32" i="63"/>
  <c r="EG32" i="63"/>
  <c r="ED32" i="63"/>
  <c r="EC32" i="63"/>
  <c r="EB32" i="63"/>
  <c r="EA32" i="63"/>
  <c r="DY32" i="63"/>
  <c r="DW32" i="63"/>
  <c r="DV32" i="63"/>
  <c r="DU32" i="63"/>
  <c r="DT32" i="63"/>
  <c r="DS32" i="63"/>
  <c r="DQ32" i="63"/>
  <c r="DO32" i="63"/>
  <c r="GP31" i="63"/>
  <c r="GN31" i="63"/>
  <c r="GM31" i="63"/>
  <c r="GL31" i="63"/>
  <c r="GK31" i="63"/>
  <c r="GJ31" i="63"/>
  <c r="GI31" i="63"/>
  <c r="GH31" i="63"/>
  <c r="GG31" i="63"/>
  <c r="GF31" i="63"/>
  <c r="GE31" i="63"/>
  <c r="GD31" i="63"/>
  <c r="GC31" i="63"/>
  <c r="GB31" i="63"/>
  <c r="GA31" i="63"/>
  <c r="FZ31" i="63"/>
  <c r="FY31" i="63"/>
  <c r="FW31" i="63"/>
  <c r="FU31" i="63"/>
  <c r="FT31" i="63"/>
  <c r="FS31" i="63"/>
  <c r="FQ31" i="63"/>
  <c r="FM31" i="63"/>
  <c r="FJ31" i="63"/>
  <c r="FI31" i="63"/>
  <c r="FH31" i="63"/>
  <c r="FG31" i="63"/>
  <c r="FF31" i="63"/>
  <c r="FE31" i="63"/>
  <c r="FD31" i="63"/>
  <c r="FC31" i="63"/>
  <c r="FB31" i="63"/>
  <c r="FA31" i="63"/>
  <c r="EX31" i="63"/>
  <c r="EW31" i="63"/>
  <c r="ET31" i="63"/>
  <c r="ES31" i="63"/>
  <c r="EP31" i="63"/>
  <c r="EO31" i="63"/>
  <c r="EL31" i="63"/>
  <c r="EK31" i="63"/>
  <c r="EH31" i="63"/>
  <c r="EG31" i="63"/>
  <c r="EE31" i="63"/>
  <c r="ED31" i="63"/>
  <c r="EC31" i="63"/>
  <c r="EB31" i="63"/>
  <c r="EA31" i="63"/>
  <c r="DY31" i="63"/>
  <c r="DW31" i="63"/>
  <c r="DV31" i="63"/>
  <c r="DU31" i="63"/>
  <c r="DT31" i="63"/>
  <c r="DS31" i="63"/>
  <c r="DQ31" i="63"/>
  <c r="DO31" i="63"/>
  <c r="GP30" i="63"/>
  <c r="GN30" i="63"/>
  <c r="GM30" i="63"/>
  <c r="GL30" i="63"/>
  <c r="GK30" i="63"/>
  <c r="GJ30" i="63"/>
  <c r="GI30" i="63"/>
  <c r="GH30" i="63"/>
  <c r="GG30" i="63"/>
  <c r="GF30" i="63"/>
  <c r="GE30" i="63"/>
  <c r="GD30" i="63"/>
  <c r="GC30" i="63"/>
  <c r="GB30" i="63"/>
  <c r="GA30" i="63"/>
  <c r="FZ30" i="63"/>
  <c r="FY30" i="63"/>
  <c r="FW30" i="63"/>
  <c r="FU30" i="63"/>
  <c r="FT30" i="63"/>
  <c r="FS30" i="63"/>
  <c r="FQ30" i="63"/>
  <c r="FO30" i="63"/>
  <c r="FM30" i="63"/>
  <c r="FK30" i="63"/>
  <c r="FJ30" i="63"/>
  <c r="FI30" i="63"/>
  <c r="FH30" i="63"/>
  <c r="FG30" i="63"/>
  <c r="FF30" i="63"/>
  <c r="FE30" i="63"/>
  <c r="FD30" i="63"/>
  <c r="FC30" i="63"/>
  <c r="FB30" i="63"/>
  <c r="FA30" i="63"/>
  <c r="EZ30" i="63"/>
  <c r="EY30" i="63"/>
  <c r="EX30" i="63"/>
  <c r="EW30" i="63"/>
  <c r="EV30" i="63"/>
  <c r="EU30" i="63"/>
  <c r="ET30" i="63"/>
  <c r="ES30" i="63"/>
  <c r="ER30" i="63"/>
  <c r="EQ30" i="63"/>
  <c r="EP30" i="63"/>
  <c r="EO30" i="63"/>
  <c r="EN30" i="63"/>
  <c r="EM30" i="63"/>
  <c r="EL30" i="63"/>
  <c r="EK30" i="63"/>
  <c r="EJ30" i="63"/>
  <c r="EI30" i="63"/>
  <c r="EH30" i="63"/>
  <c r="EG30" i="63"/>
  <c r="EF30" i="63"/>
  <c r="EE30" i="63"/>
  <c r="ED30" i="63"/>
  <c r="EC30" i="63"/>
  <c r="EB30" i="63"/>
  <c r="EA30" i="63"/>
  <c r="DZ30" i="63"/>
  <c r="DY30" i="63"/>
  <c r="DX30" i="63"/>
  <c r="DW30" i="63"/>
  <c r="DV30" i="63"/>
  <c r="DU30" i="63"/>
  <c r="DT30" i="63"/>
  <c r="DS30" i="63"/>
  <c r="DR30" i="63"/>
  <c r="DQ30" i="63"/>
  <c r="DP30" i="63"/>
  <c r="DO30" i="63"/>
  <c r="GP29" i="63"/>
  <c r="GN29" i="63"/>
  <c r="GM29" i="63"/>
  <c r="GL29" i="63"/>
  <c r="GK29" i="63"/>
  <c r="GJ29" i="63"/>
  <c r="GI29" i="63"/>
  <c r="GH29" i="63"/>
  <c r="GG29" i="63"/>
  <c r="GF29" i="63"/>
  <c r="GE29" i="63"/>
  <c r="GD29" i="63"/>
  <c r="GC29" i="63"/>
  <c r="GB29" i="63"/>
  <c r="GA29" i="63"/>
  <c r="FZ29" i="63"/>
  <c r="FY29" i="63"/>
  <c r="FW29" i="63"/>
  <c r="FU29" i="63"/>
  <c r="FT29" i="63"/>
  <c r="FS29" i="63"/>
  <c r="FQ29" i="63"/>
  <c r="FO29" i="63"/>
  <c r="FM29" i="63"/>
  <c r="FK29" i="63"/>
  <c r="FJ29" i="63"/>
  <c r="FI29" i="63"/>
  <c r="FH29" i="63"/>
  <c r="FG29" i="63"/>
  <c r="FF29" i="63"/>
  <c r="FE29" i="63"/>
  <c r="FD29" i="63"/>
  <c r="FC29" i="63"/>
  <c r="FB29" i="63"/>
  <c r="FA29" i="63"/>
  <c r="EY29" i="63"/>
  <c r="EX29" i="63"/>
  <c r="EW29" i="63"/>
  <c r="EV29" i="63"/>
  <c r="EU29" i="63"/>
  <c r="ET29" i="63"/>
  <c r="ES29" i="63"/>
  <c r="ER29" i="63"/>
  <c r="EQ29" i="63"/>
  <c r="EP29" i="63"/>
  <c r="EO29" i="63"/>
  <c r="EN29" i="63"/>
  <c r="EM29" i="63"/>
  <c r="EL29" i="63"/>
  <c r="EK29" i="63"/>
  <c r="EJ29" i="63"/>
  <c r="EI29" i="63"/>
  <c r="EH29" i="63"/>
  <c r="EG29" i="63"/>
  <c r="EF29" i="63"/>
  <c r="EE29" i="63"/>
  <c r="ED29" i="63"/>
  <c r="EC29" i="63"/>
  <c r="EB29" i="63"/>
  <c r="EA29" i="63"/>
  <c r="DZ29" i="63"/>
  <c r="DY29" i="63"/>
  <c r="DX29" i="63"/>
  <c r="DW29" i="63"/>
  <c r="DV29" i="63"/>
  <c r="DU29" i="63"/>
  <c r="DT29" i="63"/>
  <c r="DS29" i="63"/>
  <c r="DR29" i="63"/>
  <c r="DQ29" i="63"/>
  <c r="DP29" i="63"/>
  <c r="DO29" i="63"/>
  <c r="GP28" i="63"/>
  <c r="GN28" i="63"/>
  <c r="GM28" i="63"/>
  <c r="GL28" i="63"/>
  <c r="GK28" i="63"/>
  <c r="GJ28" i="63"/>
  <c r="GI28" i="63"/>
  <c r="GH28" i="63"/>
  <c r="GG28" i="63"/>
  <c r="GF28" i="63"/>
  <c r="GE28" i="63"/>
  <c r="GD28" i="63"/>
  <c r="GC28" i="63"/>
  <c r="GB28" i="63"/>
  <c r="GA28" i="63"/>
  <c r="FZ28" i="63"/>
  <c r="FY28" i="63"/>
  <c r="FW28" i="63"/>
  <c r="FU28" i="63"/>
  <c r="FT28" i="63"/>
  <c r="FS28" i="63"/>
  <c r="FQ28" i="63"/>
  <c r="FM28" i="63"/>
  <c r="FJ28" i="63"/>
  <c r="FI28" i="63"/>
  <c r="FH28" i="63"/>
  <c r="FG28" i="63"/>
  <c r="FF28" i="63"/>
  <c r="FE28" i="63"/>
  <c r="FD28" i="63"/>
  <c r="FC28" i="63"/>
  <c r="FB28" i="63"/>
  <c r="FA28" i="63"/>
  <c r="EY28" i="63"/>
  <c r="EX28" i="63"/>
  <c r="EW28" i="63"/>
  <c r="EV28" i="63"/>
  <c r="EU28" i="63"/>
  <c r="ET28" i="63"/>
  <c r="ES28" i="63"/>
  <c r="EQ28" i="63"/>
  <c r="EP28" i="63"/>
  <c r="EO28" i="63"/>
  <c r="EN28" i="63"/>
  <c r="EM28" i="63"/>
  <c r="EL28" i="63"/>
  <c r="EK28" i="63"/>
  <c r="EI28" i="63"/>
  <c r="EH28" i="63"/>
  <c r="EG28" i="63"/>
  <c r="EF28" i="63"/>
  <c r="EE28" i="63"/>
  <c r="ED28" i="63"/>
  <c r="EC28" i="63"/>
  <c r="EB28" i="63"/>
  <c r="EA28" i="63"/>
  <c r="DZ28" i="63"/>
  <c r="DY28" i="63"/>
  <c r="DX28" i="63"/>
  <c r="DW28" i="63"/>
  <c r="DV28" i="63"/>
  <c r="DU28" i="63"/>
  <c r="DT28" i="63"/>
  <c r="DS28" i="63"/>
  <c r="DR28" i="63"/>
  <c r="DQ28" i="63"/>
  <c r="DP28" i="63"/>
  <c r="DO28" i="63"/>
  <c r="GN27" i="63"/>
  <c r="GM27" i="63"/>
  <c r="GL27" i="63"/>
  <c r="GK27" i="63"/>
  <c r="GJ27" i="63"/>
  <c r="FQ27" i="63"/>
  <c r="ET27" i="63"/>
  <c r="ES27" i="63"/>
  <c r="EL27" i="63"/>
  <c r="EK27" i="63"/>
  <c r="EC27" i="63"/>
  <c r="EA27" i="63"/>
  <c r="DY27" i="63"/>
  <c r="DW27" i="63"/>
  <c r="DU27" i="63"/>
  <c r="DS27" i="63"/>
  <c r="DQ27" i="63"/>
  <c r="DO27" i="63"/>
  <c r="GN26" i="63"/>
  <c r="GM26" i="63"/>
  <c r="GL26" i="63"/>
  <c r="GK26" i="63"/>
  <c r="GJ26" i="63"/>
  <c r="FQ26" i="63"/>
  <c r="ET26" i="63"/>
  <c r="ES26" i="63"/>
  <c r="EL26" i="63"/>
  <c r="EK26" i="63"/>
  <c r="EC26" i="63"/>
  <c r="EA26" i="63"/>
  <c r="DY26" i="63"/>
  <c r="DW26" i="63"/>
  <c r="DU26" i="63"/>
  <c r="DS26" i="63"/>
  <c r="DQ26" i="63"/>
  <c r="DO26" i="63"/>
  <c r="GP25" i="63"/>
  <c r="GN25" i="63"/>
  <c r="GM25" i="63"/>
  <c r="GL25" i="63"/>
  <c r="GK25" i="63"/>
  <c r="GJ25" i="63"/>
  <c r="GI25" i="63"/>
  <c r="GH25" i="63"/>
  <c r="GG25" i="63"/>
  <c r="GF25" i="63"/>
  <c r="GE25" i="63"/>
  <c r="GD25" i="63"/>
  <c r="GC25" i="63"/>
  <c r="GB25" i="63"/>
  <c r="GA25" i="63"/>
  <c r="FZ25" i="63"/>
  <c r="FY25" i="63"/>
  <c r="FW25" i="63"/>
  <c r="FU25" i="63"/>
  <c r="FT25" i="63"/>
  <c r="FS25" i="63"/>
  <c r="FQ25" i="63"/>
  <c r="FO25" i="63"/>
  <c r="FM25" i="63"/>
  <c r="FK25" i="63"/>
  <c r="FJ25" i="63"/>
  <c r="FI25" i="63"/>
  <c r="FH25" i="63"/>
  <c r="FG25" i="63"/>
  <c r="FF25" i="63"/>
  <c r="FE25" i="63"/>
  <c r="FD25" i="63"/>
  <c r="FC25" i="63"/>
  <c r="FB25" i="63"/>
  <c r="FA25" i="63"/>
  <c r="EZ25" i="63"/>
  <c r="EY25" i="63"/>
  <c r="EX25" i="63"/>
  <c r="EW25" i="63"/>
  <c r="EV25" i="63"/>
  <c r="EU25" i="63"/>
  <c r="ET25" i="63"/>
  <c r="ES25" i="63"/>
  <c r="ER25" i="63"/>
  <c r="EQ25" i="63"/>
  <c r="EP25" i="63"/>
  <c r="EO25" i="63"/>
  <c r="EN25" i="63"/>
  <c r="EM25" i="63"/>
  <c r="EL25" i="63"/>
  <c r="EK25" i="63"/>
  <c r="EJ25" i="63"/>
  <c r="EI25" i="63"/>
  <c r="EH25" i="63"/>
  <c r="EG25" i="63"/>
  <c r="EF25" i="63"/>
  <c r="EE25" i="63"/>
  <c r="ED25" i="63"/>
  <c r="EC25" i="63"/>
  <c r="EB25" i="63"/>
  <c r="EA25" i="63"/>
  <c r="DZ25" i="63"/>
  <c r="DY25" i="63"/>
  <c r="DX25" i="63"/>
  <c r="DW25" i="63"/>
  <c r="DV25" i="63"/>
  <c r="DU25" i="63"/>
  <c r="DT25" i="63"/>
  <c r="DS25" i="63"/>
  <c r="DR25" i="63"/>
  <c r="DQ25" i="63"/>
  <c r="DP25" i="63"/>
  <c r="DO25" i="63"/>
  <c r="GP24" i="63"/>
  <c r="GN24" i="63"/>
  <c r="GM24" i="63"/>
  <c r="GL24" i="63"/>
  <c r="GK24" i="63"/>
  <c r="GJ24" i="63"/>
  <c r="GI24" i="63"/>
  <c r="GH24" i="63"/>
  <c r="GG24" i="63"/>
  <c r="GF24" i="63"/>
  <c r="GE24" i="63"/>
  <c r="GD24" i="63"/>
  <c r="GC24" i="63"/>
  <c r="GB24" i="63"/>
  <c r="GA24" i="63"/>
  <c r="FZ24" i="63"/>
  <c r="FY24" i="63"/>
  <c r="FW24" i="63"/>
  <c r="FU24" i="63"/>
  <c r="FT24" i="63"/>
  <c r="FS24" i="63"/>
  <c r="FQ24" i="63"/>
  <c r="FM24" i="63"/>
  <c r="FJ24" i="63"/>
  <c r="FI24" i="63"/>
  <c r="FH24" i="63"/>
  <c r="FG24" i="63"/>
  <c r="FF24" i="63"/>
  <c r="FE24" i="63"/>
  <c r="FD24" i="63"/>
  <c r="FC24" i="63"/>
  <c r="FB24" i="63"/>
  <c r="FA24" i="63"/>
  <c r="EX24" i="63"/>
  <c r="EW24" i="63"/>
  <c r="ET24" i="63"/>
  <c r="ES24" i="63"/>
  <c r="EP24" i="63"/>
  <c r="EO24" i="63"/>
  <c r="EL24" i="63"/>
  <c r="EK24" i="63"/>
  <c r="EH24" i="63"/>
  <c r="EG24" i="63"/>
  <c r="ED24" i="63"/>
  <c r="EC24" i="63"/>
  <c r="EB24" i="63"/>
  <c r="EA24" i="63"/>
  <c r="DZ24" i="63"/>
  <c r="DY24" i="63"/>
  <c r="DW24" i="63"/>
  <c r="DV24" i="63"/>
  <c r="DU24" i="63"/>
  <c r="DT24" i="63"/>
  <c r="DS24" i="63"/>
  <c r="DQ24" i="63"/>
  <c r="DP24" i="63"/>
  <c r="DO24" i="63"/>
  <c r="GP23" i="63"/>
  <c r="GN23" i="63"/>
  <c r="GM23" i="63"/>
  <c r="GL23" i="63"/>
  <c r="GK23" i="63"/>
  <c r="GJ23" i="63"/>
  <c r="GI23" i="63"/>
  <c r="GH23" i="63"/>
  <c r="GG23" i="63"/>
  <c r="GF23" i="63"/>
  <c r="GE23" i="63"/>
  <c r="GD23" i="63"/>
  <c r="GC23" i="63"/>
  <c r="GB23" i="63"/>
  <c r="GA23" i="63"/>
  <c r="FZ23" i="63"/>
  <c r="FY23" i="63"/>
  <c r="FW23" i="63"/>
  <c r="FU23" i="63"/>
  <c r="FT23" i="63"/>
  <c r="FS23" i="63"/>
  <c r="FQ23" i="63"/>
  <c r="FM23" i="63"/>
  <c r="FJ23" i="63"/>
  <c r="FI23" i="63"/>
  <c r="FH23" i="63"/>
  <c r="FG23" i="63"/>
  <c r="FF23" i="63"/>
  <c r="FE23" i="63"/>
  <c r="FD23" i="63"/>
  <c r="FC23" i="63"/>
  <c r="FB23" i="63"/>
  <c r="FA23" i="63"/>
  <c r="EX23" i="63"/>
  <c r="EW23" i="63"/>
  <c r="ET23" i="63"/>
  <c r="ES23" i="63"/>
  <c r="EP23" i="63"/>
  <c r="EO23" i="63"/>
  <c r="EL23" i="63"/>
  <c r="EK23" i="63"/>
  <c r="EH23" i="63"/>
  <c r="EG23" i="63"/>
  <c r="ED23" i="63"/>
  <c r="EC23" i="63"/>
  <c r="EB23" i="63"/>
  <c r="EA23" i="63"/>
  <c r="DY23" i="63"/>
  <c r="DW23" i="63"/>
  <c r="DV23" i="63"/>
  <c r="DU23" i="63"/>
  <c r="DT23" i="63"/>
  <c r="DS23" i="63"/>
  <c r="DQ23" i="63"/>
  <c r="DO23" i="63"/>
  <c r="GP22" i="63"/>
  <c r="GN22" i="63"/>
  <c r="GM22" i="63"/>
  <c r="GL22" i="63"/>
  <c r="GK22" i="63"/>
  <c r="GJ22" i="63"/>
  <c r="GI22" i="63"/>
  <c r="GH22" i="63"/>
  <c r="GG22" i="63"/>
  <c r="GF22" i="63"/>
  <c r="GE22" i="63"/>
  <c r="GD22" i="63"/>
  <c r="GC22" i="63"/>
  <c r="GB22" i="63"/>
  <c r="GA22" i="63"/>
  <c r="FZ22" i="63"/>
  <c r="FY22" i="63"/>
  <c r="FW22" i="63"/>
  <c r="FU22" i="63"/>
  <c r="FT22" i="63"/>
  <c r="FS22" i="63"/>
  <c r="FQ22" i="63"/>
  <c r="FO22" i="63"/>
  <c r="FM22" i="63"/>
  <c r="FJ22" i="63"/>
  <c r="FI22" i="63"/>
  <c r="FH22" i="63"/>
  <c r="FG22" i="63"/>
  <c r="FF22" i="63"/>
  <c r="FE22" i="63"/>
  <c r="FD22" i="63"/>
  <c r="FC22" i="63"/>
  <c r="FB22" i="63"/>
  <c r="FA22" i="63"/>
  <c r="EX22" i="63"/>
  <c r="EW22" i="63"/>
  <c r="EU22" i="63"/>
  <c r="ET22" i="63"/>
  <c r="ES22" i="63"/>
  <c r="ER22" i="63"/>
  <c r="EQ22" i="63"/>
  <c r="EP22" i="63"/>
  <c r="EO22" i="63"/>
  <c r="EN22" i="63"/>
  <c r="EM22" i="63"/>
  <c r="EL22" i="63"/>
  <c r="EK22" i="63"/>
  <c r="EJ22" i="63"/>
  <c r="EI22" i="63"/>
  <c r="EH22" i="63"/>
  <c r="EG22" i="63"/>
  <c r="EF22" i="63"/>
  <c r="EE22" i="63"/>
  <c r="ED22" i="63"/>
  <c r="EC22" i="63"/>
  <c r="EB22" i="63"/>
  <c r="EA22" i="63"/>
  <c r="DZ22" i="63"/>
  <c r="DY22" i="63"/>
  <c r="DX22" i="63"/>
  <c r="DW22" i="63"/>
  <c r="DV22" i="63"/>
  <c r="DU22" i="63"/>
  <c r="DT22" i="63"/>
  <c r="DS22" i="63"/>
  <c r="DR22" i="63"/>
  <c r="DQ22" i="63"/>
  <c r="DP22" i="63"/>
  <c r="DO22" i="63"/>
  <c r="GP21" i="63"/>
  <c r="GN21" i="63"/>
  <c r="GM21" i="63"/>
  <c r="GL21" i="63"/>
  <c r="GK21" i="63"/>
  <c r="GJ21" i="63"/>
  <c r="GI21" i="63"/>
  <c r="GH21" i="63"/>
  <c r="GG21" i="63"/>
  <c r="GF21" i="63"/>
  <c r="GE21" i="63"/>
  <c r="GD21" i="63"/>
  <c r="GC21" i="63"/>
  <c r="GB21" i="63"/>
  <c r="GA21" i="63"/>
  <c r="FZ21" i="63"/>
  <c r="FY21" i="63"/>
  <c r="FW21" i="63"/>
  <c r="FU21" i="63"/>
  <c r="FT21" i="63"/>
  <c r="FS21" i="63"/>
  <c r="FQ21" i="63"/>
  <c r="FO21" i="63"/>
  <c r="FM21" i="63"/>
  <c r="FJ21" i="63"/>
  <c r="FI21" i="63"/>
  <c r="FH21" i="63"/>
  <c r="FG21" i="63"/>
  <c r="FF21" i="63"/>
  <c r="FE21" i="63"/>
  <c r="FD21" i="63"/>
  <c r="FC21" i="63"/>
  <c r="FB21" i="63"/>
  <c r="FA21" i="63"/>
  <c r="EX21" i="63"/>
  <c r="EW21" i="63"/>
  <c r="ET21" i="63"/>
  <c r="ES21" i="63"/>
  <c r="EQ21" i="63"/>
  <c r="EP21" i="63"/>
  <c r="EO21" i="63"/>
  <c r="EN21" i="63"/>
  <c r="EL21" i="63"/>
  <c r="EK21" i="63"/>
  <c r="EH21" i="63"/>
  <c r="EG21" i="63"/>
  <c r="ED21" i="63"/>
  <c r="EC21" i="63"/>
  <c r="EB21" i="63"/>
  <c r="EA21" i="63"/>
  <c r="DY21" i="63"/>
  <c r="DW21" i="63"/>
  <c r="DV21" i="63"/>
  <c r="DU21" i="63"/>
  <c r="DT21" i="63"/>
  <c r="DS21" i="63"/>
  <c r="DR21" i="63"/>
  <c r="DQ21" i="63"/>
  <c r="DO21" i="63"/>
  <c r="GN20" i="63"/>
  <c r="GM20" i="63"/>
  <c r="GL20" i="63"/>
  <c r="GK20" i="63"/>
  <c r="GJ20" i="63"/>
  <c r="FQ20" i="63"/>
  <c r="ET20" i="63"/>
  <c r="ES20" i="63"/>
  <c r="EL20" i="63"/>
  <c r="EK20" i="63"/>
  <c r="EC20" i="63"/>
  <c r="EA20" i="63"/>
  <c r="DY20" i="63"/>
  <c r="DW20" i="63"/>
  <c r="DU20" i="63"/>
  <c r="DS20" i="63"/>
  <c r="DQ20" i="63"/>
  <c r="DO20" i="63"/>
  <c r="GN19" i="63"/>
  <c r="GM19" i="63"/>
  <c r="GL19" i="63"/>
  <c r="GK19" i="63"/>
  <c r="GJ19" i="63"/>
  <c r="FQ19" i="63"/>
  <c r="ET19" i="63"/>
  <c r="ES19" i="63"/>
  <c r="EL19" i="63"/>
  <c r="EK19" i="63"/>
  <c r="EC19" i="63"/>
  <c r="EA19" i="63"/>
  <c r="DY19" i="63"/>
  <c r="DW19" i="63"/>
  <c r="DU19" i="63"/>
  <c r="DS19" i="63"/>
  <c r="DQ19" i="63"/>
  <c r="DO19" i="63"/>
  <c r="GN18" i="63"/>
  <c r="GM18" i="63"/>
  <c r="GL18" i="63"/>
  <c r="GK18" i="63"/>
  <c r="GJ18" i="63"/>
  <c r="FQ18" i="63"/>
  <c r="ET18" i="63"/>
  <c r="ES18" i="63"/>
  <c r="EL18" i="63"/>
  <c r="EK18" i="63"/>
  <c r="EC18" i="63"/>
  <c r="EA18" i="63"/>
  <c r="DY18" i="63"/>
  <c r="DW18" i="63"/>
  <c r="DU18" i="63"/>
  <c r="DS18" i="63"/>
  <c r="DQ18" i="63"/>
  <c r="DO18" i="63"/>
  <c r="GP17" i="63"/>
  <c r="GN17" i="63"/>
  <c r="GM17" i="63"/>
  <c r="GL17" i="63"/>
  <c r="GK17" i="63"/>
  <c r="GJ17" i="63"/>
  <c r="GI17" i="63"/>
  <c r="GH17" i="63"/>
  <c r="GG17" i="63"/>
  <c r="GF17" i="63"/>
  <c r="GE17" i="63"/>
  <c r="GD17" i="63"/>
  <c r="GC17" i="63"/>
  <c r="GB17" i="63"/>
  <c r="GA17" i="63"/>
  <c r="FZ17" i="63"/>
  <c r="FY17" i="63"/>
  <c r="FW17" i="63"/>
  <c r="FU17" i="63"/>
  <c r="FT17" i="63"/>
  <c r="FS17" i="63"/>
  <c r="FQ17" i="63"/>
  <c r="FO17" i="63"/>
  <c r="FM17" i="63"/>
  <c r="FK17" i="63"/>
  <c r="FJ17" i="63"/>
  <c r="FI17" i="63"/>
  <c r="FH17" i="63"/>
  <c r="FG17" i="63"/>
  <c r="FF17" i="63"/>
  <c r="FE17" i="63"/>
  <c r="FD17" i="63"/>
  <c r="FC17" i="63"/>
  <c r="FB17" i="63"/>
  <c r="FA17" i="63"/>
  <c r="EZ17" i="63"/>
  <c r="EY17" i="63"/>
  <c r="EX17" i="63"/>
  <c r="EW17" i="63"/>
  <c r="EV17" i="63"/>
  <c r="EU17" i="63"/>
  <c r="ET17" i="63"/>
  <c r="ES17" i="63"/>
  <c r="ER17" i="63"/>
  <c r="EQ17" i="63"/>
  <c r="EP17" i="63"/>
  <c r="EO17" i="63"/>
  <c r="EN17" i="63"/>
  <c r="EM17" i="63"/>
  <c r="EL17" i="63"/>
  <c r="EK17" i="63"/>
  <c r="EJ17" i="63"/>
  <c r="EI17" i="63"/>
  <c r="EH17" i="63"/>
  <c r="EG17" i="63"/>
  <c r="EF17" i="63"/>
  <c r="EE17" i="63"/>
  <c r="ED17" i="63"/>
  <c r="EC17" i="63"/>
  <c r="EB17" i="63"/>
  <c r="EA17" i="63"/>
  <c r="DZ17" i="63"/>
  <c r="DY17" i="63"/>
  <c r="DX17" i="63"/>
  <c r="DW17" i="63"/>
  <c r="DV17" i="63"/>
  <c r="DU17" i="63"/>
  <c r="DT17" i="63"/>
  <c r="DS17" i="63"/>
  <c r="DR17" i="63"/>
  <c r="DQ17" i="63"/>
  <c r="DP17" i="63"/>
  <c r="DO17" i="63"/>
  <c r="GP16" i="63"/>
  <c r="GN16" i="63"/>
  <c r="GM16" i="63"/>
  <c r="GL16" i="63"/>
  <c r="GK16" i="63"/>
  <c r="GJ16" i="63"/>
  <c r="GI16" i="63"/>
  <c r="GH16" i="63"/>
  <c r="GG16" i="63"/>
  <c r="GF16" i="63"/>
  <c r="GE16" i="63"/>
  <c r="GD16" i="63"/>
  <c r="GC16" i="63"/>
  <c r="GB16" i="63"/>
  <c r="GA16" i="63"/>
  <c r="FZ16" i="63"/>
  <c r="FY16" i="63"/>
  <c r="FW16" i="63"/>
  <c r="FU16" i="63"/>
  <c r="FT16" i="63"/>
  <c r="FS16" i="63"/>
  <c r="FQ16" i="63"/>
  <c r="FO16" i="63"/>
  <c r="FM16" i="63"/>
  <c r="FK16" i="63"/>
  <c r="FJ16" i="63"/>
  <c r="FI16" i="63"/>
  <c r="FH16" i="63"/>
  <c r="FG16" i="63"/>
  <c r="FF16" i="63"/>
  <c r="FE16" i="63"/>
  <c r="FD16" i="63"/>
  <c r="FC16" i="63"/>
  <c r="FB16" i="63"/>
  <c r="FA16" i="63"/>
  <c r="EZ16" i="63"/>
  <c r="EY16" i="63"/>
  <c r="EX16" i="63"/>
  <c r="EW16" i="63"/>
  <c r="EV16" i="63"/>
  <c r="EU16" i="63"/>
  <c r="ET16" i="63"/>
  <c r="ES16" i="63"/>
  <c r="ER16" i="63"/>
  <c r="EQ16" i="63"/>
  <c r="EP16" i="63"/>
  <c r="EO16" i="63"/>
  <c r="EN16" i="63"/>
  <c r="EM16" i="63"/>
  <c r="EL16" i="63"/>
  <c r="EK16" i="63"/>
  <c r="EJ16" i="63"/>
  <c r="EI16" i="63"/>
  <c r="EH16" i="63"/>
  <c r="EG16" i="63"/>
  <c r="EF16" i="63"/>
  <c r="EE16" i="63"/>
  <c r="ED16" i="63"/>
  <c r="EC16" i="63"/>
  <c r="EB16" i="63"/>
  <c r="EA16" i="63"/>
  <c r="DZ16" i="63"/>
  <c r="DY16" i="63"/>
  <c r="DX16" i="63"/>
  <c r="DW16" i="63"/>
  <c r="DV16" i="63"/>
  <c r="DU16" i="63"/>
  <c r="DT16" i="63"/>
  <c r="DS16" i="63"/>
  <c r="DR16" i="63"/>
  <c r="DQ16" i="63"/>
  <c r="DP16" i="63"/>
  <c r="DO16" i="63"/>
  <c r="GP15" i="63"/>
  <c r="GN15" i="63"/>
  <c r="GM15" i="63"/>
  <c r="GL15" i="63"/>
  <c r="GK15" i="63"/>
  <c r="GJ15" i="63"/>
  <c r="GI15" i="63"/>
  <c r="GH15" i="63"/>
  <c r="GG15" i="63"/>
  <c r="GF15" i="63"/>
  <c r="GE15" i="63"/>
  <c r="GD15" i="63"/>
  <c r="GC15" i="63"/>
  <c r="GB15" i="63"/>
  <c r="GA15" i="63"/>
  <c r="FZ15" i="63"/>
  <c r="FY15" i="63"/>
  <c r="FW15" i="63"/>
  <c r="FU15" i="63"/>
  <c r="FT15" i="63"/>
  <c r="FS15" i="63"/>
  <c r="FQ15" i="63"/>
  <c r="FM15" i="63"/>
  <c r="FK15" i="63"/>
  <c r="FJ15" i="63"/>
  <c r="FI15" i="63"/>
  <c r="FH15" i="63"/>
  <c r="FG15" i="63"/>
  <c r="FF15" i="63"/>
  <c r="FE15" i="63"/>
  <c r="FD15" i="63"/>
  <c r="FC15" i="63"/>
  <c r="FB15" i="63"/>
  <c r="FA15" i="63"/>
  <c r="EX15" i="63"/>
  <c r="EW15" i="63"/>
  <c r="EU15" i="63"/>
  <c r="ET15" i="63"/>
  <c r="ES15" i="63"/>
  <c r="EP15" i="63"/>
  <c r="EO15" i="63"/>
  <c r="EM15" i="63"/>
  <c r="EL15" i="63"/>
  <c r="EK15" i="63"/>
  <c r="EH15" i="63"/>
  <c r="EG15" i="63"/>
  <c r="EE15" i="63"/>
  <c r="ED15" i="63"/>
  <c r="EC15" i="63"/>
  <c r="EB15" i="63"/>
  <c r="EA15" i="63"/>
  <c r="DY15" i="63"/>
  <c r="DW15" i="63"/>
  <c r="DV15" i="63"/>
  <c r="DU15" i="63"/>
  <c r="DT15" i="63"/>
  <c r="DS15" i="63"/>
  <c r="DQ15" i="63"/>
  <c r="DO15" i="63"/>
  <c r="GP14" i="63"/>
  <c r="GN14" i="63"/>
  <c r="GM14" i="63"/>
  <c r="GL14" i="63"/>
  <c r="GK14" i="63"/>
  <c r="GI14" i="63"/>
  <c r="GH14" i="63"/>
  <c r="GG14" i="63"/>
  <c r="GF14" i="63"/>
  <c r="GE14" i="63"/>
  <c r="GD14" i="63"/>
  <c r="GC14" i="63"/>
  <c r="GB14" i="63"/>
  <c r="GA14" i="63"/>
  <c r="FZ14" i="63"/>
  <c r="FY14" i="63"/>
  <c r="FW14" i="63"/>
  <c r="FU14" i="63"/>
  <c r="FT14" i="63"/>
  <c r="FS14" i="63"/>
  <c r="FR14" i="63"/>
  <c r="FQ14" i="63"/>
  <c r="FP14" i="63"/>
  <c r="FO14" i="63"/>
  <c r="FN14" i="63"/>
  <c r="FM14" i="63"/>
  <c r="FL14" i="63"/>
  <c r="FJ14" i="63"/>
  <c r="FI14" i="63"/>
  <c r="FH14" i="63"/>
  <c r="FG14" i="63"/>
  <c r="FF14" i="63"/>
  <c r="FE14" i="63"/>
  <c r="FD14" i="63"/>
  <c r="FC14" i="63"/>
  <c r="FB14" i="63"/>
  <c r="FA14" i="63"/>
  <c r="EY14" i="63"/>
  <c r="EX14" i="63"/>
  <c r="EW14" i="63"/>
  <c r="ET14" i="63"/>
  <c r="ES14" i="63"/>
  <c r="EQ14" i="63"/>
  <c r="EP14" i="63"/>
  <c r="EO14" i="63"/>
  <c r="EL14" i="63"/>
  <c r="EK14" i="63"/>
  <c r="EJ14" i="63"/>
  <c r="EI14" i="63"/>
  <c r="EH14" i="63"/>
  <c r="EG14" i="63"/>
  <c r="ED14" i="63"/>
  <c r="EC14" i="63"/>
  <c r="EB14" i="63"/>
  <c r="EA14" i="63"/>
  <c r="DZ14" i="63"/>
  <c r="DY14" i="63"/>
  <c r="DW14" i="63"/>
  <c r="DV14" i="63"/>
  <c r="DU14" i="63"/>
  <c r="DT14" i="63"/>
  <c r="DS14" i="63"/>
  <c r="DR14" i="63"/>
  <c r="DQ14" i="63"/>
  <c r="FG12" i="63"/>
  <c r="ED12" i="63"/>
  <c r="EB12" i="63"/>
  <c r="DV12" i="63"/>
  <c r="DT12" i="63"/>
  <c r="EG15" i="41"/>
  <c r="EH15" i="41"/>
  <c r="DS16" i="41"/>
  <c r="DS17" i="41"/>
  <c r="DS18" i="41"/>
  <c r="DS19" i="41"/>
  <c r="DS20" i="41"/>
  <c r="DS21" i="41"/>
  <c r="DS22" i="41"/>
  <c r="DS23" i="41"/>
  <c r="DS24" i="41"/>
  <c r="DS25" i="41"/>
  <c r="DS26" i="41"/>
  <c r="DS27" i="41"/>
  <c r="DS28" i="41"/>
  <c r="DS29" i="41"/>
  <c r="DS30" i="41"/>
  <c r="DS31" i="41"/>
  <c r="DS32" i="41"/>
  <c r="DS33" i="41"/>
  <c r="DS34" i="41"/>
  <c r="DS35" i="41"/>
  <c r="DS36" i="41"/>
  <c r="DS37" i="41"/>
  <c r="DS38" i="41"/>
  <c r="DS39" i="41"/>
  <c r="DS40" i="41"/>
  <c r="DS41" i="41"/>
  <c r="DS42" i="41"/>
  <c r="DS43" i="41"/>
  <c r="DS44" i="41"/>
  <c r="DS45" i="41"/>
  <c r="DS15" i="41"/>
  <c r="DO15" i="41"/>
  <c r="R46" i="41"/>
  <c r="V46" i="41"/>
  <c r="J15" i="41"/>
  <c r="DP15" i="41" s="1"/>
  <c r="J16" i="41"/>
  <c r="J17" i="41"/>
  <c r="J18" i="41"/>
  <c r="J19" i="41"/>
  <c r="J20" i="41"/>
  <c r="J21" i="41"/>
  <c r="J22" i="41"/>
  <c r="J23" i="41"/>
  <c r="J24" i="41"/>
  <c r="J25" i="41"/>
  <c r="J26" i="41"/>
  <c r="J27" i="41"/>
  <c r="J28" i="41"/>
  <c r="J29" i="41"/>
  <c r="J30" i="41"/>
  <c r="J31" i="41"/>
  <c r="J32" i="41"/>
  <c r="J33" i="41"/>
  <c r="J34" i="41"/>
  <c r="J35" i="41"/>
  <c r="J36" i="41"/>
  <c r="J37" i="41"/>
  <c r="J38" i="41"/>
  <c r="J39" i="41"/>
  <c r="ER39" i="41" s="1"/>
  <c r="J40" i="41"/>
  <c r="EJ40" i="41" s="1"/>
  <c r="S111" i="41"/>
  <c r="T81" i="41"/>
  <c r="T82" i="41"/>
  <c r="T83" i="41"/>
  <c r="T84" i="41"/>
  <c r="T85" i="41"/>
  <c r="T86" i="41"/>
  <c r="T87" i="41"/>
  <c r="T88" i="41"/>
  <c r="T89" i="41"/>
  <c r="T90" i="41"/>
  <c r="T91" i="41"/>
  <c r="T92" i="41"/>
  <c r="T93" i="41"/>
  <c r="T94" i="41"/>
  <c r="T95" i="41"/>
  <c r="T96" i="41"/>
  <c r="T97" i="41"/>
  <c r="T98" i="41"/>
  <c r="T99" i="41"/>
  <c r="T100" i="41"/>
  <c r="T101" i="41"/>
  <c r="T102" i="41"/>
  <c r="T103" i="41"/>
  <c r="T104" i="41"/>
  <c r="T105" i="41"/>
  <c r="T106" i="41"/>
  <c r="T107" i="41"/>
  <c r="T108" i="41"/>
  <c r="T109" i="41"/>
  <c r="T110" i="41"/>
  <c r="T80" i="41"/>
  <c r="X46" i="41"/>
  <c r="V80" i="41"/>
  <c r="DY16" i="41"/>
  <c r="DW15" i="41"/>
  <c r="DV15" i="41"/>
  <c r="DQ15" i="41"/>
  <c r="DQ16" i="41"/>
  <c r="DO16" i="41"/>
  <c r="GP18" i="41"/>
  <c r="GP19" i="41"/>
  <c r="GP20" i="41"/>
  <c r="GP21" i="41"/>
  <c r="GP22" i="41"/>
  <c r="GP25" i="41"/>
  <c r="GP26" i="41"/>
  <c r="GP27" i="41"/>
  <c r="GP28" i="41"/>
  <c r="GP32" i="41"/>
  <c r="GP33" i="41"/>
  <c r="GP34" i="41"/>
  <c r="GP35" i="41"/>
  <c r="GP36" i="41"/>
  <c r="GP39" i="41"/>
  <c r="GP40" i="41"/>
  <c r="GP41" i="41"/>
  <c r="GP42" i="41"/>
  <c r="GP43" i="41"/>
  <c r="GP15" i="41"/>
  <c r="FS15" i="41"/>
  <c r="FQ45" i="41"/>
  <c r="FQ44" i="41"/>
  <c r="FQ43" i="41"/>
  <c r="FQ42" i="41"/>
  <c r="FQ41" i="41"/>
  <c r="FQ40" i="41"/>
  <c r="FQ39" i="41"/>
  <c r="FQ38" i="41"/>
  <c r="FQ37" i="41"/>
  <c r="FQ36" i="41"/>
  <c r="FQ35" i="41"/>
  <c r="FQ34" i="41"/>
  <c r="FQ33" i="41"/>
  <c r="FQ32" i="41"/>
  <c r="FQ31" i="41"/>
  <c r="FQ30" i="41"/>
  <c r="FQ29" i="41"/>
  <c r="FQ28" i="41"/>
  <c r="FQ27" i="41"/>
  <c r="FQ26" i="41"/>
  <c r="FQ25" i="41"/>
  <c r="FQ24" i="41"/>
  <c r="FQ23" i="41"/>
  <c r="FQ22" i="41"/>
  <c r="FQ21" i="41"/>
  <c r="FQ20" i="41"/>
  <c r="FQ19" i="41"/>
  <c r="FQ18" i="41"/>
  <c r="FQ17" i="41"/>
  <c r="FQ16" i="41"/>
  <c r="FR15" i="41"/>
  <c r="FQ15" i="41"/>
  <c r="FP15" i="41"/>
  <c r="ET45" i="41"/>
  <c r="ES45" i="41"/>
  <c r="ET44" i="41"/>
  <c r="ES44" i="41"/>
  <c r="ET43" i="41"/>
  <c r="ES43" i="41"/>
  <c r="ET42" i="41"/>
  <c r="ES42" i="41"/>
  <c r="ET41" i="41"/>
  <c r="ES41" i="41"/>
  <c r="ET40" i="41"/>
  <c r="ES40" i="41"/>
  <c r="ET39" i="41"/>
  <c r="ES39" i="41"/>
  <c r="ET38" i="41"/>
  <c r="ES38" i="41"/>
  <c r="ET37" i="41"/>
  <c r="ES37" i="41"/>
  <c r="ET36" i="41"/>
  <c r="ES36" i="41"/>
  <c r="ET35" i="41"/>
  <c r="ES35" i="41"/>
  <c r="ET34" i="41"/>
  <c r="ES34" i="41"/>
  <c r="ET33" i="41"/>
  <c r="ES33" i="41"/>
  <c r="ET32" i="41"/>
  <c r="ES32" i="41"/>
  <c r="ET31" i="41"/>
  <c r="ES31" i="41"/>
  <c r="ET30" i="41"/>
  <c r="ES30" i="41"/>
  <c r="ET29" i="41"/>
  <c r="ES29" i="41"/>
  <c r="ET28" i="41"/>
  <c r="ES28" i="41"/>
  <c r="ET27" i="41"/>
  <c r="ES27" i="41"/>
  <c r="ET26" i="41"/>
  <c r="ES26" i="41"/>
  <c r="ET25" i="41"/>
  <c r="ES25" i="41"/>
  <c r="ET24" i="41"/>
  <c r="ES24" i="41"/>
  <c r="ET23" i="41"/>
  <c r="ES23" i="41"/>
  <c r="ET22" i="41"/>
  <c r="ES22" i="41"/>
  <c r="ET21" i="41"/>
  <c r="ES21" i="41"/>
  <c r="ET20" i="41"/>
  <c r="ES20" i="41"/>
  <c r="ET19" i="41"/>
  <c r="ES19" i="41"/>
  <c r="ET18" i="41"/>
  <c r="ES18" i="41"/>
  <c r="ET17" i="41"/>
  <c r="ES17" i="41"/>
  <c r="ET16" i="41"/>
  <c r="ES16" i="41"/>
  <c r="ET15" i="41"/>
  <c r="ES15" i="41"/>
  <c r="EL45" i="41"/>
  <c r="EK45" i="41"/>
  <c r="EL44" i="41"/>
  <c r="EK44" i="41"/>
  <c r="EL43" i="41"/>
  <c r="EK43" i="41"/>
  <c r="EL42" i="41"/>
  <c r="EK42" i="41"/>
  <c r="EL41" i="41"/>
  <c r="EK41" i="41"/>
  <c r="EL40" i="41"/>
  <c r="EK40" i="41"/>
  <c r="EL39" i="41"/>
  <c r="EK39" i="41"/>
  <c r="EL38" i="41"/>
  <c r="EK38" i="41"/>
  <c r="EL37" i="41"/>
  <c r="EK37" i="41"/>
  <c r="EL36" i="41"/>
  <c r="EK36" i="41"/>
  <c r="EL35" i="41"/>
  <c r="EK35" i="41"/>
  <c r="EL34" i="41"/>
  <c r="EK34" i="41"/>
  <c r="EL33" i="41"/>
  <c r="EK33" i="41"/>
  <c r="EL32" i="41"/>
  <c r="EK32" i="41"/>
  <c r="EL31" i="41"/>
  <c r="EK31" i="41"/>
  <c r="EL30" i="41"/>
  <c r="EK30" i="41"/>
  <c r="EL29" i="41"/>
  <c r="EK29" i="41"/>
  <c r="EL28" i="41"/>
  <c r="EK28" i="41"/>
  <c r="EL27" i="41"/>
  <c r="EK27" i="41"/>
  <c r="EL26" i="41"/>
  <c r="EK26" i="41"/>
  <c r="EL25" i="41"/>
  <c r="EK25" i="41"/>
  <c r="EL24" i="41"/>
  <c r="EK24" i="41"/>
  <c r="EL23" i="41"/>
  <c r="EK23" i="41"/>
  <c r="EL22" i="41"/>
  <c r="EK22" i="41"/>
  <c r="EL21" i="41"/>
  <c r="EK21" i="41"/>
  <c r="EL20" i="41"/>
  <c r="EK20" i="41"/>
  <c r="EL19" i="41"/>
  <c r="EK19" i="41"/>
  <c r="EL18" i="41"/>
  <c r="EK18" i="41"/>
  <c r="EL17" i="41"/>
  <c r="EK17" i="41"/>
  <c r="EL16" i="41"/>
  <c r="EK16" i="41"/>
  <c r="EL15" i="41"/>
  <c r="EK15" i="41"/>
  <c r="EV22" i="67" l="1"/>
  <c r="DX22" i="67"/>
  <c r="DP22" i="67"/>
  <c r="EQ22" i="67"/>
  <c r="EZ22" i="67"/>
  <c r="EI22" i="67"/>
  <c r="ER22" i="67"/>
  <c r="DZ22" i="67"/>
  <c r="EJ22" i="67"/>
  <c r="DR22" i="67"/>
  <c r="GA27" i="68"/>
  <c r="GC27" i="68"/>
  <c r="EH27" i="68"/>
  <c r="EF19" i="68"/>
  <c r="EZ27" i="68"/>
  <c r="EU27" i="68"/>
  <c r="EO27" i="68"/>
  <c r="GG27" i="68"/>
  <c r="FH27" i="68"/>
  <c r="FC27" i="68"/>
  <c r="GE27" i="68"/>
  <c r="EY19" i="68"/>
  <c r="FZ27" i="68"/>
  <c r="FK27" i="68"/>
  <c r="DR27" i="68"/>
  <c r="EV19" i="68"/>
  <c r="DR19" i="68"/>
  <c r="FS27" i="68"/>
  <c r="FU27" i="68"/>
  <c r="DZ27" i="68"/>
  <c r="EN19" i="68"/>
  <c r="FJ41" i="69"/>
  <c r="FB41" i="69"/>
  <c r="FD41" i="69"/>
  <c r="DZ41" i="69"/>
  <c r="EF38" i="69"/>
  <c r="FG41" i="69"/>
  <c r="DV41" i="69"/>
  <c r="FU41" i="69"/>
  <c r="GE41" i="69"/>
  <c r="FY41" i="69"/>
  <c r="FT41" i="69"/>
  <c r="EF41" i="69"/>
  <c r="ED41" i="69"/>
  <c r="GG41" i="69"/>
  <c r="FA41" i="69"/>
  <c r="EN41" i="69"/>
  <c r="GB41" i="69"/>
  <c r="GP41" i="69"/>
  <c r="FI41" i="69"/>
  <c r="EV41" i="69"/>
  <c r="DR41" i="69"/>
  <c r="GG17" i="70"/>
  <c r="FT17" i="70"/>
  <c r="DX23" i="70"/>
  <c r="EM23" i="70"/>
  <c r="EZ23" i="70"/>
  <c r="ER23" i="70"/>
  <c r="EE23" i="70"/>
  <c r="EJ23" i="70"/>
  <c r="DZ23" i="70"/>
  <c r="DR23" i="70"/>
  <c r="GI17" i="70"/>
  <c r="FO17" i="70"/>
  <c r="EV17" i="70"/>
  <c r="FK17" i="70"/>
  <c r="EX17" i="70"/>
  <c r="DV17" i="70"/>
  <c r="FO23" i="70"/>
  <c r="FS17" i="70"/>
  <c r="EW17" i="70"/>
  <c r="FF17" i="70"/>
  <c r="ED17" i="70"/>
  <c r="EV23" i="70"/>
  <c r="FC17" i="70"/>
  <c r="GF17" i="70"/>
  <c r="FB17" i="70"/>
  <c r="EN23" i="70"/>
  <c r="DR25" i="72"/>
  <c r="FO25" i="72"/>
  <c r="EV25" i="72"/>
  <c r="EZ25" i="72"/>
  <c r="FE31" i="73"/>
  <c r="GD31" i="73"/>
  <c r="EJ31" i="73"/>
  <c r="ED31" i="73"/>
  <c r="FK31" i="73"/>
  <c r="FT31" i="73"/>
  <c r="DR38" i="73"/>
  <c r="FG38" i="73"/>
  <c r="GF38" i="73"/>
  <c r="GH38" i="73"/>
  <c r="DP38" i="73"/>
  <c r="FO23" i="73"/>
  <c r="DX23" i="73"/>
  <c r="EG31" i="73"/>
  <c r="EP31" i="73"/>
  <c r="GE31" i="73"/>
  <c r="FY31" i="73"/>
  <c r="EM31" i="73"/>
  <c r="EN31" i="73"/>
  <c r="FM38" i="73"/>
  <c r="EI38" i="73"/>
  <c r="ER38" i="73"/>
  <c r="FB38" i="73"/>
  <c r="FS38" i="73"/>
  <c r="GB38" i="73"/>
  <c r="EN30" i="73"/>
  <c r="EO31" i="73"/>
  <c r="EX31" i="73"/>
  <c r="DT31" i="73"/>
  <c r="GG31" i="73"/>
  <c r="EU31" i="73"/>
  <c r="EV31" i="73"/>
  <c r="FU38" i="73"/>
  <c r="EQ38" i="73"/>
  <c r="EZ38" i="73"/>
  <c r="FJ38" i="73"/>
  <c r="GA38" i="73"/>
  <c r="EF30" i="73"/>
  <c r="EW31" i="73"/>
  <c r="FF31" i="73"/>
  <c r="EB31" i="73"/>
  <c r="DV31" i="73"/>
  <c r="FC31" i="73"/>
  <c r="GC38" i="73"/>
  <c r="EY38" i="73"/>
  <c r="FH38" i="73"/>
  <c r="FZ38" i="73"/>
  <c r="DX30" i="73"/>
  <c r="ER44" i="73"/>
  <c r="EQ44" i="73"/>
  <c r="I24" i="73"/>
  <c r="EZ30" i="73"/>
  <c r="FO44" i="73"/>
  <c r="EY30" i="73"/>
  <c r="DX44" i="73"/>
  <c r="I17" i="73"/>
  <c r="EF17" i="73" s="1"/>
  <c r="EJ44" i="73"/>
  <c r="EI44" i="73"/>
  <c r="ER30" i="73"/>
  <c r="EQ30" i="73"/>
  <c r="DZ30" i="73"/>
  <c r="EJ30" i="73"/>
  <c r="GH16" i="73"/>
  <c r="FW16" i="73"/>
  <c r="FF16" i="73"/>
  <c r="EP16" i="73"/>
  <c r="GG16" i="73"/>
  <c r="GG45" i="73" s="1"/>
  <c r="FU16" i="73"/>
  <c r="FE16" i="73"/>
  <c r="EO16" i="73"/>
  <c r="GF16" i="73"/>
  <c r="FT16" i="73"/>
  <c r="FD16" i="73"/>
  <c r="DV16" i="73"/>
  <c r="GP16" i="73"/>
  <c r="GE16" i="73"/>
  <c r="FS16" i="73"/>
  <c r="FC16" i="73"/>
  <c r="GD16" i="73"/>
  <c r="FB16" i="73"/>
  <c r="EH16" i="73"/>
  <c r="DT16" i="73"/>
  <c r="GC16" i="73"/>
  <c r="FM16" i="73"/>
  <c r="FA16" i="73"/>
  <c r="EG16" i="73"/>
  <c r="GB16" i="73"/>
  <c r="FJ16" i="73"/>
  <c r="EX16" i="73"/>
  <c r="ED16" i="73"/>
  <c r="GA16" i="73"/>
  <c r="FI16" i="73"/>
  <c r="EW16" i="73"/>
  <c r="FZ16" i="73"/>
  <c r="FH16" i="73"/>
  <c r="EB16" i="73"/>
  <c r="GI16" i="73"/>
  <c r="FY16" i="73"/>
  <c r="FG16" i="73"/>
  <c r="EI30" i="73"/>
  <c r="EF16" i="73"/>
  <c r="FK16" i="73"/>
  <c r="DX16" i="73"/>
  <c r="EU16" i="73"/>
  <c r="GA44" i="73"/>
  <c r="FI44" i="73"/>
  <c r="EW44" i="73"/>
  <c r="FZ44" i="73"/>
  <c r="FH44" i="73"/>
  <c r="EB44" i="73"/>
  <c r="GI44" i="73"/>
  <c r="FY44" i="73"/>
  <c r="FG44" i="73"/>
  <c r="GH44" i="73"/>
  <c r="FW44" i="73"/>
  <c r="FF44" i="73"/>
  <c r="EP44" i="73"/>
  <c r="GG44" i="73"/>
  <c r="FU44" i="73"/>
  <c r="FE44" i="73"/>
  <c r="EO44" i="73"/>
  <c r="GF44" i="73"/>
  <c r="FT44" i="73"/>
  <c r="FD44" i="73"/>
  <c r="DV44" i="73"/>
  <c r="GP44" i="73"/>
  <c r="GE44" i="73"/>
  <c r="FS44" i="73"/>
  <c r="FC44" i="73"/>
  <c r="GD44" i="73"/>
  <c r="FB44" i="73"/>
  <c r="EH44" i="73"/>
  <c r="DT44" i="73"/>
  <c r="GC44" i="73"/>
  <c r="FM44" i="73"/>
  <c r="FA44" i="73"/>
  <c r="EG44" i="73"/>
  <c r="GB44" i="73"/>
  <c r="FJ44" i="73"/>
  <c r="EX44" i="73"/>
  <c r="ED44" i="73"/>
  <c r="GC30" i="73"/>
  <c r="FM30" i="73"/>
  <c r="FA30" i="73"/>
  <c r="EG30" i="73"/>
  <c r="GB30" i="73"/>
  <c r="FJ30" i="73"/>
  <c r="EX30" i="73"/>
  <c r="ED30" i="73"/>
  <c r="GA30" i="73"/>
  <c r="FI30" i="73"/>
  <c r="EW30" i="73"/>
  <c r="FZ30" i="73"/>
  <c r="FH30" i="73"/>
  <c r="EB30" i="73"/>
  <c r="GI30" i="73"/>
  <c r="FY30" i="73"/>
  <c r="FG30" i="73"/>
  <c r="GH30" i="73"/>
  <c r="FW30" i="73"/>
  <c r="FF30" i="73"/>
  <c r="EP30" i="73"/>
  <c r="GG30" i="73"/>
  <c r="FU30" i="73"/>
  <c r="FE30" i="73"/>
  <c r="EO30" i="73"/>
  <c r="GF30" i="73"/>
  <c r="FT30" i="73"/>
  <c r="FD30" i="73"/>
  <c r="DV30" i="73"/>
  <c r="GP30" i="73"/>
  <c r="GE30" i="73"/>
  <c r="FS30" i="73"/>
  <c r="FC30" i="73"/>
  <c r="GD30" i="73"/>
  <c r="FB30" i="73"/>
  <c r="EH30" i="73"/>
  <c r="DT30" i="73"/>
  <c r="DP16" i="73"/>
  <c r="EM16" i="73"/>
  <c r="EU44" i="73"/>
  <c r="EJ16" i="73"/>
  <c r="DP30" i="73"/>
  <c r="EY16" i="73"/>
  <c r="EY45" i="73" s="1"/>
  <c r="FK30" i="73"/>
  <c r="DZ44" i="73"/>
  <c r="EE16" i="73"/>
  <c r="EZ16" i="73"/>
  <c r="EM44" i="73"/>
  <c r="EQ16" i="73"/>
  <c r="EU30" i="73"/>
  <c r="DR44" i="73"/>
  <c r="GB37" i="73"/>
  <c r="FJ37" i="73"/>
  <c r="EX37" i="73"/>
  <c r="ED37" i="73"/>
  <c r="GA37" i="73"/>
  <c r="FI37" i="73"/>
  <c r="EW37" i="73"/>
  <c r="FZ37" i="73"/>
  <c r="FH37" i="73"/>
  <c r="EB37" i="73"/>
  <c r="GI37" i="73"/>
  <c r="FY37" i="73"/>
  <c r="FG37" i="73"/>
  <c r="GH37" i="73"/>
  <c r="FW37" i="73"/>
  <c r="FF37" i="73"/>
  <c r="EP37" i="73"/>
  <c r="GG37" i="73"/>
  <c r="FU37" i="73"/>
  <c r="FE37" i="73"/>
  <c r="EO37" i="73"/>
  <c r="GF37" i="73"/>
  <c r="FT37" i="73"/>
  <c r="FD37" i="73"/>
  <c r="DV37" i="73"/>
  <c r="GP37" i="73"/>
  <c r="GE37" i="73"/>
  <c r="FS37" i="73"/>
  <c r="FC37" i="73"/>
  <c r="GD37" i="73"/>
  <c r="FB37" i="73"/>
  <c r="EH37" i="73"/>
  <c r="DT37" i="73"/>
  <c r="GC37" i="73"/>
  <c r="FM37" i="73"/>
  <c r="FA37" i="73"/>
  <c r="EG37" i="73"/>
  <c r="EV44" i="73"/>
  <c r="FK44" i="73"/>
  <c r="EE44" i="73"/>
  <c r="EI16" i="73"/>
  <c r="EM30" i="73"/>
  <c r="FO16" i="73"/>
  <c r="DP37" i="73"/>
  <c r="FK37" i="73"/>
  <c r="EN44" i="73"/>
  <c r="EE30" i="73"/>
  <c r="EZ44" i="73"/>
  <c r="EY44" i="73"/>
  <c r="EU37" i="73"/>
  <c r="EF44" i="73"/>
  <c r="FO30" i="73"/>
  <c r="I26" i="72"/>
  <c r="ER26" i="72" s="1"/>
  <c r="I33" i="72"/>
  <c r="ER18" i="72"/>
  <c r="GB39" i="72"/>
  <c r="FK39" i="72"/>
  <c r="FA39" i="72"/>
  <c r="EP39" i="72"/>
  <c r="EE39" i="72"/>
  <c r="GA39" i="72"/>
  <c r="FJ39" i="72"/>
  <c r="EZ39" i="72"/>
  <c r="EO39" i="72"/>
  <c r="ED39" i="72"/>
  <c r="DT39" i="72"/>
  <c r="FZ39" i="72"/>
  <c r="FI39" i="72"/>
  <c r="EY39" i="72"/>
  <c r="EM39" i="72"/>
  <c r="GI39" i="72"/>
  <c r="FY39" i="72"/>
  <c r="FH39" i="72"/>
  <c r="EX39" i="72"/>
  <c r="EB39" i="72"/>
  <c r="DR39" i="72"/>
  <c r="GH39" i="72"/>
  <c r="FW39" i="72"/>
  <c r="FG39" i="72"/>
  <c r="EW39" i="72"/>
  <c r="GG39" i="72"/>
  <c r="FU39" i="72"/>
  <c r="FF39" i="72"/>
  <c r="EU39" i="72"/>
  <c r="EJ39" i="72"/>
  <c r="DZ39" i="72"/>
  <c r="DP39" i="72"/>
  <c r="GF39" i="72"/>
  <c r="FT39" i="72"/>
  <c r="FE39" i="72"/>
  <c r="EI39" i="72"/>
  <c r="GP39" i="72"/>
  <c r="GE39" i="72"/>
  <c r="FS39" i="72"/>
  <c r="FD39" i="72"/>
  <c r="EH39" i="72"/>
  <c r="DX39" i="72"/>
  <c r="GD39" i="72"/>
  <c r="FC39" i="72"/>
  <c r="ER39" i="72"/>
  <c r="EG39" i="72"/>
  <c r="GC39" i="72"/>
  <c r="FM39" i="72"/>
  <c r="FB39" i="72"/>
  <c r="EQ39" i="72"/>
  <c r="EF39" i="72"/>
  <c r="DV39" i="72"/>
  <c r="EQ25" i="72"/>
  <c r="GG32" i="72"/>
  <c r="FU32" i="72"/>
  <c r="FE32" i="72"/>
  <c r="EO32" i="72"/>
  <c r="GF32" i="72"/>
  <c r="FT32" i="72"/>
  <c r="FD32" i="72"/>
  <c r="EN32" i="72"/>
  <c r="GP32" i="72"/>
  <c r="GE32" i="72"/>
  <c r="FS32" i="72"/>
  <c r="FC32" i="72"/>
  <c r="DX32" i="72"/>
  <c r="GD32" i="72"/>
  <c r="FB32" i="72"/>
  <c r="GC32" i="72"/>
  <c r="FM32" i="72"/>
  <c r="FA32" i="72"/>
  <c r="EH32" i="72"/>
  <c r="DV32" i="72"/>
  <c r="GB32" i="72"/>
  <c r="FJ32" i="72"/>
  <c r="EX32" i="72"/>
  <c r="EG32" i="72"/>
  <c r="GA32" i="72"/>
  <c r="FI32" i="72"/>
  <c r="EW32" i="72"/>
  <c r="EF32" i="72"/>
  <c r="DT32" i="72"/>
  <c r="FZ32" i="72"/>
  <c r="FH32" i="72"/>
  <c r="ED32" i="72"/>
  <c r="GI32" i="72"/>
  <c r="FY32" i="72"/>
  <c r="FG32" i="72"/>
  <c r="GH32" i="72"/>
  <c r="FW32" i="72"/>
  <c r="FF32" i="72"/>
  <c r="EP32" i="72"/>
  <c r="EB32" i="72"/>
  <c r="DP32" i="72"/>
  <c r="DZ32" i="72"/>
  <c r="I40" i="72"/>
  <c r="GB40" i="72" s="1"/>
  <c r="EJ18" i="72"/>
  <c r="GB18" i="72"/>
  <c r="FK18" i="72"/>
  <c r="FA18" i="72"/>
  <c r="EG18" i="72"/>
  <c r="DT18" i="72"/>
  <c r="GA18" i="72"/>
  <c r="FJ18" i="72"/>
  <c r="EX18" i="72"/>
  <c r="EE18" i="72"/>
  <c r="FZ18" i="72"/>
  <c r="FI18" i="72"/>
  <c r="EW18" i="72"/>
  <c r="ED18" i="72"/>
  <c r="GI18" i="72"/>
  <c r="FY18" i="72"/>
  <c r="FH18" i="72"/>
  <c r="GH18" i="72"/>
  <c r="FW18" i="72"/>
  <c r="FG18" i="72"/>
  <c r="EB18" i="72"/>
  <c r="GG18" i="72"/>
  <c r="FU18" i="72"/>
  <c r="FF18" i="72"/>
  <c r="EP18" i="72"/>
  <c r="GF18" i="72"/>
  <c r="FT18" i="72"/>
  <c r="FE18" i="72"/>
  <c r="EO18" i="72"/>
  <c r="GP18" i="72"/>
  <c r="GE18" i="72"/>
  <c r="FS18" i="72"/>
  <c r="FD18" i="72"/>
  <c r="GD18" i="72"/>
  <c r="FC18" i="72"/>
  <c r="DV18" i="72"/>
  <c r="GC18" i="72"/>
  <c r="FM18" i="72"/>
  <c r="FB18" i="72"/>
  <c r="EH18" i="72"/>
  <c r="EY18" i="72"/>
  <c r="I19" i="72"/>
  <c r="EU19" i="72" s="1"/>
  <c r="EQ18" i="72"/>
  <c r="EI18" i="72"/>
  <c r="EV18" i="72"/>
  <c r="DZ18" i="72"/>
  <c r="EN18" i="72"/>
  <c r="EN25" i="72"/>
  <c r="EQ32" i="72"/>
  <c r="EZ32" i="72"/>
  <c r="DR18" i="72"/>
  <c r="EF18" i="72"/>
  <c r="EM18" i="72"/>
  <c r="ER25" i="72"/>
  <c r="EI32" i="72"/>
  <c r="FO39" i="72"/>
  <c r="GP25" i="72"/>
  <c r="GE25" i="72"/>
  <c r="FS25" i="72"/>
  <c r="FD25" i="72"/>
  <c r="EO25" i="72"/>
  <c r="GD25" i="72"/>
  <c r="FC25" i="72"/>
  <c r="EM25" i="72"/>
  <c r="GC25" i="72"/>
  <c r="FM25" i="72"/>
  <c r="FB25" i="72"/>
  <c r="GB25" i="72"/>
  <c r="FK25" i="72"/>
  <c r="FA25" i="72"/>
  <c r="DV25" i="72"/>
  <c r="GA25" i="72"/>
  <c r="FJ25" i="72"/>
  <c r="EX25" i="72"/>
  <c r="EH25" i="72"/>
  <c r="FZ25" i="72"/>
  <c r="FI25" i="72"/>
  <c r="EW25" i="72"/>
  <c r="EG25" i="72"/>
  <c r="DT25" i="72"/>
  <c r="GI25" i="72"/>
  <c r="FY25" i="72"/>
  <c r="FH25" i="72"/>
  <c r="EU25" i="72"/>
  <c r="EE25" i="72"/>
  <c r="GH25" i="72"/>
  <c r="FW25" i="72"/>
  <c r="FG25" i="72"/>
  <c r="ED25" i="72"/>
  <c r="GG25" i="72"/>
  <c r="FU25" i="72"/>
  <c r="FF25" i="72"/>
  <c r="GF25" i="72"/>
  <c r="FT25" i="72"/>
  <c r="FE25" i="72"/>
  <c r="EP25" i="72"/>
  <c r="EB25" i="72"/>
  <c r="DX18" i="72"/>
  <c r="EU18" i="72"/>
  <c r="EJ25" i="72"/>
  <c r="DX25" i="72"/>
  <c r="EJ32" i="72"/>
  <c r="DP18" i="72"/>
  <c r="EY25" i="72"/>
  <c r="DP25" i="72"/>
  <c r="EY32" i="72"/>
  <c r="EZ18" i="72"/>
  <c r="GG19" i="71"/>
  <c r="FU19" i="71"/>
  <c r="FG19" i="71"/>
  <c r="EW19" i="71"/>
  <c r="EM19" i="71"/>
  <c r="GF19" i="71"/>
  <c r="FT19" i="71"/>
  <c r="FF19" i="71"/>
  <c r="EV19" i="71"/>
  <c r="EB19" i="71"/>
  <c r="DR19" i="71"/>
  <c r="GP19" i="71"/>
  <c r="GE19" i="71"/>
  <c r="FS19" i="71"/>
  <c r="FE19" i="71"/>
  <c r="EU19" i="71"/>
  <c r="GD19" i="71"/>
  <c r="FD19" i="71"/>
  <c r="EJ19" i="71"/>
  <c r="DZ19" i="71"/>
  <c r="DP19" i="71"/>
  <c r="GC19" i="71"/>
  <c r="FO19" i="71"/>
  <c r="FC19" i="71"/>
  <c r="EI19" i="71"/>
  <c r="GB19" i="71"/>
  <c r="FM19" i="71"/>
  <c r="FB19" i="71"/>
  <c r="ER19" i="71"/>
  <c r="EH19" i="71"/>
  <c r="DX19" i="71"/>
  <c r="GA19" i="71"/>
  <c r="FK19" i="71"/>
  <c r="FA19" i="71"/>
  <c r="EQ19" i="71"/>
  <c r="EG19" i="71"/>
  <c r="FZ19" i="71"/>
  <c r="FJ19" i="71"/>
  <c r="EZ19" i="71"/>
  <c r="EP19" i="71"/>
  <c r="EF19" i="71"/>
  <c r="DV19" i="71"/>
  <c r="GI19" i="71"/>
  <c r="FY19" i="71"/>
  <c r="FI19" i="71"/>
  <c r="EY19" i="71"/>
  <c r="EO19" i="71"/>
  <c r="EE19" i="71"/>
  <c r="GH19" i="71"/>
  <c r="FW19" i="71"/>
  <c r="FH19" i="71"/>
  <c r="EX19" i="71"/>
  <c r="EN19" i="71"/>
  <c r="ED19" i="71"/>
  <c r="DT19" i="71"/>
  <c r="GD35" i="71"/>
  <c r="FD35" i="71"/>
  <c r="EJ35" i="71"/>
  <c r="DZ35" i="71"/>
  <c r="DP35" i="71"/>
  <c r="GC35" i="71"/>
  <c r="FO35" i="71"/>
  <c r="FC35" i="71"/>
  <c r="EI35" i="71"/>
  <c r="GB35" i="71"/>
  <c r="FM35" i="71"/>
  <c r="FB35" i="71"/>
  <c r="ER35" i="71"/>
  <c r="EH35" i="71"/>
  <c r="DX35" i="71"/>
  <c r="GA35" i="71"/>
  <c r="FK35" i="71"/>
  <c r="FA35" i="71"/>
  <c r="EQ35" i="71"/>
  <c r="EG35" i="71"/>
  <c r="FZ35" i="71"/>
  <c r="FJ35" i="71"/>
  <c r="EZ35" i="71"/>
  <c r="EP35" i="71"/>
  <c r="EF35" i="71"/>
  <c r="DV35" i="71"/>
  <c r="GI35" i="71"/>
  <c r="FY35" i="71"/>
  <c r="FI35" i="71"/>
  <c r="EY35" i="71"/>
  <c r="EO35" i="71"/>
  <c r="EE35" i="71"/>
  <c r="GH35" i="71"/>
  <c r="FW35" i="71"/>
  <c r="FH35" i="71"/>
  <c r="EX35" i="71"/>
  <c r="EN35" i="71"/>
  <c r="ED35" i="71"/>
  <c r="DT35" i="71"/>
  <c r="GG35" i="71"/>
  <c r="FU35" i="71"/>
  <c r="FG35" i="71"/>
  <c r="EW35" i="71"/>
  <c r="EM35" i="71"/>
  <c r="GF35" i="71"/>
  <c r="FT35" i="71"/>
  <c r="FF35" i="71"/>
  <c r="EV35" i="71"/>
  <c r="EB35" i="71"/>
  <c r="DR35" i="71"/>
  <c r="GP35" i="71"/>
  <c r="GE35" i="71"/>
  <c r="FS35" i="71"/>
  <c r="FE35" i="71"/>
  <c r="EU35" i="71"/>
  <c r="GC42" i="71"/>
  <c r="FO42" i="71"/>
  <c r="FC42" i="71"/>
  <c r="EI42" i="71"/>
  <c r="GB42" i="71"/>
  <c r="FM42" i="71"/>
  <c r="FB42" i="71"/>
  <c r="ER42" i="71"/>
  <c r="EH42" i="71"/>
  <c r="DX42" i="71"/>
  <c r="GA42" i="71"/>
  <c r="FK42" i="71"/>
  <c r="FA42" i="71"/>
  <c r="EQ42" i="71"/>
  <c r="EG42" i="71"/>
  <c r="FZ42" i="71"/>
  <c r="FJ42" i="71"/>
  <c r="EZ42" i="71"/>
  <c r="EP42" i="71"/>
  <c r="EF42" i="71"/>
  <c r="DV42" i="71"/>
  <c r="GI42" i="71"/>
  <c r="FY42" i="71"/>
  <c r="FI42" i="71"/>
  <c r="EY42" i="71"/>
  <c r="EO42" i="71"/>
  <c r="EE42" i="71"/>
  <c r="GH42" i="71"/>
  <c r="FW42" i="71"/>
  <c r="FH42" i="71"/>
  <c r="EX42" i="71"/>
  <c r="EN42" i="71"/>
  <c r="ED42" i="71"/>
  <c r="DT42" i="71"/>
  <c r="GG42" i="71"/>
  <c r="FU42" i="71"/>
  <c r="FG42" i="71"/>
  <c r="EW42" i="71"/>
  <c r="EM42" i="71"/>
  <c r="GF42" i="71"/>
  <c r="FT42" i="71"/>
  <c r="FF42" i="71"/>
  <c r="EV42" i="71"/>
  <c r="EB42" i="71"/>
  <c r="DR42" i="71"/>
  <c r="GP42" i="71"/>
  <c r="GE42" i="71"/>
  <c r="FS42" i="71"/>
  <c r="FE42" i="71"/>
  <c r="EU42" i="71"/>
  <c r="GD42" i="71"/>
  <c r="FD42" i="71"/>
  <c r="EJ42" i="71"/>
  <c r="DZ42" i="71"/>
  <c r="DP42" i="71"/>
  <c r="I15" i="71"/>
  <c r="FK15" i="71" s="1"/>
  <c r="I43" i="71"/>
  <c r="FA43" i="71" s="1"/>
  <c r="GA21" i="71"/>
  <c r="FK21" i="71"/>
  <c r="FA21" i="71"/>
  <c r="EQ21" i="71"/>
  <c r="EG21" i="71"/>
  <c r="FZ21" i="71"/>
  <c r="FJ21" i="71"/>
  <c r="EZ21" i="71"/>
  <c r="EP21" i="71"/>
  <c r="EF21" i="71"/>
  <c r="DV21" i="71"/>
  <c r="GI21" i="71"/>
  <c r="FY21" i="71"/>
  <c r="FI21" i="71"/>
  <c r="EY21" i="71"/>
  <c r="EO21" i="71"/>
  <c r="EE21" i="71"/>
  <c r="GH21" i="71"/>
  <c r="FW21" i="71"/>
  <c r="FH21" i="71"/>
  <c r="EX21" i="71"/>
  <c r="EN21" i="71"/>
  <c r="ED21" i="71"/>
  <c r="DT21" i="71"/>
  <c r="GG21" i="71"/>
  <c r="FU21" i="71"/>
  <c r="FG21" i="71"/>
  <c r="EW21" i="71"/>
  <c r="EM21" i="71"/>
  <c r="GF21" i="71"/>
  <c r="FT21" i="71"/>
  <c r="FF21" i="71"/>
  <c r="EV21" i="71"/>
  <c r="EB21" i="71"/>
  <c r="DR21" i="71"/>
  <c r="GP21" i="71"/>
  <c r="GE21" i="71"/>
  <c r="FS21" i="71"/>
  <c r="FE21" i="71"/>
  <c r="EU21" i="71"/>
  <c r="GD21" i="71"/>
  <c r="FD21" i="71"/>
  <c r="EJ21" i="71"/>
  <c r="DZ21" i="71"/>
  <c r="DP21" i="71"/>
  <c r="GC21" i="71"/>
  <c r="FO21" i="71"/>
  <c r="FC21" i="71"/>
  <c r="EI21" i="71"/>
  <c r="GB21" i="71"/>
  <c r="FM21" i="71"/>
  <c r="FB21" i="71"/>
  <c r="ER21" i="71"/>
  <c r="EH21" i="71"/>
  <c r="DX21" i="71"/>
  <c r="I36" i="71"/>
  <c r="FW36" i="71" s="1"/>
  <c r="I22" i="71"/>
  <c r="FB22" i="71" s="1"/>
  <c r="GA28" i="71"/>
  <c r="FK28" i="71"/>
  <c r="FA28" i="71"/>
  <c r="EQ28" i="71"/>
  <c r="EG28" i="71"/>
  <c r="FZ28" i="71"/>
  <c r="FJ28" i="71"/>
  <c r="EZ28" i="71"/>
  <c r="EP28" i="71"/>
  <c r="EF28" i="71"/>
  <c r="DV28" i="71"/>
  <c r="GI28" i="71"/>
  <c r="FY28" i="71"/>
  <c r="FI28" i="71"/>
  <c r="EY28" i="71"/>
  <c r="EO28" i="71"/>
  <c r="EE28" i="71"/>
  <c r="GH28" i="71"/>
  <c r="FW28" i="71"/>
  <c r="FH28" i="71"/>
  <c r="EX28" i="71"/>
  <c r="EN28" i="71"/>
  <c r="ED28" i="71"/>
  <c r="DT28" i="71"/>
  <c r="GG28" i="71"/>
  <c r="FU28" i="71"/>
  <c r="FG28" i="71"/>
  <c r="EW28" i="71"/>
  <c r="EM28" i="71"/>
  <c r="GF28" i="71"/>
  <c r="FT28" i="71"/>
  <c r="FF28" i="71"/>
  <c r="EV28" i="71"/>
  <c r="EB28" i="71"/>
  <c r="DR28" i="71"/>
  <c r="GP28" i="71"/>
  <c r="GE28" i="71"/>
  <c r="FS28" i="71"/>
  <c r="FE28" i="71"/>
  <c r="EU28" i="71"/>
  <c r="GD28" i="71"/>
  <c r="FD28" i="71"/>
  <c r="EJ28" i="71"/>
  <c r="DZ28" i="71"/>
  <c r="DP28" i="71"/>
  <c r="GC28" i="71"/>
  <c r="FO28" i="71"/>
  <c r="FC28" i="71"/>
  <c r="EI28" i="71"/>
  <c r="GB28" i="71"/>
  <c r="FM28" i="71"/>
  <c r="FB28" i="71"/>
  <c r="ER28" i="71"/>
  <c r="EH28" i="71"/>
  <c r="DX28" i="71"/>
  <c r="GF14" i="71"/>
  <c r="FT14" i="71"/>
  <c r="FJ14" i="71"/>
  <c r="EZ14" i="71"/>
  <c r="EP14" i="71"/>
  <c r="ED14" i="71"/>
  <c r="DT14" i="71"/>
  <c r="GE14" i="71"/>
  <c r="FS14" i="71"/>
  <c r="FI14" i="71"/>
  <c r="EY14" i="71"/>
  <c r="EO14" i="71"/>
  <c r="GP14" i="71"/>
  <c r="GD14" i="71"/>
  <c r="FH14" i="71"/>
  <c r="EX14" i="71"/>
  <c r="EN14" i="71"/>
  <c r="EB14" i="71"/>
  <c r="DR14" i="71"/>
  <c r="GC14" i="71"/>
  <c r="FG14" i="71"/>
  <c r="EW14" i="71"/>
  <c r="EM14" i="71"/>
  <c r="GB14" i="71"/>
  <c r="FF14" i="71"/>
  <c r="EV14" i="71"/>
  <c r="EJ14" i="71"/>
  <c r="DZ14" i="71"/>
  <c r="DP14" i="71"/>
  <c r="GA14" i="71"/>
  <c r="FO14" i="71"/>
  <c r="FE14" i="71"/>
  <c r="EU14" i="71"/>
  <c r="EI14" i="71"/>
  <c r="FZ14" i="71"/>
  <c r="FN14" i="71"/>
  <c r="FD14" i="71"/>
  <c r="EH14" i="71"/>
  <c r="DX14" i="71"/>
  <c r="GI14" i="71"/>
  <c r="FY14" i="71"/>
  <c r="FM14" i="71"/>
  <c r="FC14" i="71"/>
  <c r="EG14" i="71"/>
  <c r="GH14" i="71"/>
  <c r="FW14" i="71"/>
  <c r="FL14" i="71"/>
  <c r="FB14" i="71"/>
  <c r="ER14" i="71"/>
  <c r="EF14" i="71"/>
  <c r="DV14" i="71"/>
  <c r="GG14" i="71"/>
  <c r="FU14" i="71"/>
  <c r="FK14" i="71"/>
  <c r="FA14" i="71"/>
  <c r="EQ14" i="71"/>
  <c r="EE14" i="71"/>
  <c r="EM17" i="70"/>
  <c r="DZ17" i="70"/>
  <c r="FY17" i="70"/>
  <c r="GP17" i="70"/>
  <c r="I24" i="70"/>
  <c r="FU24" i="70" s="1"/>
  <c r="GF30" i="70"/>
  <c r="FT30" i="70"/>
  <c r="FF30" i="70"/>
  <c r="EV30" i="70"/>
  <c r="EB30" i="70"/>
  <c r="DR30" i="70"/>
  <c r="GP30" i="70"/>
  <c r="GE30" i="70"/>
  <c r="FS30" i="70"/>
  <c r="FE30" i="70"/>
  <c r="EU30" i="70"/>
  <c r="GD30" i="70"/>
  <c r="FD30" i="70"/>
  <c r="EJ30" i="70"/>
  <c r="DZ30" i="70"/>
  <c r="DP30" i="70"/>
  <c r="GC30" i="70"/>
  <c r="FO30" i="70"/>
  <c r="FC30" i="70"/>
  <c r="EI30" i="70"/>
  <c r="GB30" i="70"/>
  <c r="FM30" i="70"/>
  <c r="FB30" i="70"/>
  <c r="ER30" i="70"/>
  <c r="EH30" i="70"/>
  <c r="DX30" i="70"/>
  <c r="GA30" i="70"/>
  <c r="FK30" i="70"/>
  <c r="FA30" i="70"/>
  <c r="EQ30" i="70"/>
  <c r="EG30" i="70"/>
  <c r="FZ30" i="70"/>
  <c r="FJ30" i="70"/>
  <c r="EZ30" i="70"/>
  <c r="EP30" i="70"/>
  <c r="EF30" i="70"/>
  <c r="DV30" i="70"/>
  <c r="GI30" i="70"/>
  <c r="FY30" i="70"/>
  <c r="FI30" i="70"/>
  <c r="EY30" i="70"/>
  <c r="EO30" i="70"/>
  <c r="EE30" i="70"/>
  <c r="GH30" i="70"/>
  <c r="FW30" i="70"/>
  <c r="FH30" i="70"/>
  <c r="EX30" i="70"/>
  <c r="EN30" i="70"/>
  <c r="ED30" i="70"/>
  <c r="DT30" i="70"/>
  <c r="GG30" i="70"/>
  <c r="FU30" i="70"/>
  <c r="FG30" i="70"/>
  <c r="EW30" i="70"/>
  <c r="EM30" i="70"/>
  <c r="DX17" i="70"/>
  <c r="EU17" i="70"/>
  <c r="EQ17" i="70"/>
  <c r="FH17" i="70"/>
  <c r="EO17" i="70"/>
  <c r="FU16" i="70"/>
  <c r="I38" i="70"/>
  <c r="DP38" i="70" s="1"/>
  <c r="EY23" i="70"/>
  <c r="DP23" i="70"/>
  <c r="GH37" i="70"/>
  <c r="FW37" i="70"/>
  <c r="FH37" i="70"/>
  <c r="EX37" i="70"/>
  <c r="EN37" i="70"/>
  <c r="ED37" i="70"/>
  <c r="DT37" i="70"/>
  <c r="GG37" i="70"/>
  <c r="FU37" i="70"/>
  <c r="FG37" i="70"/>
  <c r="EW37" i="70"/>
  <c r="EM37" i="70"/>
  <c r="GF37" i="70"/>
  <c r="FT37" i="70"/>
  <c r="FF37" i="70"/>
  <c r="EV37" i="70"/>
  <c r="EB37" i="70"/>
  <c r="DR37" i="70"/>
  <c r="GP37" i="70"/>
  <c r="GE37" i="70"/>
  <c r="FS37" i="70"/>
  <c r="FE37" i="70"/>
  <c r="EU37" i="70"/>
  <c r="GD37" i="70"/>
  <c r="FD37" i="70"/>
  <c r="EJ37" i="70"/>
  <c r="DZ37" i="70"/>
  <c r="DP37" i="70"/>
  <c r="GC37" i="70"/>
  <c r="FO37" i="70"/>
  <c r="FC37" i="70"/>
  <c r="EI37" i="70"/>
  <c r="GB37" i="70"/>
  <c r="FM37" i="70"/>
  <c r="FB37" i="70"/>
  <c r="ER37" i="70"/>
  <c r="EH37" i="70"/>
  <c r="DX37" i="70"/>
  <c r="GA37" i="70"/>
  <c r="FK37" i="70"/>
  <c r="FA37" i="70"/>
  <c r="EQ37" i="70"/>
  <c r="EG37" i="70"/>
  <c r="FZ37" i="70"/>
  <c r="FJ37" i="70"/>
  <c r="EZ37" i="70"/>
  <c r="EP37" i="70"/>
  <c r="EF37" i="70"/>
  <c r="DV37" i="70"/>
  <c r="GI37" i="70"/>
  <c r="FY37" i="70"/>
  <c r="FI37" i="70"/>
  <c r="EY37" i="70"/>
  <c r="EO37" i="70"/>
  <c r="EE37" i="70"/>
  <c r="GE17" i="70"/>
  <c r="EG17" i="70"/>
  <c r="EY17" i="70"/>
  <c r="FZ17" i="70"/>
  <c r="DP17" i="70"/>
  <c r="DP16" i="70"/>
  <c r="EQ23" i="70"/>
  <c r="FA17" i="70"/>
  <c r="DR17" i="70"/>
  <c r="FG17" i="70"/>
  <c r="GH17" i="70"/>
  <c r="GC16" i="70"/>
  <c r="GB23" i="70"/>
  <c r="FJ23" i="70"/>
  <c r="EX23" i="70"/>
  <c r="ED23" i="70"/>
  <c r="GA23" i="70"/>
  <c r="FI23" i="70"/>
  <c r="EW23" i="70"/>
  <c r="FZ23" i="70"/>
  <c r="FH23" i="70"/>
  <c r="EB23" i="70"/>
  <c r="GI23" i="70"/>
  <c r="FY23" i="70"/>
  <c r="FG23" i="70"/>
  <c r="GH23" i="70"/>
  <c r="FW23" i="70"/>
  <c r="FF23" i="70"/>
  <c r="EP23" i="70"/>
  <c r="GG23" i="70"/>
  <c r="FU23" i="70"/>
  <c r="FE23" i="70"/>
  <c r="EO23" i="70"/>
  <c r="GF23" i="70"/>
  <c r="FT23" i="70"/>
  <c r="FD23" i="70"/>
  <c r="DV23" i="70"/>
  <c r="GP23" i="70"/>
  <c r="GE23" i="70"/>
  <c r="FS23" i="70"/>
  <c r="FC23" i="70"/>
  <c r="GD23" i="70"/>
  <c r="FB23" i="70"/>
  <c r="EH23" i="70"/>
  <c r="DT23" i="70"/>
  <c r="GC23" i="70"/>
  <c r="FM23" i="70"/>
  <c r="FA23" i="70"/>
  <c r="EG23" i="70"/>
  <c r="EI23" i="70"/>
  <c r="EU23" i="70"/>
  <c r="GC40" i="69"/>
  <c r="FO40" i="69"/>
  <c r="FC40" i="69"/>
  <c r="EI40" i="69"/>
  <c r="FT40" i="69"/>
  <c r="EB40" i="69"/>
  <c r="GB40" i="69"/>
  <c r="FM40" i="69"/>
  <c r="FB40" i="69"/>
  <c r="ER40" i="69"/>
  <c r="EH40" i="69"/>
  <c r="DX40" i="69"/>
  <c r="GF40" i="69"/>
  <c r="FF40" i="69"/>
  <c r="GA40" i="69"/>
  <c r="FK40" i="69"/>
  <c r="FA40" i="69"/>
  <c r="EQ40" i="69"/>
  <c r="EG40" i="69"/>
  <c r="DR40" i="69"/>
  <c r="FZ40" i="69"/>
  <c r="FJ40" i="69"/>
  <c r="EZ40" i="69"/>
  <c r="EP40" i="69"/>
  <c r="EF40" i="69"/>
  <c r="DV40" i="69"/>
  <c r="GI40" i="69"/>
  <c r="FY40" i="69"/>
  <c r="FI40" i="69"/>
  <c r="EY40" i="69"/>
  <c r="EO40" i="69"/>
  <c r="EE40" i="69"/>
  <c r="GH40" i="69"/>
  <c r="FW40" i="69"/>
  <c r="FH40" i="69"/>
  <c r="EX40" i="69"/>
  <c r="EN40" i="69"/>
  <c r="ED40" i="69"/>
  <c r="DT40" i="69"/>
  <c r="GG40" i="69"/>
  <c r="FU40" i="69"/>
  <c r="FG40" i="69"/>
  <c r="EW40" i="69"/>
  <c r="EM40" i="69"/>
  <c r="GP40" i="69"/>
  <c r="GE40" i="69"/>
  <c r="FS40" i="69"/>
  <c r="FE40" i="69"/>
  <c r="EU40" i="69"/>
  <c r="EV40" i="69"/>
  <c r="GD40" i="69"/>
  <c r="FD40" i="69"/>
  <c r="EJ40" i="69"/>
  <c r="DZ40" i="69"/>
  <c r="DP40" i="69"/>
  <c r="EI38" i="69"/>
  <c r="EU38" i="69"/>
  <c r="I34" i="69"/>
  <c r="EZ34" i="69" s="1"/>
  <c r="GD27" i="69"/>
  <c r="I27" i="69"/>
  <c r="DZ38" i="69"/>
  <c r="EM38" i="69"/>
  <c r="GG26" i="69"/>
  <c r="FU26" i="69"/>
  <c r="FG26" i="69"/>
  <c r="EW26" i="69"/>
  <c r="EM26" i="69"/>
  <c r="EZ26" i="69"/>
  <c r="GF26" i="69"/>
  <c r="FT26" i="69"/>
  <c r="FF26" i="69"/>
  <c r="EV26" i="69"/>
  <c r="EB26" i="69"/>
  <c r="DR26" i="69"/>
  <c r="FZ26" i="69"/>
  <c r="EP26" i="69"/>
  <c r="GP26" i="69"/>
  <c r="GE26" i="69"/>
  <c r="FS26" i="69"/>
  <c r="FE26" i="69"/>
  <c r="EU26" i="69"/>
  <c r="FJ26" i="69"/>
  <c r="EF26" i="69"/>
  <c r="GD26" i="69"/>
  <c r="FD26" i="69"/>
  <c r="EJ26" i="69"/>
  <c r="DZ26" i="69"/>
  <c r="DP26" i="69"/>
  <c r="GC26" i="69"/>
  <c r="FO26" i="69"/>
  <c r="FC26" i="69"/>
  <c r="EI26" i="69"/>
  <c r="GB26" i="69"/>
  <c r="FM26" i="69"/>
  <c r="FB26" i="69"/>
  <c r="ER26" i="69"/>
  <c r="EH26" i="69"/>
  <c r="DX26" i="69"/>
  <c r="GA26" i="69"/>
  <c r="FK26" i="69"/>
  <c r="FA26" i="69"/>
  <c r="EQ26" i="69"/>
  <c r="EG26" i="69"/>
  <c r="GI26" i="69"/>
  <c r="FY26" i="69"/>
  <c r="FI26" i="69"/>
  <c r="EY26" i="69"/>
  <c r="EO26" i="69"/>
  <c r="EE26" i="69"/>
  <c r="DV26" i="69"/>
  <c r="GH26" i="69"/>
  <c r="FW26" i="69"/>
  <c r="FH26" i="69"/>
  <c r="EX26" i="69"/>
  <c r="EN26" i="69"/>
  <c r="ED26" i="69"/>
  <c r="DT26" i="69"/>
  <c r="DR38" i="69"/>
  <c r="EE38" i="69"/>
  <c r="EY38" i="69"/>
  <c r="I20" i="69"/>
  <c r="FO38" i="69"/>
  <c r="EZ38" i="69"/>
  <c r="EV38" i="69"/>
  <c r="ER38" i="69"/>
  <c r="EN38" i="69"/>
  <c r="GI38" i="69"/>
  <c r="FY38" i="69"/>
  <c r="FG38" i="69"/>
  <c r="EX38" i="69"/>
  <c r="GH38" i="69"/>
  <c r="FW38" i="69"/>
  <c r="FF38" i="69"/>
  <c r="EP38" i="69"/>
  <c r="GB38" i="69"/>
  <c r="GG38" i="69"/>
  <c r="FU38" i="69"/>
  <c r="FE38" i="69"/>
  <c r="EO38" i="69"/>
  <c r="GF38" i="69"/>
  <c r="FT38" i="69"/>
  <c r="FD38" i="69"/>
  <c r="DV38" i="69"/>
  <c r="GP38" i="69"/>
  <c r="GE38" i="69"/>
  <c r="FS38" i="69"/>
  <c r="FC38" i="69"/>
  <c r="GD38" i="69"/>
  <c r="FB38" i="69"/>
  <c r="EH38" i="69"/>
  <c r="DT38" i="69"/>
  <c r="GC38" i="69"/>
  <c r="FM38" i="69"/>
  <c r="FA38" i="69"/>
  <c r="EG38" i="69"/>
  <c r="GA38" i="69"/>
  <c r="FI38" i="69"/>
  <c r="EW38" i="69"/>
  <c r="FJ38" i="69"/>
  <c r="ED38" i="69"/>
  <c r="FZ38" i="69"/>
  <c r="FH38" i="69"/>
  <c r="EB38" i="69"/>
  <c r="EI41" i="69"/>
  <c r="EJ41" i="69"/>
  <c r="FS41" i="69"/>
  <c r="GC41" i="69"/>
  <c r="EO41" i="69"/>
  <c r="EH41" i="69"/>
  <c r="DX38" i="69"/>
  <c r="EQ41" i="69"/>
  <c r="ER41" i="69"/>
  <c r="GA41" i="69"/>
  <c r="DP41" i="69"/>
  <c r="EW41" i="69"/>
  <c r="EP41" i="69"/>
  <c r="DP38" i="69"/>
  <c r="GF39" i="69"/>
  <c r="FT39" i="69"/>
  <c r="FF39" i="69"/>
  <c r="EV39" i="69"/>
  <c r="EB39" i="69"/>
  <c r="DR39" i="69"/>
  <c r="FY39" i="69"/>
  <c r="EY39" i="69"/>
  <c r="GP39" i="69"/>
  <c r="GE39" i="69"/>
  <c r="FS39" i="69"/>
  <c r="FE39" i="69"/>
  <c r="EU39" i="69"/>
  <c r="EO39" i="69"/>
  <c r="GD39" i="69"/>
  <c r="FD39" i="69"/>
  <c r="EJ39" i="69"/>
  <c r="DZ39" i="69"/>
  <c r="DP39" i="69"/>
  <c r="FI39" i="69"/>
  <c r="GC39" i="69"/>
  <c r="FO39" i="69"/>
  <c r="FC39" i="69"/>
  <c r="EI39" i="69"/>
  <c r="GB39" i="69"/>
  <c r="FM39" i="69"/>
  <c r="FB39" i="69"/>
  <c r="ER39" i="69"/>
  <c r="EH39" i="69"/>
  <c r="DX39" i="69"/>
  <c r="GA39" i="69"/>
  <c r="FK39" i="69"/>
  <c r="FA39" i="69"/>
  <c r="EQ39" i="69"/>
  <c r="EG39" i="69"/>
  <c r="FZ39" i="69"/>
  <c r="FJ39" i="69"/>
  <c r="EZ39" i="69"/>
  <c r="EP39" i="69"/>
  <c r="EF39" i="69"/>
  <c r="DV39" i="69"/>
  <c r="GH39" i="69"/>
  <c r="FW39" i="69"/>
  <c r="FH39" i="69"/>
  <c r="EX39" i="69"/>
  <c r="EN39" i="69"/>
  <c r="ED39" i="69"/>
  <c r="DT39" i="69"/>
  <c r="GI39" i="69"/>
  <c r="EE39" i="69"/>
  <c r="GG39" i="69"/>
  <c r="FU39" i="69"/>
  <c r="FG39" i="69"/>
  <c r="EW39" i="69"/>
  <c r="EM39" i="69"/>
  <c r="EY41" i="69"/>
  <c r="EZ41" i="69"/>
  <c r="GI41" i="69"/>
  <c r="DX41" i="69"/>
  <c r="FE41" i="69"/>
  <c r="EQ38" i="69"/>
  <c r="FK38" i="69"/>
  <c r="DT27" i="68"/>
  <c r="FI27" i="68"/>
  <c r="EE27" i="68"/>
  <c r="EN27" i="68"/>
  <c r="FW27" i="68"/>
  <c r="EQ27" i="68"/>
  <c r="GC19" i="68"/>
  <c r="FM19" i="68"/>
  <c r="FA19" i="68"/>
  <c r="EH19" i="68"/>
  <c r="DT19" i="68"/>
  <c r="GB19" i="68"/>
  <c r="FJ19" i="68"/>
  <c r="EX19" i="68"/>
  <c r="EG19" i="68"/>
  <c r="FY19" i="68"/>
  <c r="GA19" i="68"/>
  <c r="FI19" i="68"/>
  <c r="EW19" i="68"/>
  <c r="ED19" i="68"/>
  <c r="GI19" i="68"/>
  <c r="FZ19" i="68"/>
  <c r="FH19" i="68"/>
  <c r="GH19" i="68"/>
  <c r="FW19" i="68"/>
  <c r="FF19" i="68"/>
  <c r="EP19" i="68"/>
  <c r="GG19" i="68"/>
  <c r="FU19" i="68"/>
  <c r="FE19" i="68"/>
  <c r="EO19" i="68"/>
  <c r="FG19" i="68"/>
  <c r="GF19" i="68"/>
  <c r="FT19" i="68"/>
  <c r="FD19" i="68"/>
  <c r="GE19" i="68"/>
  <c r="FS19" i="68"/>
  <c r="FC19" i="68"/>
  <c r="DV19" i="68"/>
  <c r="EB19" i="68"/>
  <c r="GP19" i="68"/>
  <c r="GD19" i="68"/>
  <c r="FB19" i="68"/>
  <c r="EI19" i="68"/>
  <c r="EZ19" i="68"/>
  <c r="I20" i="68"/>
  <c r="FE20" i="68" s="1"/>
  <c r="I41" i="68"/>
  <c r="FA41" i="68" s="1"/>
  <c r="GI40" i="68"/>
  <c r="FY40" i="68"/>
  <c r="FI40" i="68"/>
  <c r="EY40" i="68"/>
  <c r="EO40" i="68"/>
  <c r="EE40" i="68"/>
  <c r="GH40" i="68"/>
  <c r="FW40" i="68"/>
  <c r="FH40" i="68"/>
  <c r="EX40" i="68"/>
  <c r="EN40" i="68"/>
  <c r="ED40" i="68"/>
  <c r="DT40" i="68"/>
  <c r="GG40" i="68"/>
  <c r="FU40" i="68"/>
  <c r="FG40" i="68"/>
  <c r="EW40" i="68"/>
  <c r="EM40" i="68"/>
  <c r="GF40" i="68"/>
  <c r="FT40" i="68"/>
  <c r="FF40" i="68"/>
  <c r="EV40" i="68"/>
  <c r="EB40" i="68"/>
  <c r="DR40" i="68"/>
  <c r="GE40" i="68"/>
  <c r="FS40" i="68"/>
  <c r="FE40" i="68"/>
  <c r="EU40" i="68"/>
  <c r="GP40" i="68"/>
  <c r="GD40" i="68"/>
  <c r="FD40" i="68"/>
  <c r="EJ40" i="68"/>
  <c r="DZ40" i="68"/>
  <c r="DP40" i="68"/>
  <c r="GC40" i="68"/>
  <c r="FO40" i="68"/>
  <c r="FC40" i="68"/>
  <c r="EI40" i="68"/>
  <c r="GB40" i="68"/>
  <c r="FM40" i="68"/>
  <c r="FB40" i="68"/>
  <c r="ER40" i="68"/>
  <c r="EH40" i="68"/>
  <c r="DX40" i="68"/>
  <c r="GA40" i="68"/>
  <c r="FK40" i="68"/>
  <c r="FA40" i="68"/>
  <c r="EQ40" i="68"/>
  <c r="EG40" i="68"/>
  <c r="FZ40" i="68"/>
  <c r="FJ40" i="68"/>
  <c r="EZ40" i="68"/>
  <c r="EP40" i="68"/>
  <c r="EF40" i="68"/>
  <c r="DV40" i="68"/>
  <c r="GH33" i="68"/>
  <c r="FW33" i="68"/>
  <c r="FH33" i="68"/>
  <c r="EX33" i="68"/>
  <c r="EN33" i="68"/>
  <c r="ED33" i="68"/>
  <c r="DT33" i="68"/>
  <c r="GG33" i="68"/>
  <c r="FU33" i="68"/>
  <c r="FG33" i="68"/>
  <c r="EW33" i="68"/>
  <c r="EM33" i="68"/>
  <c r="GF33" i="68"/>
  <c r="FT33" i="68"/>
  <c r="FF33" i="68"/>
  <c r="EV33" i="68"/>
  <c r="EB33" i="68"/>
  <c r="DR33" i="68"/>
  <c r="GE33" i="68"/>
  <c r="FS33" i="68"/>
  <c r="FE33" i="68"/>
  <c r="EU33" i="68"/>
  <c r="GD33" i="68"/>
  <c r="EJ33" i="68"/>
  <c r="DP33" i="68"/>
  <c r="GC33" i="68"/>
  <c r="FO33" i="68"/>
  <c r="FC33" i="68"/>
  <c r="EI33" i="68"/>
  <c r="GP33" i="68"/>
  <c r="FD33" i="68"/>
  <c r="DZ33" i="68"/>
  <c r="GB33" i="68"/>
  <c r="FM33" i="68"/>
  <c r="FB33" i="68"/>
  <c r="ER33" i="68"/>
  <c r="EH33" i="68"/>
  <c r="DX33" i="68"/>
  <c r="GA33" i="68"/>
  <c r="FK33" i="68"/>
  <c r="FA33" i="68"/>
  <c r="EQ33" i="68"/>
  <c r="EG33" i="68"/>
  <c r="FZ33" i="68"/>
  <c r="FJ33" i="68"/>
  <c r="EZ33" i="68"/>
  <c r="EP33" i="68"/>
  <c r="EF33" i="68"/>
  <c r="DV33" i="68"/>
  <c r="GI33" i="68"/>
  <c r="FY33" i="68"/>
  <c r="FI33" i="68"/>
  <c r="EY33" i="68"/>
  <c r="EO33" i="68"/>
  <c r="EE33" i="68"/>
  <c r="FK19" i="68"/>
  <c r="EQ19" i="68"/>
  <c r="GH27" i="68"/>
  <c r="FJ27" i="68"/>
  <c r="DP27" i="68"/>
  <c r="EW27" i="68"/>
  <c r="FF27" i="68"/>
  <c r="GI26" i="68"/>
  <c r="FY26" i="68"/>
  <c r="FI26" i="68"/>
  <c r="EY26" i="68"/>
  <c r="EO26" i="68"/>
  <c r="EE26" i="68"/>
  <c r="GH26" i="68"/>
  <c r="FW26" i="68"/>
  <c r="FH26" i="68"/>
  <c r="EX26" i="68"/>
  <c r="EN26" i="68"/>
  <c r="ED26" i="68"/>
  <c r="DT26" i="68"/>
  <c r="GG26" i="68"/>
  <c r="FU26" i="68"/>
  <c r="FG26" i="68"/>
  <c r="EW26" i="68"/>
  <c r="EM26" i="68"/>
  <c r="GF26" i="68"/>
  <c r="FT26" i="68"/>
  <c r="FF26" i="68"/>
  <c r="EV26" i="68"/>
  <c r="EB26" i="68"/>
  <c r="DR26" i="68"/>
  <c r="EU26" i="68"/>
  <c r="GP26" i="68"/>
  <c r="GD26" i="68"/>
  <c r="FD26" i="68"/>
  <c r="EJ26" i="68"/>
  <c r="DZ26" i="68"/>
  <c r="DP26" i="68"/>
  <c r="FE26" i="68"/>
  <c r="GC26" i="68"/>
  <c r="FO26" i="68"/>
  <c r="FC26" i="68"/>
  <c r="EI26" i="68"/>
  <c r="FS26" i="68"/>
  <c r="GB26" i="68"/>
  <c r="FM26" i="68"/>
  <c r="FB26" i="68"/>
  <c r="ER26" i="68"/>
  <c r="EH26" i="68"/>
  <c r="DX26" i="68"/>
  <c r="GE26" i="68"/>
  <c r="GA26" i="68"/>
  <c r="FK26" i="68"/>
  <c r="FA26" i="68"/>
  <c r="EQ26" i="68"/>
  <c r="EG26" i="68"/>
  <c r="FZ26" i="68"/>
  <c r="FJ26" i="68"/>
  <c r="EZ26" i="68"/>
  <c r="EP26" i="68"/>
  <c r="EF26" i="68"/>
  <c r="DV26" i="68"/>
  <c r="EU19" i="68"/>
  <c r="GP27" i="68"/>
  <c r="FT27" i="68"/>
  <c r="DX27" i="68"/>
  <c r="FE27" i="68"/>
  <c r="GF27" i="68"/>
  <c r="EM19" i="68"/>
  <c r="FA27" i="68"/>
  <c r="GB27" i="68"/>
  <c r="EF27" i="68"/>
  <c r="FO27" i="68"/>
  <c r="I34" i="68"/>
  <c r="EE19" i="68"/>
  <c r="DV44" i="67"/>
  <c r="FK44" i="67"/>
  <c r="GD44" i="67"/>
  <c r="EH44" i="67"/>
  <c r="GG44" i="67"/>
  <c r="FA44" i="67"/>
  <c r="EE44" i="67"/>
  <c r="EN44" i="67"/>
  <c r="FW44" i="67"/>
  <c r="EQ44" i="67"/>
  <c r="EZ44" i="67"/>
  <c r="FZ36" i="67"/>
  <c r="FJ36" i="67"/>
  <c r="EZ36" i="67"/>
  <c r="EP36" i="67"/>
  <c r="EF36" i="67"/>
  <c r="DV36" i="67"/>
  <c r="GI36" i="67"/>
  <c r="FY36" i="67"/>
  <c r="FI36" i="67"/>
  <c r="EY36" i="67"/>
  <c r="EO36" i="67"/>
  <c r="EE36" i="67"/>
  <c r="GH36" i="67"/>
  <c r="FW36" i="67"/>
  <c r="FH36" i="67"/>
  <c r="EX36" i="67"/>
  <c r="EN36" i="67"/>
  <c r="ED36" i="67"/>
  <c r="DT36" i="67"/>
  <c r="GG36" i="67"/>
  <c r="FU36" i="67"/>
  <c r="FG36" i="67"/>
  <c r="EW36" i="67"/>
  <c r="EM36" i="67"/>
  <c r="GF36" i="67"/>
  <c r="FT36" i="67"/>
  <c r="FF36" i="67"/>
  <c r="EV36" i="67"/>
  <c r="EB36" i="67"/>
  <c r="DR36" i="67"/>
  <c r="GP36" i="67"/>
  <c r="GE36" i="67"/>
  <c r="FS36" i="67"/>
  <c r="FE36" i="67"/>
  <c r="EU36" i="67"/>
  <c r="GD36" i="67"/>
  <c r="FD36" i="67"/>
  <c r="EJ36" i="67"/>
  <c r="DZ36" i="67"/>
  <c r="DP36" i="67"/>
  <c r="GC36" i="67"/>
  <c r="FO36" i="67"/>
  <c r="FC36" i="67"/>
  <c r="EI36" i="67"/>
  <c r="GB36" i="67"/>
  <c r="FM36" i="67"/>
  <c r="FB36" i="67"/>
  <c r="ER36" i="67"/>
  <c r="EH36" i="67"/>
  <c r="DX36" i="67"/>
  <c r="GA36" i="67"/>
  <c r="FK36" i="67"/>
  <c r="FA36" i="67"/>
  <c r="EQ36" i="67"/>
  <c r="EG36" i="67"/>
  <c r="EM44" i="67"/>
  <c r="EV44" i="67"/>
  <c r="GE44" i="67"/>
  <c r="EY44" i="67"/>
  <c r="FH44" i="67"/>
  <c r="GB29" i="67"/>
  <c r="FM29" i="67"/>
  <c r="FB29" i="67"/>
  <c r="ER29" i="67"/>
  <c r="EH29" i="67"/>
  <c r="DX29" i="67"/>
  <c r="GA29" i="67"/>
  <c r="FK29" i="67"/>
  <c r="FA29" i="67"/>
  <c r="EQ29" i="67"/>
  <c r="EG29" i="67"/>
  <c r="FZ29" i="67"/>
  <c r="FJ29" i="67"/>
  <c r="EZ29" i="67"/>
  <c r="EP29" i="67"/>
  <c r="EF29" i="67"/>
  <c r="DV29" i="67"/>
  <c r="GI29" i="67"/>
  <c r="FY29" i="67"/>
  <c r="FI29" i="67"/>
  <c r="EY29" i="67"/>
  <c r="EO29" i="67"/>
  <c r="EE29" i="67"/>
  <c r="GH29" i="67"/>
  <c r="FW29" i="67"/>
  <c r="FH29" i="67"/>
  <c r="EX29" i="67"/>
  <c r="EN29" i="67"/>
  <c r="ED29" i="67"/>
  <c r="DT29" i="67"/>
  <c r="GG29" i="67"/>
  <c r="FU29" i="67"/>
  <c r="FG29" i="67"/>
  <c r="EW29" i="67"/>
  <c r="EM29" i="67"/>
  <c r="GF29" i="67"/>
  <c r="FT29" i="67"/>
  <c r="FF29" i="67"/>
  <c r="EV29" i="67"/>
  <c r="EB29" i="67"/>
  <c r="DR29" i="67"/>
  <c r="GP29" i="67"/>
  <c r="GE29" i="67"/>
  <c r="FS29" i="67"/>
  <c r="FE29" i="67"/>
  <c r="EU29" i="67"/>
  <c r="GD29" i="67"/>
  <c r="FD29" i="67"/>
  <c r="EJ29" i="67"/>
  <c r="DZ29" i="67"/>
  <c r="DP29" i="67"/>
  <c r="GC29" i="67"/>
  <c r="FO29" i="67"/>
  <c r="FC29" i="67"/>
  <c r="EI29" i="67"/>
  <c r="EU44" i="67"/>
  <c r="FD44" i="67"/>
  <c r="DR44" i="67"/>
  <c r="FG44" i="67"/>
  <c r="FZ44" i="67"/>
  <c r="GD43" i="67"/>
  <c r="FD43" i="67"/>
  <c r="EJ43" i="67"/>
  <c r="DZ43" i="67"/>
  <c r="DP43" i="67"/>
  <c r="GC43" i="67"/>
  <c r="FO43" i="67"/>
  <c r="FC43" i="67"/>
  <c r="EI43" i="67"/>
  <c r="GB43" i="67"/>
  <c r="FM43" i="67"/>
  <c r="FB43" i="67"/>
  <c r="ER43" i="67"/>
  <c r="EH43" i="67"/>
  <c r="DX43" i="67"/>
  <c r="GA43" i="67"/>
  <c r="FK43" i="67"/>
  <c r="FA43" i="67"/>
  <c r="EQ43" i="67"/>
  <c r="EG43" i="67"/>
  <c r="FZ43" i="67"/>
  <c r="FJ43" i="67"/>
  <c r="EZ43" i="67"/>
  <c r="EP43" i="67"/>
  <c r="EF43" i="67"/>
  <c r="DV43" i="67"/>
  <c r="GI43" i="67"/>
  <c r="FY43" i="67"/>
  <c r="FI43" i="67"/>
  <c r="EY43" i="67"/>
  <c r="EO43" i="67"/>
  <c r="EE43" i="67"/>
  <c r="GH43" i="67"/>
  <c r="FW43" i="67"/>
  <c r="FH43" i="67"/>
  <c r="EX43" i="67"/>
  <c r="EN43" i="67"/>
  <c r="ED43" i="67"/>
  <c r="DT43" i="67"/>
  <c r="GG43" i="67"/>
  <c r="FU43" i="67"/>
  <c r="FG43" i="67"/>
  <c r="EW43" i="67"/>
  <c r="EM43" i="67"/>
  <c r="GF43" i="67"/>
  <c r="FT43" i="67"/>
  <c r="FF43" i="67"/>
  <c r="EV43" i="67"/>
  <c r="EB43" i="67"/>
  <c r="DR43" i="67"/>
  <c r="GP43" i="67"/>
  <c r="GE43" i="67"/>
  <c r="FS43" i="67"/>
  <c r="FE43" i="67"/>
  <c r="EU43" i="67"/>
  <c r="GC22" i="67"/>
  <c r="FM22" i="67"/>
  <c r="FB22" i="67"/>
  <c r="FT22" i="67"/>
  <c r="GB22" i="67"/>
  <c r="FK22" i="67"/>
  <c r="FA22" i="67"/>
  <c r="DV22" i="67"/>
  <c r="GA22" i="67"/>
  <c r="FJ22" i="67"/>
  <c r="EX22" i="67"/>
  <c r="EH22" i="67"/>
  <c r="FZ22" i="67"/>
  <c r="FI22" i="67"/>
  <c r="EW22" i="67"/>
  <c r="EG22" i="67"/>
  <c r="DT22" i="67"/>
  <c r="EP22" i="67"/>
  <c r="GI22" i="67"/>
  <c r="FY22" i="67"/>
  <c r="FH22" i="67"/>
  <c r="EU22" i="67"/>
  <c r="EE22" i="67"/>
  <c r="FE22" i="67"/>
  <c r="GH22" i="67"/>
  <c r="FW22" i="67"/>
  <c r="FG22" i="67"/>
  <c r="ED22" i="67"/>
  <c r="GF22" i="67"/>
  <c r="GG22" i="67"/>
  <c r="FU22" i="67"/>
  <c r="FF22" i="67"/>
  <c r="GP22" i="67"/>
  <c r="GE22" i="67"/>
  <c r="FS22" i="67"/>
  <c r="FD22" i="67"/>
  <c r="EO22" i="67"/>
  <c r="GD22" i="67"/>
  <c r="FC22" i="67"/>
  <c r="EM22" i="67"/>
  <c r="EB22" i="67"/>
  <c r="GC15" i="67"/>
  <c r="FO15" i="67"/>
  <c r="FC15" i="67"/>
  <c r="EI15" i="67"/>
  <c r="EL14" i="67"/>
  <c r="EL45" i="67" s="1"/>
  <c r="DR15" i="67"/>
  <c r="GB15" i="67"/>
  <c r="FM15" i="67"/>
  <c r="FB15" i="67"/>
  <c r="ER15" i="67"/>
  <c r="EH15" i="67"/>
  <c r="DX15" i="67"/>
  <c r="EK14" i="67"/>
  <c r="EK45" i="67" s="1"/>
  <c r="GA15" i="67"/>
  <c r="FK15" i="67"/>
  <c r="FA15" i="67"/>
  <c r="EQ15" i="67"/>
  <c r="EG15" i="67"/>
  <c r="FF15" i="67"/>
  <c r="FZ15" i="67"/>
  <c r="FJ15" i="67"/>
  <c r="EZ15" i="67"/>
  <c r="EP15" i="67"/>
  <c r="EF15" i="67"/>
  <c r="DV15" i="67"/>
  <c r="GI15" i="67"/>
  <c r="FY15" i="67"/>
  <c r="FI15" i="67"/>
  <c r="EY15" i="67"/>
  <c r="EO15" i="67"/>
  <c r="EE15" i="67"/>
  <c r="GH15" i="67"/>
  <c r="FW15" i="67"/>
  <c r="FH15" i="67"/>
  <c r="EX15" i="67"/>
  <c r="EN15" i="67"/>
  <c r="ED15" i="67"/>
  <c r="DT15" i="67"/>
  <c r="GF15" i="67"/>
  <c r="GG15" i="67"/>
  <c r="FU15" i="67"/>
  <c r="FG15" i="67"/>
  <c r="EW15" i="67"/>
  <c r="EM15" i="67"/>
  <c r="FT15" i="67"/>
  <c r="EV15" i="67"/>
  <c r="GP15" i="67"/>
  <c r="GE15" i="67"/>
  <c r="FS15" i="67"/>
  <c r="FE15" i="67"/>
  <c r="EU15" i="67"/>
  <c r="EB15" i="67"/>
  <c r="GD15" i="67"/>
  <c r="FD15" i="67"/>
  <c r="EJ15" i="67"/>
  <c r="DZ15" i="67"/>
  <c r="DP15" i="67"/>
  <c r="FC44" i="67"/>
  <c r="FM44" i="67"/>
  <c r="DZ44" i="67"/>
  <c r="FY44" i="67"/>
  <c r="EY22" i="67"/>
  <c r="DX24" i="63"/>
  <c r="EJ24" i="63"/>
  <c r="ER24" i="63"/>
  <c r="EI24" i="63"/>
  <c r="EQ24" i="63"/>
  <c r="FO24" i="63"/>
  <c r="EU24" i="63"/>
  <c r="EN24" i="63"/>
  <c r="EV24" i="63"/>
  <c r="EE24" i="63"/>
  <c r="FK24" i="63"/>
  <c r="DR24" i="63"/>
  <c r="EM24" i="63"/>
  <c r="EF24" i="63"/>
  <c r="ER23" i="63"/>
  <c r="EJ23" i="63"/>
  <c r="DP21" i="63"/>
  <c r="DZ21" i="63"/>
  <c r="EY21" i="63"/>
  <c r="EV21" i="63"/>
  <c r="EF21" i="63"/>
  <c r="DX21" i="63"/>
  <c r="EI21" i="63"/>
  <c r="GD19" i="69"/>
  <c r="FT19" i="69"/>
  <c r="FG19" i="69"/>
  <c r="EW19" i="69"/>
  <c r="EG19" i="69"/>
  <c r="GC19" i="69"/>
  <c r="FS19" i="69"/>
  <c r="FF19" i="69"/>
  <c r="ED19" i="69"/>
  <c r="DT19" i="69"/>
  <c r="GB19" i="69"/>
  <c r="FE19" i="69"/>
  <c r="GI19" i="69"/>
  <c r="GA19" i="69"/>
  <c r="FO19" i="69"/>
  <c r="FD19" i="69"/>
  <c r="EP19" i="69"/>
  <c r="EB19" i="69"/>
  <c r="GH19" i="69"/>
  <c r="FZ19" i="69"/>
  <c r="FM19" i="69"/>
  <c r="FC19" i="69"/>
  <c r="EO19" i="69"/>
  <c r="GP19" i="69"/>
  <c r="GG19" i="69"/>
  <c r="FY19" i="69"/>
  <c r="FJ19" i="69"/>
  <c r="FB19" i="69"/>
  <c r="GF19" i="69"/>
  <c r="FW19" i="69"/>
  <c r="FI19" i="69"/>
  <c r="FA19" i="69"/>
  <c r="GE19" i="69"/>
  <c r="FU19" i="69"/>
  <c r="FH19" i="69"/>
  <c r="EX19" i="69"/>
  <c r="EH19" i="69"/>
  <c r="DV19" i="69"/>
  <c r="DP19" i="69"/>
  <c r="ER19" i="69"/>
  <c r="FK19" i="69"/>
  <c r="EJ19" i="69"/>
  <c r="EU19" i="69"/>
  <c r="EM19" i="69"/>
  <c r="EV19" i="69"/>
  <c r="EE19" i="69"/>
  <c r="EY19" i="69"/>
  <c r="DZ19" i="69"/>
  <c r="EN19" i="69"/>
  <c r="EQ19" i="69"/>
  <c r="DR19" i="69"/>
  <c r="EF19" i="69"/>
  <c r="EI19" i="69"/>
  <c r="DX19" i="69"/>
  <c r="EZ19" i="69"/>
  <c r="GH33" i="69"/>
  <c r="FZ33" i="69"/>
  <c r="FM33" i="69"/>
  <c r="FD33" i="69"/>
  <c r="EV33" i="69"/>
  <c r="EN33" i="69"/>
  <c r="EF33" i="69"/>
  <c r="DX33" i="69"/>
  <c r="DP33" i="69"/>
  <c r="FJ33" i="69"/>
  <c r="FA33" i="69"/>
  <c r="GP33" i="69"/>
  <c r="GG33" i="69"/>
  <c r="FY33" i="69"/>
  <c r="FK33" i="69"/>
  <c r="FC33" i="69"/>
  <c r="EU33" i="69"/>
  <c r="EM33" i="69"/>
  <c r="EE33" i="69"/>
  <c r="FW33" i="69"/>
  <c r="ED33" i="69"/>
  <c r="DV33" i="69"/>
  <c r="FU33" i="69"/>
  <c r="GF33" i="69"/>
  <c r="GE33" i="69"/>
  <c r="GD33" i="69"/>
  <c r="FT33" i="69"/>
  <c r="FH33" i="69"/>
  <c r="EZ33" i="69"/>
  <c r="ER33" i="69"/>
  <c r="EJ33" i="69"/>
  <c r="EB33" i="69"/>
  <c r="DT33" i="69"/>
  <c r="FF33" i="69"/>
  <c r="DZ33" i="69"/>
  <c r="GC33" i="69"/>
  <c r="FS33" i="69"/>
  <c r="FG33" i="69"/>
  <c r="EY33" i="69"/>
  <c r="EQ33" i="69"/>
  <c r="EI33" i="69"/>
  <c r="EX33" i="69"/>
  <c r="EP33" i="69"/>
  <c r="EH33" i="69"/>
  <c r="DR33" i="69"/>
  <c r="GB33" i="69"/>
  <c r="GI33" i="69"/>
  <c r="GA33" i="69"/>
  <c r="FO33" i="69"/>
  <c r="FE33" i="69"/>
  <c r="EW33" i="69"/>
  <c r="EO33" i="69"/>
  <c r="EG33" i="69"/>
  <c r="FB33" i="69"/>
  <c r="FI33" i="69"/>
  <c r="EY22" i="63"/>
  <c r="EZ22" i="63"/>
  <c r="FK22" i="63"/>
  <c r="ER23" i="73"/>
  <c r="DZ23" i="73"/>
  <c r="DR23" i="73"/>
  <c r="EV23" i="73"/>
  <c r="EY23" i="73"/>
  <c r="EN23" i="73"/>
  <c r="FK23" i="73"/>
  <c r="EQ23" i="73"/>
  <c r="EF23" i="73"/>
  <c r="EU23" i="73"/>
  <c r="EJ23" i="73"/>
  <c r="DP23" i="73"/>
  <c r="EM23" i="73"/>
  <c r="GF23" i="73"/>
  <c r="FW23" i="73"/>
  <c r="FH23" i="73"/>
  <c r="EX23" i="73"/>
  <c r="EH23" i="73"/>
  <c r="DV23" i="73"/>
  <c r="GD23" i="73"/>
  <c r="FF23" i="73"/>
  <c r="DT23" i="73"/>
  <c r="GE23" i="73"/>
  <c r="FU23" i="73"/>
  <c r="FG23" i="73"/>
  <c r="EW23" i="73"/>
  <c r="EG23" i="73"/>
  <c r="FT23" i="73"/>
  <c r="ED23" i="73"/>
  <c r="GC23" i="73"/>
  <c r="FS23" i="73"/>
  <c r="FE23" i="73"/>
  <c r="GG23" i="73"/>
  <c r="GB23" i="73"/>
  <c r="FD23" i="73"/>
  <c r="EP23" i="73"/>
  <c r="EB23" i="73"/>
  <c r="FY23" i="73"/>
  <c r="GI23" i="73"/>
  <c r="GA23" i="73"/>
  <c r="FM23" i="73"/>
  <c r="FC23" i="73"/>
  <c r="EO23" i="73"/>
  <c r="GP23" i="73"/>
  <c r="FA23" i="73"/>
  <c r="GH23" i="73"/>
  <c r="FZ23" i="73"/>
  <c r="FJ23" i="73"/>
  <c r="FB23" i="73"/>
  <c r="FI23" i="73"/>
  <c r="EZ23" i="73"/>
  <c r="I42" i="65"/>
  <c r="GB41" i="65"/>
  <c r="FF41" i="65"/>
  <c r="EX41" i="65"/>
  <c r="EP41" i="65"/>
  <c r="EH41" i="65"/>
  <c r="DZ41" i="65"/>
  <c r="DR41" i="65"/>
  <c r="GE41" i="65"/>
  <c r="EZ41" i="65"/>
  <c r="ER41" i="65"/>
  <c r="FS41" i="65"/>
  <c r="GI41" i="65"/>
  <c r="GA41" i="65"/>
  <c r="FO41" i="65"/>
  <c r="FE41" i="65"/>
  <c r="EW41" i="65"/>
  <c r="EO41" i="65"/>
  <c r="EG41" i="65"/>
  <c r="FU41" i="65"/>
  <c r="GD41" i="65"/>
  <c r="EJ41" i="65"/>
  <c r="GH41" i="65"/>
  <c r="FZ41" i="65"/>
  <c r="FM41" i="65"/>
  <c r="FD41" i="65"/>
  <c r="EV41" i="65"/>
  <c r="EN41" i="65"/>
  <c r="EF41" i="65"/>
  <c r="DX41" i="65"/>
  <c r="DP41" i="65"/>
  <c r="EB41" i="65"/>
  <c r="GC41" i="65"/>
  <c r="FG41" i="65"/>
  <c r="EY41" i="65"/>
  <c r="EI41" i="65"/>
  <c r="GP41" i="65"/>
  <c r="GG41" i="65"/>
  <c r="FY41" i="65"/>
  <c r="FK41" i="65"/>
  <c r="FC41" i="65"/>
  <c r="EU41" i="65"/>
  <c r="EM41" i="65"/>
  <c r="EE41" i="65"/>
  <c r="FI41" i="65"/>
  <c r="FT41" i="65"/>
  <c r="DT41" i="65"/>
  <c r="GF41" i="65"/>
  <c r="FW41" i="65"/>
  <c r="FJ41" i="65"/>
  <c r="FB41" i="65"/>
  <c r="ED41" i="65"/>
  <c r="DV41" i="65"/>
  <c r="FA41" i="65"/>
  <c r="FH41" i="65"/>
  <c r="EQ41" i="65"/>
  <c r="FE32" i="73"/>
  <c r="EX32" i="73"/>
  <c r="FW32" i="73"/>
  <c r="GF32" i="73"/>
  <c r="FJ32" i="73"/>
  <c r="FK32" i="73"/>
  <c r="EV32" i="73"/>
  <c r="FM32" i="73"/>
  <c r="FF32" i="73"/>
  <c r="GE32" i="73"/>
  <c r="FA32" i="73"/>
  <c r="FZ32" i="73"/>
  <c r="FS32" i="73"/>
  <c r="FD32" i="73"/>
  <c r="FU32" i="73"/>
  <c r="GD32" i="73"/>
  <c r="DT32" i="73"/>
  <c r="FI32" i="73"/>
  <c r="GH32" i="73"/>
  <c r="GA32" i="73"/>
  <c r="EV25" i="73"/>
  <c r="GC25" i="73"/>
  <c r="EI25" i="73"/>
  <c r="EB25" i="73"/>
  <c r="FY25" i="73"/>
  <c r="GP25" i="73"/>
  <c r="GI25" i="73"/>
  <c r="GB25" i="73"/>
  <c r="GB18" i="73"/>
  <c r="EU18" i="73"/>
  <c r="GC18" i="73"/>
  <c r="FG18" i="73"/>
  <c r="GG18" i="73"/>
  <c r="GA18" i="73"/>
  <c r="DR18" i="73"/>
  <c r="DT18" i="73"/>
  <c r="DV18" i="73"/>
  <c r="GI18" i="73"/>
  <c r="FU41" i="72"/>
  <c r="GG44" i="71"/>
  <c r="FZ44" i="71"/>
  <c r="ED44" i="71"/>
  <c r="FC44" i="71"/>
  <c r="EV44" i="71"/>
  <c r="FO44" i="71"/>
  <c r="FF44" i="71"/>
  <c r="DT44" i="71"/>
  <c r="FA44" i="71"/>
  <c r="FJ44" i="71"/>
  <c r="FU44" i="71"/>
  <c r="FM44" i="71"/>
  <c r="GE44" i="71"/>
  <c r="EI44" i="71"/>
  <c r="EB44" i="71"/>
  <c r="FI44" i="71"/>
  <c r="FT44" i="71"/>
  <c r="GC44" i="71"/>
  <c r="GD44" i="71"/>
  <c r="DR44" i="71"/>
  <c r="EQ44" i="71"/>
  <c r="EJ44" i="71"/>
  <c r="FS44" i="71"/>
  <c r="GB44" i="71"/>
  <c r="DP44" i="71"/>
  <c r="EG44" i="71"/>
  <c r="DZ44" i="71"/>
  <c r="EY44" i="71"/>
  <c r="ER44" i="71"/>
  <c r="GA44" i="71"/>
  <c r="EE44" i="71"/>
  <c r="DX44" i="71"/>
  <c r="EO44" i="71"/>
  <c r="EH44" i="71"/>
  <c r="FG44" i="71"/>
  <c r="EZ44" i="71"/>
  <c r="GI44" i="71"/>
  <c r="EM44" i="71"/>
  <c r="EF44" i="71"/>
  <c r="EW44" i="71"/>
  <c r="FB27" i="71"/>
  <c r="DT27" i="71"/>
  <c r="FM27" i="71"/>
  <c r="GE27" i="71"/>
  <c r="EI27" i="71"/>
  <c r="EB27" i="71"/>
  <c r="FI27" i="71"/>
  <c r="FT27" i="71"/>
  <c r="GC27" i="71"/>
  <c r="GP27" i="71"/>
  <c r="FW27" i="71"/>
  <c r="GD27" i="71"/>
  <c r="DR27" i="71"/>
  <c r="EQ27" i="71"/>
  <c r="EJ27" i="71"/>
  <c r="FS27" i="71"/>
  <c r="GB27" i="71"/>
  <c r="FO27" i="71"/>
  <c r="FA27" i="71"/>
  <c r="DP27" i="71"/>
  <c r="EG27" i="71"/>
  <c r="DZ27" i="71"/>
  <c r="EY27" i="71"/>
  <c r="ER27" i="71"/>
  <c r="GA27" i="71"/>
  <c r="EE27" i="71"/>
  <c r="EV27" i="71"/>
  <c r="FF27" i="71"/>
  <c r="FK27" i="71"/>
  <c r="FJ27" i="71"/>
  <c r="DX27" i="71"/>
  <c r="EO27" i="71"/>
  <c r="EH27" i="71"/>
  <c r="FG27" i="71"/>
  <c r="EZ27" i="71"/>
  <c r="GI27" i="71"/>
  <c r="EM27" i="71"/>
  <c r="GH27" i="71"/>
  <c r="GF27" i="71"/>
  <c r="EF27" i="71"/>
  <c r="EW27" i="71"/>
  <c r="EP27" i="71"/>
  <c r="FY27" i="71"/>
  <c r="FH27" i="71"/>
  <c r="DV27" i="71"/>
  <c r="EU27" i="71"/>
  <c r="FD27" i="71"/>
  <c r="FU27" i="71"/>
  <c r="EN27" i="71"/>
  <c r="FE27" i="71"/>
  <c r="EX27" i="71"/>
  <c r="GG27" i="71"/>
  <c r="FZ27" i="71"/>
  <c r="ED27" i="71"/>
  <c r="EH16" i="71"/>
  <c r="GP16" i="71"/>
  <c r="FK16" i="71"/>
  <c r="FD25" i="70"/>
  <c r="FW25" i="70"/>
  <c r="GF25" i="70"/>
  <c r="DT25" i="70"/>
  <c r="FA25" i="70"/>
  <c r="FJ25" i="70"/>
  <c r="FU25" i="70"/>
  <c r="EQ25" i="70"/>
  <c r="EJ25" i="70"/>
  <c r="FS25" i="70"/>
  <c r="GB25" i="70"/>
  <c r="EG25" i="70"/>
  <c r="DZ25" i="70"/>
  <c r="EY25" i="70"/>
  <c r="ER25" i="70"/>
  <c r="GA25" i="70"/>
  <c r="FZ19" i="70"/>
  <c r="ED19" i="70"/>
  <c r="EP19" i="70"/>
  <c r="EB19" i="70"/>
  <c r="EM19" i="70"/>
  <c r="GP19" i="70"/>
  <c r="FC19" i="70"/>
  <c r="EJ19" i="70"/>
  <c r="FO19" i="70"/>
  <c r="EN19" i="70"/>
  <c r="EW19" i="70"/>
  <c r="GI19" i="70"/>
  <c r="EV19" i="70"/>
  <c r="EY19" i="70"/>
  <c r="DV19" i="70"/>
  <c r="EH19" i="70"/>
  <c r="EX18" i="70"/>
  <c r="FZ18" i="70"/>
  <c r="GA18" i="70"/>
  <c r="DV18" i="70"/>
  <c r="FK18" i="70"/>
  <c r="DX16" i="70"/>
  <c r="EP16" i="70"/>
  <c r="EJ17" i="67"/>
  <c r="GE17" i="67"/>
  <c r="GF17" i="67"/>
  <c r="GC17" i="67"/>
  <c r="EI17" i="67"/>
  <c r="EQ17" i="67"/>
  <c r="DT17" i="67"/>
  <c r="DT28" i="69"/>
  <c r="FA28" i="69"/>
  <c r="FJ28" i="69"/>
  <c r="FU28" i="69"/>
  <c r="FM28" i="69"/>
  <c r="GE28" i="69"/>
  <c r="EI28" i="69"/>
  <c r="EJ28" i="69"/>
  <c r="FS28" i="69"/>
  <c r="GB28" i="69"/>
  <c r="DP28" i="69"/>
  <c r="EG28" i="69"/>
  <c r="DZ28" i="69"/>
  <c r="EY28" i="69"/>
  <c r="ER28" i="69"/>
  <c r="GA28" i="69"/>
  <c r="EE28" i="69"/>
  <c r="DX28" i="69"/>
  <c r="EO28" i="69"/>
  <c r="EH28" i="69"/>
  <c r="FG28" i="69"/>
  <c r="EZ28" i="69"/>
  <c r="GI28" i="69"/>
  <c r="EM28" i="69"/>
  <c r="EF28" i="69"/>
  <c r="EW28" i="69"/>
  <c r="EP28" i="69"/>
  <c r="FY28" i="69"/>
  <c r="FH28" i="69"/>
  <c r="DV28" i="69"/>
  <c r="EU28" i="69"/>
  <c r="EN28" i="69"/>
  <c r="FE28" i="69"/>
  <c r="EX28" i="69"/>
  <c r="GG28" i="69"/>
  <c r="EO21" i="68"/>
  <c r="EW21" i="68"/>
  <c r="FO21" i="68"/>
  <c r="EE21" i="68"/>
  <c r="FZ28" i="68"/>
  <c r="GG21" i="68"/>
  <c r="GH21" i="68"/>
  <c r="ED21" i="68"/>
  <c r="DP21" i="68"/>
  <c r="DZ21" i="68"/>
  <c r="DT21" i="68"/>
  <c r="GP21" i="68"/>
  <c r="FB21" i="68"/>
  <c r="DX21" i="68"/>
  <c r="FF21" i="68"/>
  <c r="EB21" i="68"/>
  <c r="FA21" i="68"/>
  <c r="FJ21" i="68"/>
  <c r="EF21" i="68"/>
  <c r="EI21" i="68"/>
  <c r="EJ21" i="68"/>
  <c r="FI21" i="68"/>
  <c r="GB21" i="68"/>
  <c r="EV21" i="68"/>
  <c r="EI38" i="67"/>
  <c r="EJ38" i="67"/>
  <c r="FS38" i="67"/>
  <c r="GB38" i="67"/>
  <c r="DP38" i="67"/>
  <c r="EG38" i="67"/>
  <c r="DZ38" i="67"/>
  <c r="EY38" i="67"/>
  <c r="DT38" i="67"/>
  <c r="FJ38" i="67"/>
  <c r="ER38" i="67"/>
  <c r="GA38" i="67"/>
  <c r="EE38" i="67"/>
  <c r="DX38" i="67"/>
  <c r="EO38" i="67"/>
  <c r="EH38" i="67"/>
  <c r="FG38" i="67"/>
  <c r="FU38" i="67"/>
  <c r="EZ38" i="67"/>
  <c r="GI38" i="67"/>
  <c r="EM38" i="67"/>
  <c r="EF38" i="67"/>
  <c r="EW38" i="67"/>
  <c r="EP38" i="67"/>
  <c r="FY38" i="67"/>
  <c r="FM38" i="67"/>
  <c r="FH38" i="67"/>
  <c r="DV38" i="67"/>
  <c r="EU38" i="67"/>
  <c r="EN38" i="67"/>
  <c r="FE38" i="67"/>
  <c r="EX38" i="67"/>
  <c r="GG38" i="67"/>
  <c r="FZ38" i="67"/>
  <c r="ED38" i="67"/>
  <c r="FC38" i="67"/>
  <c r="EV38" i="67"/>
  <c r="FO38" i="67"/>
  <c r="FF38" i="67"/>
  <c r="GP38" i="67"/>
  <c r="GE38" i="67"/>
  <c r="GH38" i="67"/>
  <c r="FB38" i="67"/>
  <c r="FK38" i="67"/>
  <c r="FD38" i="67"/>
  <c r="FW38" i="67"/>
  <c r="GF38" i="67"/>
  <c r="FA38" i="67"/>
  <c r="EB38" i="67"/>
  <c r="FI38" i="67"/>
  <c r="FT38" i="67"/>
  <c r="GC38" i="67"/>
  <c r="GD38" i="67"/>
  <c r="DR38" i="67"/>
  <c r="DT31" i="67"/>
  <c r="FT31" i="67"/>
  <c r="GD31" i="67"/>
  <c r="FZ31" i="67"/>
  <c r="EE31" i="67"/>
  <c r="FW31" i="67"/>
  <c r="EU31" i="67"/>
  <c r="DR31" i="67"/>
  <c r="FK31" i="67"/>
  <c r="EX31" i="67"/>
  <c r="DV31" i="67"/>
  <c r="GC31" i="67"/>
  <c r="GF31" i="67"/>
  <c r="FB31" i="67"/>
  <c r="EN31" i="67"/>
  <c r="GG31" i="67"/>
  <c r="FS17" i="67"/>
  <c r="GB17" i="67"/>
  <c r="DP17" i="67"/>
  <c r="EG17" i="67"/>
  <c r="DZ17" i="67"/>
  <c r="EY17" i="67"/>
  <c r="ER17" i="67"/>
  <c r="GA17" i="67"/>
  <c r="EE17" i="67"/>
  <c r="DX17" i="67"/>
  <c r="EO17" i="67"/>
  <c r="EH17" i="67"/>
  <c r="FG17" i="67"/>
  <c r="EZ17" i="67"/>
  <c r="GI17" i="67"/>
  <c r="EM17" i="67"/>
  <c r="EF17" i="67"/>
  <c r="EW17" i="67"/>
  <c r="EP17" i="67"/>
  <c r="FY17" i="67"/>
  <c r="FH17" i="67"/>
  <c r="DV17" i="67"/>
  <c r="EU17" i="67"/>
  <c r="EN17" i="67"/>
  <c r="FE17" i="67"/>
  <c r="EX17" i="67"/>
  <c r="GG17" i="67"/>
  <c r="FZ17" i="67"/>
  <c r="ED17" i="67"/>
  <c r="FC17" i="67"/>
  <c r="EV17" i="67"/>
  <c r="FO17" i="67"/>
  <c r="FF17" i="67"/>
  <c r="GP17" i="67"/>
  <c r="FO34" i="66"/>
  <c r="EP34" i="66"/>
  <c r="EY34" i="66"/>
  <c r="EJ34" i="66"/>
  <c r="FS34" i="66"/>
  <c r="GB34" i="66"/>
  <c r="FM34" i="66"/>
  <c r="FW34" i="66"/>
  <c r="EX34" i="66"/>
  <c r="FG34" i="66"/>
  <c r="ER34" i="66"/>
  <c r="GA34" i="66"/>
  <c r="FC34" i="66"/>
  <c r="GD34" i="66"/>
  <c r="GE34" i="66"/>
  <c r="FF34" i="66"/>
  <c r="FY34" i="66"/>
  <c r="EZ34" i="66"/>
  <c r="GI34" i="66"/>
  <c r="DP34" i="66"/>
  <c r="FK34" i="66"/>
  <c r="EM34" i="66"/>
  <c r="GF34" i="66"/>
  <c r="GG34" i="66"/>
  <c r="FH34" i="66"/>
  <c r="DV34" i="66"/>
  <c r="DX34" i="66"/>
  <c r="EG34" i="66"/>
  <c r="GC34" i="66"/>
  <c r="EE34" i="66"/>
  <c r="GP34" i="66"/>
  <c r="FZ34" i="66"/>
  <c r="ED34" i="66"/>
  <c r="GE27" i="66"/>
  <c r="FJ27" i="66"/>
  <c r="FS27" i="66"/>
  <c r="GF20" i="66"/>
  <c r="DT20" i="66"/>
  <c r="FA20" i="66"/>
  <c r="FJ20" i="66"/>
  <c r="GC20" i="66"/>
  <c r="EI20" i="66"/>
  <c r="EB20" i="66"/>
  <c r="FI20" i="66"/>
  <c r="FT20" i="66"/>
  <c r="EE20" i="66"/>
  <c r="DR20" i="66"/>
  <c r="EQ20" i="66"/>
  <c r="EJ20" i="66"/>
  <c r="FS20" i="66"/>
  <c r="GB20" i="66"/>
  <c r="DP20" i="66"/>
  <c r="EH20" i="66"/>
  <c r="FG20" i="66"/>
  <c r="EZ20" i="66"/>
  <c r="EZ45" i="66" s="1"/>
  <c r="GI20" i="66"/>
  <c r="EU20" i="66"/>
  <c r="EF20" i="66"/>
  <c r="FO43" i="65"/>
  <c r="FF43" i="65"/>
  <c r="GP43" i="65"/>
  <c r="GH43" i="65"/>
  <c r="FB43" i="65"/>
  <c r="FK43" i="65"/>
  <c r="FD43" i="65"/>
  <c r="FW43" i="65"/>
  <c r="GF43" i="65"/>
  <c r="DT43" i="65"/>
  <c r="FA43" i="65"/>
  <c r="FJ43" i="65"/>
  <c r="FU43" i="65"/>
  <c r="FM43" i="65"/>
  <c r="GE43" i="65"/>
  <c r="EI43" i="65"/>
  <c r="EB43" i="65"/>
  <c r="FI43" i="65"/>
  <c r="FT43" i="65"/>
  <c r="GC43" i="65"/>
  <c r="GD43" i="65"/>
  <c r="DR43" i="65"/>
  <c r="EQ43" i="65"/>
  <c r="EJ43" i="65"/>
  <c r="FS43" i="65"/>
  <c r="GB43" i="65"/>
  <c r="DP43" i="65"/>
  <c r="EG43" i="65"/>
  <c r="DZ43" i="65"/>
  <c r="EY43" i="65"/>
  <c r="ER43" i="65"/>
  <c r="GA43" i="65"/>
  <c r="EE43" i="65"/>
  <c r="DX43" i="65"/>
  <c r="EO43" i="65"/>
  <c r="EH43" i="65"/>
  <c r="FG43" i="65"/>
  <c r="EZ43" i="65"/>
  <c r="GI43" i="65"/>
  <c r="EM43" i="65"/>
  <c r="EF43" i="65"/>
  <c r="EW43" i="65"/>
  <c r="EP43" i="65"/>
  <c r="FY43" i="65"/>
  <c r="FH43" i="65"/>
  <c r="DV43" i="65"/>
  <c r="EU43" i="65"/>
  <c r="GB29" i="65"/>
  <c r="EM29" i="65"/>
  <c r="EU29" i="65"/>
  <c r="FC29" i="65"/>
  <c r="EQ32" i="64"/>
  <c r="FY18" i="64"/>
  <c r="FK14" i="63"/>
  <c r="ER14" i="63"/>
  <c r="EZ14" i="63"/>
  <c r="EE14" i="63"/>
  <c r="EM14" i="63"/>
  <c r="EU14" i="63"/>
  <c r="DP14" i="63"/>
  <c r="DX14" i="63"/>
  <c r="EF14" i="63"/>
  <c r="EN14" i="63"/>
  <c r="FK20" i="69"/>
  <c r="FZ20" i="69"/>
  <c r="DX20" i="69"/>
  <c r="EO20" i="69"/>
  <c r="FF20" i="69"/>
  <c r="GH20" i="69"/>
  <c r="EF20" i="69"/>
  <c r="FE20" i="69"/>
  <c r="GF20" i="69"/>
  <c r="GI20" i="69"/>
  <c r="FB20" i="69"/>
  <c r="EM20" i="69"/>
  <c r="FC20" i="69"/>
  <c r="EY16" i="70"/>
  <c r="EF16" i="70"/>
  <c r="GA16" i="70"/>
  <c r="EN16" i="70"/>
  <c r="FA16" i="70"/>
  <c r="FM16" i="70"/>
  <c r="GI16" i="70"/>
  <c r="ED16" i="70"/>
  <c r="EX16" i="70"/>
  <c r="EI16" i="70"/>
  <c r="EQ16" i="70"/>
  <c r="GF16" i="70"/>
  <c r="FW16" i="70"/>
  <c r="FS16" i="70"/>
  <c r="FH16" i="70"/>
  <c r="EU14" i="69"/>
  <c r="GF41" i="68"/>
  <c r="DT41" i="68"/>
  <c r="EI41" i="68"/>
  <c r="EB41" i="68"/>
  <c r="FI41" i="68"/>
  <c r="DZ41" i="68"/>
  <c r="EY41" i="68"/>
  <c r="EP41" i="68"/>
  <c r="FY41" i="68"/>
  <c r="FH41" i="68"/>
  <c r="FO41" i="68"/>
  <c r="FF41" i="68"/>
  <c r="GP26" i="66"/>
  <c r="FB26" i="66"/>
  <c r="FD26" i="66"/>
  <c r="FM33" i="66"/>
  <c r="FF26" i="66"/>
  <c r="EB26" i="66"/>
  <c r="FT26" i="66"/>
  <c r="GD26" i="66"/>
  <c r="GH33" i="66"/>
  <c r="FW33" i="66"/>
  <c r="GH26" i="66"/>
  <c r="DR26" i="66"/>
  <c r="EJ26" i="66"/>
  <c r="GB26" i="66"/>
  <c r="EG26" i="66"/>
  <c r="EB33" i="66"/>
  <c r="GF33" i="66"/>
  <c r="DZ26" i="66"/>
  <c r="ER26" i="66"/>
  <c r="EE26" i="66"/>
  <c r="EO26" i="66"/>
  <c r="EI26" i="66"/>
  <c r="FI26" i="66"/>
  <c r="GC26" i="66"/>
  <c r="EO33" i="66"/>
  <c r="EW33" i="66"/>
  <c r="EQ26" i="66"/>
  <c r="FS26" i="66"/>
  <c r="DP26" i="66"/>
  <c r="FB33" i="66"/>
  <c r="FG33" i="66"/>
  <c r="EY26" i="66"/>
  <c r="GA26" i="66"/>
  <c r="DX26" i="66"/>
  <c r="FT33" i="66"/>
  <c r="FC33" i="66"/>
  <c r="FS33" i="66"/>
  <c r="ED42" i="65"/>
  <c r="FC42" i="65"/>
  <c r="EV42" i="65"/>
  <c r="FW42" i="65"/>
  <c r="EI42" i="65"/>
  <c r="EZ42" i="65"/>
  <c r="FB42" i="65"/>
  <c r="FK42" i="65"/>
  <c r="FD42" i="65"/>
  <c r="GE42" i="65"/>
  <c r="EQ42" i="65"/>
  <c r="GH42" i="65"/>
  <c r="FJ42" i="65"/>
  <c r="FU42" i="65"/>
  <c r="FM42" i="65"/>
  <c r="DR42" i="65"/>
  <c r="FG42" i="65"/>
  <c r="FA42" i="65"/>
  <c r="FT42" i="65"/>
  <c r="GC42" i="65"/>
  <c r="GD42" i="65"/>
  <c r="DZ42" i="65"/>
  <c r="FY42" i="65"/>
  <c r="FI42" i="65"/>
  <c r="GB42" i="65"/>
  <c r="DP42" i="65"/>
  <c r="EG42" i="65"/>
  <c r="EH42" i="65"/>
  <c r="GP42" i="65"/>
  <c r="GI42" i="65"/>
  <c r="EE42" i="65"/>
  <c r="DX42" i="65"/>
  <c r="EO42" i="65"/>
  <c r="EP42" i="65"/>
  <c r="DT42" i="65"/>
  <c r="EM42" i="65"/>
  <c r="EF42" i="65"/>
  <c r="EW42" i="65"/>
  <c r="FF42" i="65"/>
  <c r="EB42" i="65"/>
  <c r="FD39" i="64"/>
  <c r="FU24" i="64"/>
  <c r="EN15" i="63"/>
  <c r="EJ15" i="63"/>
  <c r="ER15" i="63"/>
  <c r="EZ15" i="63"/>
  <c r="EM31" i="63"/>
  <c r="GO17" i="63"/>
  <c r="DR23" i="63"/>
  <c r="DZ23" i="63"/>
  <c r="GO25" i="63"/>
  <c r="GO28" i="63"/>
  <c r="EI23" i="63"/>
  <c r="EQ23" i="63"/>
  <c r="EY23" i="63"/>
  <c r="FK31" i="63"/>
  <c r="EV15" i="63"/>
  <c r="EF15" i="63"/>
  <c r="FO15" i="63"/>
  <c r="FK23" i="63"/>
  <c r="EU31" i="63"/>
  <c r="DP15" i="63"/>
  <c r="DR15" i="63"/>
  <c r="DZ15" i="63"/>
  <c r="EE23" i="63"/>
  <c r="EM23" i="63"/>
  <c r="EU23" i="63"/>
  <c r="DX15" i="63"/>
  <c r="EI15" i="63"/>
  <c r="EQ15" i="63"/>
  <c r="DP23" i="63"/>
  <c r="DX23" i="63"/>
  <c r="EF23" i="63"/>
  <c r="EN23" i="63"/>
  <c r="EV23" i="63"/>
  <c r="FO23" i="63"/>
  <c r="GH14" i="67"/>
  <c r="EP14" i="69"/>
  <c r="GC14" i="69"/>
  <c r="EI14" i="69"/>
  <c r="EZ14" i="69"/>
  <c r="FY14" i="69"/>
  <c r="FG17" i="73"/>
  <c r="EZ17" i="73"/>
  <c r="ED17" i="73"/>
  <c r="FO17" i="73"/>
  <c r="FH17" i="73"/>
  <c r="FB17" i="73"/>
  <c r="FC17" i="73"/>
  <c r="EN17" i="73"/>
  <c r="FE17" i="73"/>
  <c r="FK17" i="73"/>
  <c r="EV17" i="73"/>
  <c r="FM17" i="73"/>
  <c r="FS17" i="73"/>
  <c r="FU17" i="73"/>
  <c r="GD17" i="73"/>
  <c r="FT17" i="73"/>
  <c r="FF17" i="73"/>
  <c r="GC17" i="73"/>
  <c r="EI17" i="73"/>
  <c r="EB17" i="73"/>
  <c r="FY17" i="73"/>
  <c r="FD17" i="73"/>
  <c r="DR17" i="73"/>
  <c r="EQ17" i="73"/>
  <c r="EJ17" i="73"/>
  <c r="GG17" i="73"/>
  <c r="EE17" i="73"/>
  <c r="DZ17" i="73"/>
  <c r="EY17" i="73"/>
  <c r="ER17" i="73"/>
  <c r="DV17" i="73"/>
  <c r="EM17" i="73"/>
  <c r="FM41" i="72"/>
  <c r="GE41" i="72"/>
  <c r="EI41" i="72"/>
  <c r="EB41" i="72"/>
  <c r="FA41" i="72"/>
  <c r="FJ41" i="72"/>
  <c r="EQ40" i="72"/>
  <c r="ER40" i="72"/>
  <c r="EZ40" i="72"/>
  <c r="GA40" i="72"/>
  <c r="EE40" i="72"/>
  <c r="DX40" i="72"/>
  <c r="EF40" i="72"/>
  <c r="EW40" i="72"/>
  <c r="EX40" i="72"/>
  <c r="GG40" i="72"/>
  <c r="DT40" i="72"/>
  <c r="GP40" i="72"/>
  <c r="FB40" i="72"/>
  <c r="FK40" i="72"/>
  <c r="GH33" i="72"/>
  <c r="ED33" i="72"/>
  <c r="FC33" i="72"/>
  <c r="EV33" i="72"/>
  <c r="FO33" i="72"/>
  <c r="FF33" i="72"/>
  <c r="DT33" i="72"/>
  <c r="GP33" i="72"/>
  <c r="FB33" i="72"/>
  <c r="FK33" i="72"/>
  <c r="FD33" i="72"/>
  <c r="FW33" i="72"/>
  <c r="GF33" i="72"/>
  <c r="EJ33" i="72"/>
  <c r="FI33" i="72"/>
  <c r="FT33" i="72"/>
  <c r="GC33" i="72"/>
  <c r="GD33" i="72"/>
  <c r="DR33" i="72"/>
  <c r="EQ33" i="72"/>
  <c r="ER33" i="72"/>
  <c r="FS33" i="72"/>
  <c r="GB33" i="72"/>
  <c r="DP33" i="72"/>
  <c r="EG33" i="72"/>
  <c r="DZ33" i="72"/>
  <c r="DP26" i="72"/>
  <c r="EG26" i="72"/>
  <c r="DZ26" i="72"/>
  <c r="EF26" i="72"/>
  <c r="EW26" i="72"/>
  <c r="EP26" i="72"/>
  <c r="FO26" i="72"/>
  <c r="FH26" i="72"/>
  <c r="FB26" i="72"/>
  <c r="FW26" i="72"/>
  <c r="GF26" i="72"/>
  <c r="FJ26" i="72"/>
  <c r="FK26" i="72"/>
  <c r="EV26" i="72"/>
  <c r="FM26" i="72"/>
  <c r="FS26" i="72"/>
  <c r="FD26" i="72"/>
  <c r="FU26" i="72"/>
  <c r="GD26" i="72"/>
  <c r="DT26" i="72"/>
  <c r="FI26" i="72"/>
  <c r="ED19" i="72"/>
  <c r="FK19" i="72"/>
  <c r="FO19" i="72"/>
  <c r="FD43" i="71"/>
  <c r="GF43" i="71"/>
  <c r="GC43" i="71"/>
  <c r="GD43" i="71"/>
  <c r="EQ43" i="71"/>
  <c r="FS43" i="71"/>
  <c r="FW43" i="71"/>
  <c r="GG22" i="71"/>
  <c r="EX22" i="71"/>
  <c r="FZ22" i="71"/>
  <c r="EE22" i="71"/>
  <c r="FS22" i="71"/>
  <c r="EO16" i="71"/>
  <c r="FG16" i="71"/>
  <c r="FB16" i="71"/>
  <c r="EW16" i="71"/>
  <c r="FY16" i="71"/>
  <c r="FJ16" i="71"/>
  <c r="FE16" i="71"/>
  <c r="GG16" i="71"/>
  <c r="FT16" i="71"/>
  <c r="DX16" i="71"/>
  <c r="FO16" i="71"/>
  <c r="ER16" i="71"/>
  <c r="GB16" i="71"/>
  <c r="EN16" i="71"/>
  <c r="EP16" i="71"/>
  <c r="FA16" i="71"/>
  <c r="FU16" i="71"/>
  <c r="EJ16" i="71"/>
  <c r="EV16" i="71"/>
  <c r="EX16" i="71"/>
  <c r="FI16" i="71"/>
  <c r="GC16" i="71"/>
  <c r="FD16" i="71"/>
  <c r="FF16" i="71"/>
  <c r="FS16" i="71"/>
  <c r="EB16" i="71"/>
  <c r="FA15" i="71"/>
  <c r="FC15" i="71"/>
  <c r="FI15" i="71"/>
  <c r="EI15" i="71"/>
  <c r="GI15" i="71"/>
  <c r="FD15" i="71"/>
  <c r="FJ38" i="70"/>
  <c r="EX19" i="70"/>
  <c r="FW19" i="70"/>
  <c r="FG19" i="70"/>
  <c r="GH19" i="70"/>
  <c r="FB19" i="70"/>
  <c r="FK19" i="70"/>
  <c r="FD19" i="70"/>
  <c r="FF19" i="70"/>
  <c r="EZ19" i="70"/>
  <c r="GE19" i="70"/>
  <c r="FA19" i="70"/>
  <c r="FJ19" i="70"/>
  <c r="FU19" i="70"/>
  <c r="FM19" i="70"/>
  <c r="GF19" i="70"/>
  <c r="FY19" i="70"/>
  <c r="ER19" i="70"/>
  <c r="FI19" i="70"/>
  <c r="FT19" i="70"/>
  <c r="GC19" i="70"/>
  <c r="GD19" i="70"/>
  <c r="DT19" i="70"/>
  <c r="EO19" i="70"/>
  <c r="FH19" i="70"/>
  <c r="FS19" i="70"/>
  <c r="GB19" i="70"/>
  <c r="DP19" i="70"/>
  <c r="DR19" i="70"/>
  <c r="EI19" i="70"/>
  <c r="FE19" i="70"/>
  <c r="GG19" i="70"/>
  <c r="GA19" i="70"/>
  <c r="EE19" i="70"/>
  <c r="DX19" i="70"/>
  <c r="EQ18" i="70"/>
  <c r="EE18" i="70"/>
  <c r="ED18" i="70"/>
  <c r="FE18" i="70"/>
  <c r="FC18" i="70"/>
  <c r="DP18" i="70"/>
  <c r="FG18" i="70"/>
  <c r="FU18" i="70"/>
  <c r="EF18" i="70"/>
  <c r="EU18" i="70"/>
  <c r="EZ18" i="70"/>
  <c r="EN18" i="70"/>
  <c r="GE18" i="70"/>
  <c r="GH18" i="70"/>
  <c r="FW18" i="70"/>
  <c r="GC18" i="70"/>
  <c r="EO18" i="70"/>
  <c r="DT18" i="70"/>
  <c r="GP18" i="70"/>
  <c r="FB18" i="70"/>
  <c r="EV18" i="70"/>
  <c r="EH18" i="70"/>
  <c r="DZ18" i="70"/>
  <c r="EY18" i="70"/>
  <c r="EB18" i="70"/>
  <c r="FA18" i="70"/>
  <c r="FJ18" i="70"/>
  <c r="FD18" i="70"/>
  <c r="FF18" i="70"/>
  <c r="EW18" i="70"/>
  <c r="GG18" i="70"/>
  <c r="EJ18" i="70"/>
  <c r="FI18" i="70"/>
  <c r="FT18" i="70"/>
  <c r="FM18" i="70"/>
  <c r="EI18" i="70"/>
  <c r="FO18" i="70"/>
  <c r="DR18" i="70"/>
  <c r="ER18" i="70"/>
  <c r="FS18" i="70"/>
  <c r="GB18" i="70"/>
  <c r="GD18" i="70"/>
  <c r="EG18" i="70"/>
  <c r="FY18" i="70"/>
  <c r="EM18" i="70"/>
  <c r="EP18" i="70"/>
  <c r="FH18" i="70"/>
  <c r="GI18" i="70"/>
  <c r="FI16" i="70"/>
  <c r="EM16" i="70"/>
  <c r="FC16" i="70"/>
  <c r="EV16" i="70"/>
  <c r="EZ16" i="70"/>
  <c r="DV16" i="70"/>
  <c r="EW16" i="70"/>
  <c r="FO16" i="70"/>
  <c r="GE16" i="70"/>
  <c r="DR16" i="70"/>
  <c r="FZ16" i="70"/>
  <c r="EG16" i="70"/>
  <c r="FJ16" i="70"/>
  <c r="GB16" i="70"/>
  <c r="FE16" i="70"/>
  <c r="DZ16" i="70"/>
  <c r="GH16" i="70"/>
  <c r="FG16" i="70"/>
  <c r="FY16" i="70"/>
  <c r="EO16" i="70"/>
  <c r="GG16" i="70"/>
  <c r="EH16" i="70"/>
  <c r="FK34" i="69"/>
  <c r="FF34" i="69"/>
  <c r="FT34" i="69"/>
  <c r="FU34" i="69"/>
  <c r="FD34" i="69"/>
  <c r="FW34" i="69"/>
  <c r="GF34" i="69"/>
  <c r="GP34" i="69"/>
  <c r="FZ34" i="69"/>
  <c r="GB34" i="69"/>
  <c r="GC34" i="69"/>
  <c r="FM34" i="69"/>
  <c r="GE34" i="69"/>
  <c r="FA34" i="69"/>
  <c r="GI34" i="69"/>
  <c r="GH34" i="69"/>
  <c r="FJ34" i="69"/>
  <c r="FH34" i="69"/>
  <c r="FI34" i="69"/>
  <c r="FS34" i="69"/>
  <c r="GD34" i="69"/>
  <c r="DR34" i="69"/>
  <c r="EI34" i="69"/>
  <c r="DT34" i="69"/>
  <c r="EV34" i="69"/>
  <c r="GA34" i="69"/>
  <c r="EE34" i="69"/>
  <c r="DP34" i="69"/>
  <c r="EG34" i="69"/>
  <c r="DZ34" i="69"/>
  <c r="EQ34" i="69"/>
  <c r="EB34" i="69"/>
  <c r="FO34" i="69"/>
  <c r="DV34" i="69"/>
  <c r="EM34" i="69"/>
  <c r="DX34" i="69"/>
  <c r="EO34" i="69"/>
  <c r="EH34" i="69"/>
  <c r="EY34" i="69"/>
  <c r="EJ34" i="69"/>
  <c r="GG34" i="69"/>
  <c r="ED34" i="69"/>
  <c r="EU34" i="69"/>
  <c r="EF34" i="69"/>
  <c r="EW34" i="69"/>
  <c r="EP34" i="69"/>
  <c r="FG34" i="69"/>
  <c r="ER34" i="69"/>
  <c r="FB34" i="69"/>
  <c r="FC34" i="69"/>
  <c r="EN34" i="69"/>
  <c r="FE34" i="69"/>
  <c r="EX34" i="69"/>
  <c r="FY34" i="69"/>
  <c r="DZ27" i="69"/>
  <c r="EY27" i="69"/>
  <c r="ER27" i="69"/>
  <c r="GA27" i="69"/>
  <c r="EE27" i="69"/>
  <c r="DX27" i="69"/>
  <c r="EO27" i="69"/>
  <c r="EH27" i="69"/>
  <c r="FG27" i="69"/>
  <c r="EZ27" i="69"/>
  <c r="GI27" i="69"/>
  <c r="EM27" i="69"/>
  <c r="EF27" i="69"/>
  <c r="EW27" i="69"/>
  <c r="EP27" i="69"/>
  <c r="FY27" i="69"/>
  <c r="FH27" i="69"/>
  <c r="DV27" i="69"/>
  <c r="EU27" i="69"/>
  <c r="EN27" i="69"/>
  <c r="FE27" i="69"/>
  <c r="EX27" i="69"/>
  <c r="GG27" i="69"/>
  <c r="FZ27" i="69"/>
  <c r="ED27" i="69"/>
  <c r="FC27" i="69"/>
  <c r="EV27" i="69"/>
  <c r="FO27" i="69"/>
  <c r="GF27" i="69"/>
  <c r="DT27" i="69"/>
  <c r="FA27" i="69"/>
  <c r="FJ27" i="69"/>
  <c r="FU27" i="69"/>
  <c r="FM27" i="69"/>
  <c r="GE27" i="69"/>
  <c r="EI27" i="69"/>
  <c r="EB27" i="69"/>
  <c r="FI27" i="69"/>
  <c r="FT27" i="69"/>
  <c r="GC27" i="69"/>
  <c r="DT20" i="69"/>
  <c r="FA20" i="69"/>
  <c r="FJ20" i="69"/>
  <c r="FU20" i="69"/>
  <c r="EB20" i="69"/>
  <c r="FI20" i="69"/>
  <c r="FT20" i="69"/>
  <c r="GC20" i="69"/>
  <c r="DR20" i="69"/>
  <c r="EQ20" i="69"/>
  <c r="EJ20" i="69"/>
  <c r="FS20" i="69"/>
  <c r="GB20" i="69"/>
  <c r="EY20" i="69"/>
  <c r="ER20" i="69"/>
  <c r="GA20" i="69"/>
  <c r="EE20" i="69"/>
  <c r="EW20" i="69"/>
  <c r="EP20" i="69"/>
  <c r="FY20" i="69"/>
  <c r="FH20" i="69"/>
  <c r="DV20" i="69"/>
  <c r="GD14" i="69"/>
  <c r="FI14" i="69"/>
  <c r="GA14" i="69"/>
  <c r="GI14" i="69"/>
  <c r="EQ14" i="69"/>
  <c r="GG14" i="69"/>
  <c r="DP14" i="69"/>
  <c r="FG14" i="69"/>
  <c r="DV14" i="69"/>
  <c r="EF14" i="69"/>
  <c r="DT14" i="69"/>
  <c r="FZ14" i="69"/>
  <c r="FL14" i="69"/>
  <c r="DR14" i="69"/>
  <c r="EB14" i="69"/>
  <c r="GH14" i="69"/>
  <c r="FT14" i="69"/>
  <c r="DZ14" i="69"/>
  <c r="EJ14" i="69"/>
  <c r="EE14" i="69"/>
  <c r="FU14" i="69"/>
  <c r="GB14" i="69"/>
  <c r="EH14" i="69"/>
  <c r="EY14" i="69"/>
  <c r="ER14" i="69"/>
  <c r="GP14" i="69"/>
  <c r="EM14" i="69"/>
  <c r="DX14" i="69"/>
  <c r="EG14" i="69"/>
  <c r="EO14" i="69"/>
  <c r="EX14" i="69"/>
  <c r="FO14" i="69"/>
  <c r="FH14" i="69"/>
  <c r="ED14" i="69"/>
  <c r="FC14" i="69"/>
  <c r="EN14" i="69"/>
  <c r="EW14" i="69"/>
  <c r="FF14" i="69"/>
  <c r="FW14" i="69"/>
  <c r="GF14" i="69"/>
  <c r="FB14" i="69"/>
  <c r="FK14" i="69"/>
  <c r="EV14" i="69"/>
  <c r="FE14" i="69"/>
  <c r="FN14" i="69"/>
  <c r="GE14" i="69"/>
  <c r="FA14" i="69"/>
  <c r="FJ14" i="69"/>
  <c r="FS14" i="69"/>
  <c r="FD14" i="69"/>
  <c r="FG35" i="68"/>
  <c r="FY35" i="68"/>
  <c r="GG35" i="68"/>
  <c r="EO34" i="68"/>
  <c r="EM34" i="68"/>
  <c r="EF34" i="68"/>
  <c r="EW34" i="68"/>
  <c r="EU34" i="68"/>
  <c r="EN34" i="68"/>
  <c r="FE34" i="68"/>
  <c r="FC34" i="68"/>
  <c r="EV34" i="68"/>
  <c r="FO34" i="68"/>
  <c r="FB34" i="68"/>
  <c r="FK34" i="68"/>
  <c r="FD34" i="68"/>
  <c r="FW34" i="68"/>
  <c r="FU34" i="68"/>
  <c r="FM34" i="68"/>
  <c r="GE34" i="68"/>
  <c r="FI34" i="68"/>
  <c r="FT34" i="68"/>
  <c r="GC34" i="68"/>
  <c r="EM28" i="68"/>
  <c r="EF28" i="68"/>
  <c r="EW28" i="68"/>
  <c r="EP28" i="68"/>
  <c r="FY28" i="68"/>
  <c r="EH21" i="68"/>
  <c r="EP21" i="68"/>
  <c r="EU21" i="68"/>
  <c r="EN21" i="68"/>
  <c r="FE21" i="68"/>
  <c r="EX21" i="68"/>
  <c r="FD21" i="68"/>
  <c r="FW21" i="68"/>
  <c r="GF21" i="68"/>
  <c r="FU21" i="68"/>
  <c r="FM21" i="68"/>
  <c r="GE21" i="68"/>
  <c r="FT21" i="68"/>
  <c r="GC21" i="68"/>
  <c r="GD21" i="68"/>
  <c r="ER20" i="68"/>
  <c r="FS20" i="68"/>
  <c r="FT20" i="68"/>
  <c r="GC20" i="68"/>
  <c r="DP31" i="67"/>
  <c r="EG31" i="67"/>
  <c r="DZ31" i="67"/>
  <c r="EY31" i="67"/>
  <c r="ER31" i="67"/>
  <c r="GA31" i="67"/>
  <c r="DX31" i="67"/>
  <c r="EO31" i="67"/>
  <c r="EH31" i="67"/>
  <c r="FG31" i="67"/>
  <c r="EZ31" i="67"/>
  <c r="GI31" i="67"/>
  <c r="EM31" i="67"/>
  <c r="EF31" i="67"/>
  <c r="EW31" i="67"/>
  <c r="EP31" i="67"/>
  <c r="FY31" i="67"/>
  <c r="FH31" i="67"/>
  <c r="ED31" i="67"/>
  <c r="FC31" i="67"/>
  <c r="EV31" i="67"/>
  <c r="FO31" i="67"/>
  <c r="FF31" i="67"/>
  <c r="GP31" i="67"/>
  <c r="GH31" i="67"/>
  <c r="FU31" i="67"/>
  <c r="FM31" i="67"/>
  <c r="GE31" i="67"/>
  <c r="EI31" i="67"/>
  <c r="EB31" i="67"/>
  <c r="FI31" i="67"/>
  <c r="EQ31" i="67"/>
  <c r="EJ31" i="67"/>
  <c r="FF33" i="66"/>
  <c r="EN33" i="66"/>
  <c r="FJ33" i="66"/>
  <c r="GE33" i="66"/>
  <c r="FE33" i="66"/>
  <c r="GA33" i="66"/>
  <c r="EX33" i="66"/>
  <c r="FA33" i="66"/>
  <c r="GD33" i="66"/>
  <c r="EV33" i="66"/>
  <c r="FY33" i="66"/>
  <c r="GI33" i="66"/>
  <c r="FH33" i="66"/>
  <c r="FI33" i="66"/>
  <c r="EH33" i="66"/>
  <c r="DV33" i="66"/>
  <c r="GG33" i="66"/>
  <c r="ED33" i="66"/>
  <c r="EF33" i="66"/>
  <c r="GP33" i="66"/>
  <c r="GB33" i="66"/>
  <c r="GC33" i="66"/>
  <c r="EP33" i="66"/>
  <c r="FD33" i="66"/>
  <c r="EF27" i="66"/>
  <c r="EJ27" i="66"/>
  <c r="EY27" i="66"/>
  <c r="EW27" i="66"/>
  <c r="FW27" i="66"/>
  <c r="FB27" i="66"/>
  <c r="EV27" i="66"/>
  <c r="DX27" i="66"/>
  <c r="FK27" i="66"/>
  <c r="EQ27" i="66"/>
  <c r="DV27" i="66"/>
  <c r="FM27" i="66"/>
  <c r="DZ27" i="66"/>
  <c r="GB27" i="66"/>
  <c r="DP27" i="66"/>
  <c r="EU27" i="66"/>
  <c r="EI27" i="66"/>
  <c r="GF27" i="66"/>
  <c r="FC27" i="66"/>
  <c r="EG27" i="66"/>
  <c r="FT27" i="66"/>
  <c r="EM27" i="66"/>
  <c r="FD27" i="66"/>
  <c r="EO27" i="66"/>
  <c r="GC27" i="66"/>
  <c r="FH27" i="66"/>
  <c r="EE27" i="66"/>
  <c r="GG27" i="66"/>
  <c r="EP27" i="66"/>
  <c r="DR27" i="66"/>
  <c r="FU27" i="66"/>
  <c r="EX27" i="66"/>
  <c r="FY27" i="66"/>
  <c r="EB27" i="66"/>
  <c r="GA27" i="66"/>
  <c r="FI27" i="66"/>
  <c r="EH27" i="66"/>
  <c r="EZ27" i="66"/>
  <c r="FE27" i="66"/>
  <c r="FG27" i="66"/>
  <c r="GD27" i="66"/>
  <c r="FA27" i="66"/>
  <c r="EV20" i="66"/>
  <c r="FO20" i="66"/>
  <c r="FW20" i="66"/>
  <c r="FM20" i="66"/>
  <c r="GE20" i="66"/>
  <c r="EG20" i="66"/>
  <c r="EO20" i="66"/>
  <c r="EW20" i="66"/>
  <c r="EN20" i="66"/>
  <c r="FS42" i="65"/>
  <c r="EY42" i="65"/>
  <c r="ER42" i="65"/>
  <c r="GA42" i="65"/>
  <c r="FH42" i="65"/>
  <c r="FE42" i="65"/>
  <c r="EX42" i="65"/>
  <c r="GG42" i="65"/>
  <c r="FD35" i="65"/>
  <c r="FM35" i="65"/>
  <c r="EE35" i="65"/>
  <c r="DX35" i="65"/>
  <c r="EM35" i="65"/>
  <c r="EF35" i="65"/>
  <c r="FH35" i="65"/>
  <c r="DV35" i="65"/>
  <c r="EU35" i="65"/>
  <c r="EJ28" i="65"/>
  <c r="FS28" i="65"/>
  <c r="EE28" i="65"/>
  <c r="DX28" i="65"/>
  <c r="EO28" i="65"/>
  <c r="EH28" i="65"/>
  <c r="FG28" i="65"/>
  <c r="EZ28" i="65"/>
  <c r="GI28" i="65"/>
  <c r="EM28" i="65"/>
  <c r="EF28" i="65"/>
  <c r="EW28" i="65"/>
  <c r="EP28" i="65"/>
  <c r="FY28" i="65"/>
  <c r="FH28" i="65"/>
  <c r="DV28" i="65"/>
  <c r="EU28" i="65"/>
  <c r="EN28" i="65"/>
  <c r="FE28" i="65"/>
  <c r="EX28" i="65"/>
  <c r="GG28" i="65"/>
  <c r="FZ28" i="65"/>
  <c r="ED28" i="65"/>
  <c r="FC28" i="65"/>
  <c r="EV28" i="65"/>
  <c r="FO28" i="65"/>
  <c r="FF28" i="65"/>
  <c r="GP28" i="65"/>
  <c r="GH28" i="65"/>
  <c r="FB28" i="65"/>
  <c r="FK28" i="65"/>
  <c r="FD28" i="65"/>
  <c r="FW28" i="65"/>
  <c r="GF28" i="65"/>
  <c r="DT28" i="65"/>
  <c r="FA28" i="65"/>
  <c r="FJ28" i="65"/>
  <c r="FU28" i="65"/>
  <c r="FM28" i="65"/>
  <c r="GE28" i="65"/>
  <c r="EI28" i="65"/>
  <c r="EB28" i="65"/>
  <c r="EG39" i="64"/>
  <c r="FY39" i="64"/>
  <c r="GF32" i="64"/>
  <c r="FS32" i="64"/>
  <c r="FJ32" i="64"/>
  <c r="GB32" i="64"/>
  <c r="FU32" i="64"/>
  <c r="DP32" i="64"/>
  <c r="DR32" i="64"/>
  <c r="GP24" i="64"/>
  <c r="FD24" i="64"/>
  <c r="DT24" i="64"/>
  <c r="FM24" i="64"/>
  <c r="GH24" i="64"/>
  <c r="FW24" i="64"/>
  <c r="FA24" i="64"/>
  <c r="GE24" i="64"/>
  <c r="FJ24" i="64"/>
  <c r="FF24" i="64"/>
  <c r="FK24" i="64"/>
  <c r="FG17" i="64"/>
  <c r="FY17" i="64"/>
  <c r="EV43" i="63"/>
  <c r="FK43" i="63"/>
  <c r="EE43" i="63"/>
  <c r="EM43" i="63"/>
  <c r="EU43" i="63"/>
  <c r="EJ28" i="63"/>
  <c r="ER28" i="63"/>
  <c r="EZ28" i="63"/>
  <c r="FK28" i="63"/>
  <c r="EY24" i="63"/>
  <c r="GO20" i="63"/>
  <c r="FJ39" i="64"/>
  <c r="DR39" i="64"/>
  <c r="EE17" i="64"/>
  <c r="GH39" i="64"/>
  <c r="DZ39" i="64"/>
  <c r="EE39" i="64"/>
  <c r="FF39" i="64"/>
  <c r="EG38" i="64"/>
  <c r="FK39" i="64"/>
  <c r="EQ39" i="64"/>
  <c r="FM18" i="64"/>
  <c r="DT32" i="64"/>
  <c r="FM32" i="64"/>
  <c r="EW38" i="64"/>
  <c r="EN39" i="64"/>
  <c r="EJ32" i="64"/>
  <c r="EG32" i="64"/>
  <c r="ED38" i="64"/>
  <c r="EV39" i="64"/>
  <c r="EP17" i="64"/>
  <c r="FA32" i="64"/>
  <c r="GP36" i="65"/>
  <c r="GG36" i="65"/>
  <c r="FY36" i="65"/>
  <c r="FG36" i="65"/>
  <c r="EY36" i="65"/>
  <c r="EQ36" i="65"/>
  <c r="EI36" i="65"/>
  <c r="GF36" i="65"/>
  <c r="FF36" i="65"/>
  <c r="EX36" i="65"/>
  <c r="EP36" i="65"/>
  <c r="EH36" i="65"/>
  <c r="DZ36" i="65"/>
  <c r="DR36" i="65"/>
  <c r="GE36" i="65"/>
  <c r="FW36" i="65"/>
  <c r="FO36" i="65"/>
  <c r="FE36" i="65"/>
  <c r="EW36" i="65"/>
  <c r="EO36" i="65"/>
  <c r="EG36" i="65"/>
  <c r="GD36" i="65"/>
  <c r="FM36" i="65"/>
  <c r="FD36" i="65"/>
  <c r="EV36" i="65"/>
  <c r="EN36" i="65"/>
  <c r="EF36" i="65"/>
  <c r="DX36" i="65"/>
  <c r="DP36" i="65"/>
  <c r="GC36" i="65"/>
  <c r="FU36" i="65"/>
  <c r="FK36" i="65"/>
  <c r="FC36" i="65"/>
  <c r="EU36" i="65"/>
  <c r="EM36" i="65"/>
  <c r="EE36" i="65"/>
  <c r="GB36" i="65"/>
  <c r="FT36" i="65"/>
  <c r="FJ36" i="65"/>
  <c r="FB36" i="65"/>
  <c r="ED36" i="65"/>
  <c r="DV36" i="65"/>
  <c r="GI36" i="65"/>
  <c r="GA36" i="65"/>
  <c r="FS36" i="65"/>
  <c r="FI36" i="65"/>
  <c r="FA36" i="65"/>
  <c r="GH36" i="65"/>
  <c r="FZ36" i="65"/>
  <c r="FH36" i="65"/>
  <c r="EZ36" i="65"/>
  <c r="ER36" i="65"/>
  <c r="EJ36" i="65"/>
  <c r="EB36" i="65"/>
  <c r="DT36" i="65"/>
  <c r="GB15" i="65"/>
  <c r="FT15" i="65"/>
  <c r="FJ15" i="65"/>
  <c r="FB15" i="65"/>
  <c r="ED15" i="65"/>
  <c r="DV15" i="65"/>
  <c r="GI15" i="65"/>
  <c r="GA15" i="65"/>
  <c r="FS15" i="65"/>
  <c r="FI15" i="65"/>
  <c r="FA15" i="65"/>
  <c r="GH15" i="65"/>
  <c r="FZ15" i="65"/>
  <c r="FH15" i="65"/>
  <c r="EZ15" i="65"/>
  <c r="ER15" i="65"/>
  <c r="EJ15" i="65"/>
  <c r="EB15" i="65"/>
  <c r="DT15" i="65"/>
  <c r="EL14" i="65"/>
  <c r="EL44" i="65" s="1"/>
  <c r="GP15" i="65"/>
  <c r="GG15" i="65"/>
  <c r="FY15" i="65"/>
  <c r="FG15" i="65"/>
  <c r="EY15" i="65"/>
  <c r="EQ15" i="65"/>
  <c r="EI15" i="65"/>
  <c r="EK14" i="65"/>
  <c r="EK44" i="65" s="1"/>
  <c r="GF15" i="65"/>
  <c r="FF15" i="65"/>
  <c r="EX15" i="65"/>
  <c r="EP15" i="65"/>
  <c r="EH15" i="65"/>
  <c r="DZ15" i="65"/>
  <c r="DR15" i="65"/>
  <c r="GE15" i="65"/>
  <c r="FW15" i="65"/>
  <c r="FO15" i="65"/>
  <c r="FE15" i="65"/>
  <c r="EW15" i="65"/>
  <c r="EO15" i="65"/>
  <c r="EG15" i="65"/>
  <c r="GD15" i="65"/>
  <c r="FM15" i="65"/>
  <c r="FD15" i="65"/>
  <c r="EV15" i="65"/>
  <c r="EN15" i="65"/>
  <c r="EF15" i="65"/>
  <c r="DX15" i="65"/>
  <c r="DP15" i="65"/>
  <c r="GC15" i="65"/>
  <c r="FU15" i="65"/>
  <c r="FK15" i="65"/>
  <c r="FC15" i="65"/>
  <c r="EU15" i="65"/>
  <c r="EM15" i="65"/>
  <c r="EE15" i="65"/>
  <c r="GH38" i="66"/>
  <c r="FZ38" i="66"/>
  <c r="FH38" i="66"/>
  <c r="EZ38" i="66"/>
  <c r="ER38" i="66"/>
  <c r="EJ38" i="66"/>
  <c r="EB38" i="66"/>
  <c r="DT38" i="66"/>
  <c r="FY38" i="66"/>
  <c r="EQ38" i="66"/>
  <c r="GF38" i="66"/>
  <c r="FF38" i="66"/>
  <c r="EX38" i="66"/>
  <c r="EP38" i="66"/>
  <c r="EH38" i="66"/>
  <c r="DZ38" i="66"/>
  <c r="DR38" i="66"/>
  <c r="EY38" i="66"/>
  <c r="GE38" i="66"/>
  <c r="FW38" i="66"/>
  <c r="FO38" i="66"/>
  <c r="FE38" i="66"/>
  <c r="EW38" i="66"/>
  <c r="EO38" i="66"/>
  <c r="EG38" i="66"/>
  <c r="FG38" i="66"/>
  <c r="GD38" i="66"/>
  <c r="FM38" i="66"/>
  <c r="FD38" i="66"/>
  <c r="EV38" i="66"/>
  <c r="EN38" i="66"/>
  <c r="EF38" i="66"/>
  <c r="DX38" i="66"/>
  <c r="DP38" i="66"/>
  <c r="GC38" i="66"/>
  <c r="FU38" i="66"/>
  <c r="FK38" i="66"/>
  <c r="FC38" i="66"/>
  <c r="EU38" i="66"/>
  <c r="EM38" i="66"/>
  <c r="EE38" i="66"/>
  <c r="EI38" i="66"/>
  <c r="GB38" i="66"/>
  <c r="FT38" i="66"/>
  <c r="FJ38" i="66"/>
  <c r="FB38" i="66"/>
  <c r="ED38" i="66"/>
  <c r="DV38" i="66"/>
  <c r="GP38" i="66"/>
  <c r="GI38" i="66"/>
  <c r="GA38" i="66"/>
  <c r="FS38" i="66"/>
  <c r="FI38" i="66"/>
  <c r="FA38" i="66"/>
  <c r="GG38" i="66"/>
  <c r="EH26" i="66"/>
  <c r="FG26" i="66"/>
  <c r="EZ26" i="66"/>
  <c r="GI26" i="66"/>
  <c r="EM26" i="66"/>
  <c r="EF26" i="66"/>
  <c r="EW26" i="66"/>
  <c r="GP27" i="66"/>
  <c r="GH27" i="66"/>
  <c r="ED27" i="66"/>
  <c r="FZ27" i="66"/>
  <c r="FF27" i="66"/>
  <c r="GH40" i="66"/>
  <c r="FZ40" i="66"/>
  <c r="FH40" i="66"/>
  <c r="EZ40" i="66"/>
  <c r="ER40" i="66"/>
  <c r="EJ40" i="66"/>
  <c r="EB40" i="66"/>
  <c r="DT40" i="66"/>
  <c r="GP40" i="66"/>
  <c r="GF40" i="66"/>
  <c r="FF40" i="66"/>
  <c r="EX40" i="66"/>
  <c r="EP40" i="66"/>
  <c r="EH40" i="66"/>
  <c r="DZ40" i="66"/>
  <c r="DR40" i="66"/>
  <c r="EQ40" i="66"/>
  <c r="GE40" i="66"/>
  <c r="FW40" i="66"/>
  <c r="FO40" i="66"/>
  <c r="FE40" i="66"/>
  <c r="EW40" i="66"/>
  <c r="EO40" i="66"/>
  <c r="EG40" i="66"/>
  <c r="GD40" i="66"/>
  <c r="FM40" i="66"/>
  <c r="FD40" i="66"/>
  <c r="EV40" i="66"/>
  <c r="EN40" i="66"/>
  <c r="EF40" i="66"/>
  <c r="DX40" i="66"/>
  <c r="DP40" i="66"/>
  <c r="GG40" i="66"/>
  <c r="EY40" i="66"/>
  <c r="GC40" i="66"/>
  <c r="FU40" i="66"/>
  <c r="FK40" i="66"/>
  <c r="FC40" i="66"/>
  <c r="EU40" i="66"/>
  <c r="EM40" i="66"/>
  <c r="EE40" i="66"/>
  <c r="FY40" i="66"/>
  <c r="FG40" i="66"/>
  <c r="GB40" i="66"/>
  <c r="FT40" i="66"/>
  <c r="FJ40" i="66"/>
  <c r="FB40" i="66"/>
  <c r="ED40" i="66"/>
  <c r="DV40" i="66"/>
  <c r="GI40" i="66"/>
  <c r="GA40" i="66"/>
  <c r="FS40" i="66"/>
  <c r="FI40" i="66"/>
  <c r="FA40" i="66"/>
  <c r="EI40" i="66"/>
  <c r="EP26" i="66"/>
  <c r="FY26" i="66"/>
  <c r="FH26" i="66"/>
  <c r="DV26" i="66"/>
  <c r="EU26" i="66"/>
  <c r="EN26" i="66"/>
  <c r="FE26" i="66"/>
  <c r="EX26" i="66"/>
  <c r="GG26" i="66"/>
  <c r="FZ26" i="66"/>
  <c r="ED26" i="66"/>
  <c r="FC26" i="66"/>
  <c r="EV26" i="66"/>
  <c r="FO26" i="66"/>
  <c r="GC41" i="66"/>
  <c r="FU41" i="66"/>
  <c r="FK41" i="66"/>
  <c r="FC41" i="66"/>
  <c r="EU41" i="66"/>
  <c r="EM41" i="66"/>
  <c r="EE41" i="66"/>
  <c r="FB41" i="66"/>
  <c r="GI41" i="66"/>
  <c r="GA41" i="66"/>
  <c r="FS41" i="66"/>
  <c r="FI41" i="66"/>
  <c r="FA41" i="66"/>
  <c r="GH41" i="66"/>
  <c r="FZ41" i="66"/>
  <c r="FH41" i="66"/>
  <c r="EZ41" i="66"/>
  <c r="ER41" i="66"/>
  <c r="EJ41" i="66"/>
  <c r="EB41" i="66"/>
  <c r="DT41" i="66"/>
  <c r="ED41" i="66"/>
  <c r="GP41" i="66"/>
  <c r="GG41" i="66"/>
  <c r="FY41" i="66"/>
  <c r="FG41" i="66"/>
  <c r="EY41" i="66"/>
  <c r="EQ41" i="66"/>
  <c r="EI41" i="66"/>
  <c r="FJ41" i="66"/>
  <c r="GF41" i="66"/>
  <c r="FF41" i="66"/>
  <c r="EX41" i="66"/>
  <c r="EP41" i="66"/>
  <c r="EH41" i="66"/>
  <c r="DZ41" i="66"/>
  <c r="DR41" i="66"/>
  <c r="GE41" i="66"/>
  <c r="FW41" i="66"/>
  <c r="FO41" i="66"/>
  <c r="FE41" i="66"/>
  <c r="EW41" i="66"/>
  <c r="EO41" i="66"/>
  <c r="EG41" i="66"/>
  <c r="FT41" i="66"/>
  <c r="DV41" i="66"/>
  <c r="GD41" i="66"/>
  <c r="FM41" i="66"/>
  <c r="FD41" i="66"/>
  <c r="EV41" i="66"/>
  <c r="EN41" i="66"/>
  <c r="EF41" i="66"/>
  <c r="DX41" i="66"/>
  <c r="DP41" i="66"/>
  <c r="GB41" i="66"/>
  <c r="GE39" i="66"/>
  <c r="FW39" i="66"/>
  <c r="FM39" i="66"/>
  <c r="FC39" i="66"/>
  <c r="EO39" i="66"/>
  <c r="GC39" i="66"/>
  <c r="FU39" i="66"/>
  <c r="FI39" i="66"/>
  <c r="FA39" i="66"/>
  <c r="FB39" i="66"/>
  <c r="GB39" i="66"/>
  <c r="FT39" i="66"/>
  <c r="FH39" i="66"/>
  <c r="EX39" i="66"/>
  <c r="EH39" i="66"/>
  <c r="DV39" i="66"/>
  <c r="GI39" i="66"/>
  <c r="GA39" i="66"/>
  <c r="FS39" i="66"/>
  <c r="FG39" i="66"/>
  <c r="EW39" i="66"/>
  <c r="EG39" i="66"/>
  <c r="GD39" i="66"/>
  <c r="GH39" i="66"/>
  <c r="FZ39" i="66"/>
  <c r="FF39" i="66"/>
  <c r="ED39" i="66"/>
  <c r="DT39" i="66"/>
  <c r="GP39" i="66"/>
  <c r="GG39" i="66"/>
  <c r="FY39" i="66"/>
  <c r="FE39" i="66"/>
  <c r="FJ39" i="66"/>
  <c r="GF39" i="66"/>
  <c r="FD39" i="66"/>
  <c r="EP39" i="66"/>
  <c r="EB39" i="66"/>
  <c r="FW26" i="66"/>
  <c r="GF26" i="66"/>
  <c r="DT26" i="66"/>
  <c r="FA26" i="66"/>
  <c r="FJ26" i="66"/>
  <c r="FU26" i="66"/>
  <c r="FM26" i="66"/>
  <c r="DX14" i="67"/>
  <c r="DZ14" i="67"/>
  <c r="GD14" i="67"/>
  <c r="EQ14" i="67"/>
  <c r="DT14" i="67"/>
  <c r="EE14" i="67"/>
  <c r="GF14" i="67"/>
  <c r="FK14" i="67"/>
  <c r="EO14" i="67"/>
  <c r="FD14" i="67"/>
  <c r="EU14" i="67"/>
  <c r="EN14" i="67"/>
  <c r="EP14" i="67"/>
  <c r="FW14" i="67"/>
  <c r="FI14" i="67"/>
  <c r="FC14" i="67"/>
  <c r="EV14" i="67"/>
  <c r="EX14" i="67"/>
  <c r="FU14" i="67"/>
  <c r="GG14" i="67"/>
  <c r="FS14" i="67"/>
  <c r="FT14" i="67"/>
  <c r="EG14" i="67"/>
  <c r="EB14" i="67"/>
  <c r="DV14" i="67"/>
  <c r="GI14" i="67"/>
  <c r="EW14" i="67"/>
  <c r="FE14" i="67"/>
  <c r="ER14" i="67"/>
  <c r="ED14" i="67"/>
  <c r="FM14" i="67"/>
  <c r="DP14" i="67"/>
  <c r="DR14" i="67"/>
  <c r="EI14" i="67"/>
  <c r="FH14" i="67"/>
  <c r="FB14" i="67"/>
  <c r="EM14" i="67"/>
  <c r="EF14" i="67"/>
  <c r="EH14" i="67"/>
  <c r="FG14" i="67"/>
  <c r="GC14" i="67"/>
  <c r="GA14" i="67"/>
  <c r="FL14" i="67"/>
  <c r="FF14" i="67"/>
  <c r="GE14" i="67"/>
  <c r="FA14" i="67"/>
  <c r="GE16" i="67"/>
  <c r="FW16" i="67"/>
  <c r="FO16" i="67"/>
  <c r="FE16" i="67"/>
  <c r="EW16" i="67"/>
  <c r="EO16" i="67"/>
  <c r="EG16" i="67"/>
  <c r="GD16" i="67"/>
  <c r="FM16" i="67"/>
  <c r="FD16" i="67"/>
  <c r="EV16" i="67"/>
  <c r="EN16" i="67"/>
  <c r="EF16" i="67"/>
  <c r="DX16" i="67"/>
  <c r="DP16" i="67"/>
  <c r="GC16" i="67"/>
  <c r="FU16" i="67"/>
  <c r="FK16" i="67"/>
  <c r="FC16" i="67"/>
  <c r="EU16" i="67"/>
  <c r="EM16" i="67"/>
  <c r="EE16" i="67"/>
  <c r="GB16" i="67"/>
  <c r="FT16" i="67"/>
  <c r="FJ16" i="67"/>
  <c r="FB16" i="67"/>
  <c r="ED16" i="67"/>
  <c r="DV16" i="67"/>
  <c r="GI16" i="67"/>
  <c r="GA16" i="67"/>
  <c r="FS16" i="67"/>
  <c r="FI16" i="67"/>
  <c r="FA16" i="67"/>
  <c r="GH16" i="67"/>
  <c r="FZ16" i="67"/>
  <c r="FH16" i="67"/>
  <c r="EZ16" i="67"/>
  <c r="ER16" i="67"/>
  <c r="EJ16" i="67"/>
  <c r="EB16" i="67"/>
  <c r="DT16" i="67"/>
  <c r="GP16" i="67"/>
  <c r="GG16" i="67"/>
  <c r="FY16" i="67"/>
  <c r="FG16" i="67"/>
  <c r="EY16" i="67"/>
  <c r="EQ16" i="67"/>
  <c r="EI16" i="67"/>
  <c r="GF16" i="67"/>
  <c r="FF16" i="67"/>
  <c r="EX16" i="67"/>
  <c r="EP16" i="67"/>
  <c r="EH16" i="67"/>
  <c r="DZ16" i="67"/>
  <c r="DR16" i="67"/>
  <c r="FJ14" i="67"/>
  <c r="EY14" i="67"/>
  <c r="EJ14" i="67"/>
  <c r="FY14" i="67"/>
  <c r="FZ14" i="67"/>
  <c r="GB14" i="67"/>
  <c r="FN14" i="67"/>
  <c r="FO14" i="67"/>
  <c r="EZ14" i="67"/>
  <c r="GD37" i="67"/>
  <c r="FM37" i="67"/>
  <c r="FD37" i="67"/>
  <c r="EV37" i="67"/>
  <c r="EN37" i="67"/>
  <c r="EF37" i="67"/>
  <c r="DX37" i="67"/>
  <c r="DP37" i="67"/>
  <c r="GC37" i="67"/>
  <c r="FU37" i="67"/>
  <c r="FK37" i="67"/>
  <c r="FC37" i="67"/>
  <c r="EU37" i="67"/>
  <c r="EM37" i="67"/>
  <c r="EE37" i="67"/>
  <c r="GB37" i="67"/>
  <c r="FT37" i="67"/>
  <c r="FJ37" i="67"/>
  <c r="FB37" i="67"/>
  <c r="ED37" i="67"/>
  <c r="DV37" i="67"/>
  <c r="GI37" i="67"/>
  <c r="GA37" i="67"/>
  <c r="FS37" i="67"/>
  <c r="FI37" i="67"/>
  <c r="FA37" i="67"/>
  <c r="GH37" i="67"/>
  <c r="FZ37" i="67"/>
  <c r="FH37" i="67"/>
  <c r="EZ37" i="67"/>
  <c r="ER37" i="67"/>
  <c r="EJ37" i="67"/>
  <c r="EB37" i="67"/>
  <c r="DT37" i="67"/>
  <c r="GP37" i="67"/>
  <c r="GG37" i="67"/>
  <c r="FY37" i="67"/>
  <c r="FG37" i="67"/>
  <c r="EY37" i="67"/>
  <c r="EQ37" i="67"/>
  <c r="EI37" i="67"/>
  <c r="GF37" i="67"/>
  <c r="FF37" i="67"/>
  <c r="EX37" i="67"/>
  <c r="EP37" i="67"/>
  <c r="EH37" i="67"/>
  <c r="DZ37" i="67"/>
  <c r="DR37" i="67"/>
  <c r="GE37" i="67"/>
  <c r="FW37" i="67"/>
  <c r="FO37" i="67"/>
  <c r="FE37" i="67"/>
  <c r="EW37" i="67"/>
  <c r="EO37" i="67"/>
  <c r="EG37" i="67"/>
  <c r="GF21" i="69"/>
  <c r="FF21" i="69"/>
  <c r="EX21" i="69"/>
  <c r="EP21" i="69"/>
  <c r="EH21" i="69"/>
  <c r="DZ21" i="69"/>
  <c r="DR21" i="69"/>
  <c r="GE21" i="69"/>
  <c r="FW21" i="69"/>
  <c r="FO21" i="69"/>
  <c r="FE21" i="69"/>
  <c r="EW21" i="69"/>
  <c r="EO21" i="69"/>
  <c r="EG21" i="69"/>
  <c r="DV21" i="69"/>
  <c r="GD21" i="69"/>
  <c r="FM21" i="69"/>
  <c r="FD21" i="69"/>
  <c r="EV21" i="69"/>
  <c r="EN21" i="69"/>
  <c r="EF21" i="69"/>
  <c r="DX21" i="69"/>
  <c r="DP21" i="69"/>
  <c r="FB21" i="69"/>
  <c r="GC21" i="69"/>
  <c r="FU21" i="69"/>
  <c r="FK21" i="69"/>
  <c r="FC21" i="69"/>
  <c r="EU21" i="69"/>
  <c r="EM21" i="69"/>
  <c r="EE21" i="69"/>
  <c r="GB21" i="69"/>
  <c r="GI21" i="69"/>
  <c r="GA21" i="69"/>
  <c r="FS21" i="69"/>
  <c r="FI21" i="69"/>
  <c r="FA21" i="69"/>
  <c r="FT21" i="69"/>
  <c r="ED21" i="69"/>
  <c r="GH21" i="69"/>
  <c r="FZ21" i="69"/>
  <c r="FH21" i="69"/>
  <c r="EZ21" i="69"/>
  <c r="ER21" i="69"/>
  <c r="EJ21" i="69"/>
  <c r="EB21" i="69"/>
  <c r="DT21" i="69"/>
  <c r="GP21" i="69"/>
  <c r="GG21" i="69"/>
  <c r="FY21" i="69"/>
  <c r="FG21" i="69"/>
  <c r="EY21" i="69"/>
  <c r="EQ21" i="69"/>
  <c r="EI21" i="69"/>
  <c r="FJ21" i="69"/>
  <c r="GI42" i="69"/>
  <c r="GA42" i="69"/>
  <c r="FS42" i="69"/>
  <c r="FI42" i="69"/>
  <c r="FA42" i="69"/>
  <c r="FW42" i="69"/>
  <c r="GH42" i="69"/>
  <c r="FZ42" i="69"/>
  <c r="FH42" i="69"/>
  <c r="EZ42" i="69"/>
  <c r="ER42" i="69"/>
  <c r="EJ42" i="69"/>
  <c r="EB42" i="69"/>
  <c r="DT42" i="69"/>
  <c r="EG42" i="69"/>
  <c r="GP42" i="69"/>
  <c r="GG42" i="69"/>
  <c r="FY42" i="69"/>
  <c r="FG42" i="69"/>
  <c r="EY42" i="69"/>
  <c r="EQ42" i="69"/>
  <c r="EI42" i="69"/>
  <c r="GE42" i="69"/>
  <c r="EW42" i="69"/>
  <c r="GF42" i="69"/>
  <c r="FF42" i="69"/>
  <c r="EX42" i="69"/>
  <c r="EP42" i="69"/>
  <c r="EH42" i="69"/>
  <c r="DZ42" i="69"/>
  <c r="DR42" i="69"/>
  <c r="FE42" i="69"/>
  <c r="EO42" i="69"/>
  <c r="GD42" i="69"/>
  <c r="FM42" i="69"/>
  <c r="FD42" i="69"/>
  <c r="EV42" i="69"/>
  <c r="EN42" i="69"/>
  <c r="EF42" i="69"/>
  <c r="DX42" i="69"/>
  <c r="DP42" i="69"/>
  <c r="GC42" i="69"/>
  <c r="FU42" i="69"/>
  <c r="FK42" i="69"/>
  <c r="FC42" i="69"/>
  <c r="EU42" i="69"/>
  <c r="EM42" i="69"/>
  <c r="EE42" i="69"/>
  <c r="FO42" i="69"/>
  <c r="GB42" i="69"/>
  <c r="FT42" i="69"/>
  <c r="FJ42" i="69"/>
  <c r="FB42" i="69"/>
  <c r="ED42" i="69"/>
  <c r="DV42" i="69"/>
  <c r="FU17" i="70"/>
  <c r="EE17" i="70"/>
  <c r="EB16" i="70"/>
  <c r="DT16" i="70"/>
  <c r="FT16" i="70"/>
  <c r="GD16" i="70"/>
  <c r="EJ16" i="70"/>
  <c r="ER16" i="70"/>
  <c r="EU16" i="70"/>
  <c r="FK16" i="70"/>
  <c r="FB16" i="70"/>
  <c r="EE16" i="70"/>
  <c r="FD16" i="70"/>
  <c r="FF16" i="70"/>
  <c r="FW16" i="71"/>
  <c r="GF16" i="71"/>
  <c r="EZ16" i="71"/>
  <c r="GA16" i="71"/>
  <c r="EE16" i="71"/>
  <c r="DX43" i="71"/>
  <c r="GI43" i="71"/>
  <c r="EM43" i="71"/>
  <c r="ER15" i="71"/>
  <c r="FU15" i="71"/>
  <c r="EN15" i="71"/>
  <c r="FM15" i="71"/>
  <c r="FM16" i="71"/>
  <c r="GE16" i="71"/>
  <c r="EI16" i="71"/>
  <c r="FH16" i="71"/>
  <c r="GI16" i="71"/>
  <c r="EM16" i="71"/>
  <c r="EF43" i="71"/>
  <c r="EW43" i="71"/>
  <c r="EP43" i="71"/>
  <c r="FY43" i="71"/>
  <c r="FS15" i="71"/>
  <c r="GC15" i="71"/>
  <c r="EF15" i="71"/>
  <c r="GP15" i="71"/>
  <c r="FB15" i="71"/>
  <c r="GD16" i="71"/>
  <c r="DR16" i="71"/>
  <c r="EQ16" i="71"/>
  <c r="FZ16" i="71"/>
  <c r="DV16" i="71"/>
  <c r="EU16" i="71"/>
  <c r="EN43" i="71"/>
  <c r="FE43" i="71"/>
  <c r="EX43" i="71"/>
  <c r="GG43" i="71"/>
  <c r="FZ43" i="71"/>
  <c r="GE15" i="71"/>
  <c r="DX15" i="71"/>
  <c r="GB15" i="71"/>
  <c r="DP16" i="71"/>
  <c r="EG16" i="71"/>
  <c r="DZ16" i="71"/>
  <c r="EY16" i="71"/>
  <c r="GH16" i="71"/>
  <c r="ED16" i="71"/>
  <c r="FC16" i="71"/>
  <c r="EV43" i="71"/>
  <c r="FO43" i="71"/>
  <c r="FF43" i="71"/>
  <c r="GP43" i="71"/>
  <c r="GH43" i="71"/>
  <c r="FB43" i="71"/>
  <c r="EW24" i="73"/>
  <c r="EP24" i="73"/>
  <c r="FO24" i="73"/>
  <c r="FH24" i="73"/>
  <c r="FB24" i="73"/>
  <c r="FC24" i="73"/>
  <c r="EN24" i="73"/>
  <c r="FE24" i="73"/>
  <c r="EX24" i="73"/>
  <c r="FW24" i="73"/>
  <c r="GF24" i="73"/>
  <c r="FJ24" i="73"/>
  <c r="FK24" i="73"/>
  <c r="EV24" i="73"/>
  <c r="FM24" i="73"/>
  <c r="FF24" i="73"/>
  <c r="GE24" i="73"/>
  <c r="FA24" i="73"/>
  <c r="FZ24" i="73"/>
  <c r="FS24" i="73"/>
  <c r="FD24" i="73"/>
  <c r="GD24" i="73"/>
  <c r="DT24" i="73"/>
  <c r="FI24" i="73"/>
  <c r="GH24" i="73"/>
  <c r="FT24" i="73"/>
  <c r="FU24" i="73"/>
  <c r="GA24" i="73"/>
  <c r="GC24" i="73"/>
  <c r="EI24" i="73"/>
  <c r="EB24" i="73"/>
  <c r="FY24" i="73"/>
  <c r="FY45" i="73" s="1"/>
  <c r="GP24" i="73"/>
  <c r="GI24" i="73"/>
  <c r="GB24" i="73"/>
  <c r="EW18" i="73"/>
  <c r="EP18" i="73"/>
  <c r="FO18" i="73"/>
  <c r="FH18" i="73"/>
  <c r="FB18" i="73"/>
  <c r="FC18" i="73"/>
  <c r="EN18" i="73"/>
  <c r="DR24" i="73"/>
  <c r="EQ24" i="73"/>
  <c r="EJ24" i="73"/>
  <c r="GG24" i="73"/>
  <c r="EE24" i="73"/>
  <c r="DP24" i="73"/>
  <c r="FE18" i="73"/>
  <c r="EX18" i="73"/>
  <c r="FW18" i="73"/>
  <c r="GF18" i="73"/>
  <c r="FJ18" i="73"/>
  <c r="FK18" i="73"/>
  <c r="EV18" i="73"/>
  <c r="EG24" i="73"/>
  <c r="DZ24" i="73"/>
  <c r="EY24" i="73"/>
  <c r="ER24" i="73"/>
  <c r="DV24" i="73"/>
  <c r="EM24" i="73"/>
  <c r="FM18" i="73"/>
  <c r="FF18" i="73"/>
  <c r="GE18" i="73"/>
  <c r="FA18" i="73"/>
  <c r="FZ18" i="73"/>
  <c r="FS18" i="73"/>
  <c r="EZ41" i="72"/>
  <c r="GA41" i="72"/>
  <c r="EE41" i="72"/>
  <c r="DX41" i="72"/>
  <c r="EO41" i="72"/>
  <c r="EH41" i="72"/>
  <c r="FG41" i="72"/>
  <c r="FH41" i="72"/>
  <c r="GI41" i="72"/>
  <c r="EM41" i="72"/>
  <c r="EF41" i="72"/>
  <c r="EW41" i="72"/>
  <c r="EP41" i="72"/>
  <c r="GG41" i="72"/>
  <c r="FZ41" i="72"/>
  <c r="DV41" i="72"/>
  <c r="EU41" i="72"/>
  <c r="EN41" i="72"/>
  <c r="FE41" i="72"/>
  <c r="EX41" i="72"/>
  <c r="GH41" i="72"/>
  <c r="ED41" i="72"/>
  <c r="FC41" i="72"/>
  <c r="EV41" i="72"/>
  <c r="FO41" i="72"/>
  <c r="FF41" i="72"/>
  <c r="DT41" i="72"/>
  <c r="GP41" i="72"/>
  <c r="FB41" i="72"/>
  <c r="FK41" i="72"/>
  <c r="FD41" i="72"/>
  <c r="FW41" i="72"/>
  <c r="GF41" i="72"/>
  <c r="EJ41" i="72"/>
  <c r="FI41" i="72"/>
  <c r="FT41" i="72"/>
  <c r="GC41" i="72"/>
  <c r="GD41" i="72"/>
  <c r="DR41" i="72"/>
  <c r="EQ41" i="72"/>
  <c r="ER41" i="72"/>
  <c r="FS41" i="72"/>
  <c r="GB41" i="72"/>
  <c r="DP41" i="72"/>
  <c r="EG41" i="72"/>
  <c r="DZ41" i="72"/>
  <c r="EY41" i="72"/>
  <c r="FH36" i="71"/>
  <c r="DV36" i="71"/>
  <c r="DT24" i="70"/>
  <c r="FW24" i="70"/>
  <c r="GF24" i="70"/>
  <c r="EB24" i="70"/>
  <c r="FA24" i="70"/>
  <c r="GE24" i="70"/>
  <c r="EI24" i="70"/>
  <c r="EJ24" i="70"/>
  <c r="FI24" i="70"/>
  <c r="FT24" i="70"/>
  <c r="GC24" i="70"/>
  <c r="ER24" i="70"/>
  <c r="FS24" i="70"/>
  <c r="GB24" i="70"/>
  <c r="EF24" i="70"/>
  <c r="GH24" i="70"/>
  <c r="FK24" i="70"/>
  <c r="EG24" i="70"/>
  <c r="GA24" i="70"/>
  <c r="EE24" i="70"/>
  <c r="EN24" i="70"/>
  <c r="EX24" i="70"/>
  <c r="GD24" i="70"/>
  <c r="FF24" i="70"/>
  <c r="EO24" i="70"/>
  <c r="EH24" i="70"/>
  <c r="GI24" i="70"/>
  <c r="EM24" i="70"/>
  <c r="FD24" i="70"/>
  <c r="FE24" i="70"/>
  <c r="ED24" i="70"/>
  <c r="FO24" i="70"/>
  <c r="EW24" i="70"/>
  <c r="EP24" i="70"/>
  <c r="DV24" i="70"/>
  <c r="EU24" i="70"/>
  <c r="FM24" i="70"/>
  <c r="GB35" i="69"/>
  <c r="FT35" i="69"/>
  <c r="FJ35" i="69"/>
  <c r="FB35" i="69"/>
  <c r="ED35" i="69"/>
  <c r="DV35" i="69"/>
  <c r="FF35" i="69"/>
  <c r="GI35" i="69"/>
  <c r="GA35" i="69"/>
  <c r="FS35" i="69"/>
  <c r="FI35" i="69"/>
  <c r="FA35" i="69"/>
  <c r="GH35" i="69"/>
  <c r="FZ35" i="69"/>
  <c r="FH35" i="69"/>
  <c r="EZ35" i="69"/>
  <c r="ER35" i="69"/>
  <c r="EJ35" i="69"/>
  <c r="EB35" i="69"/>
  <c r="DT35" i="69"/>
  <c r="GP35" i="69"/>
  <c r="GG35" i="69"/>
  <c r="FY35" i="69"/>
  <c r="FG35" i="69"/>
  <c r="EY35" i="69"/>
  <c r="EQ35" i="69"/>
  <c r="EI35" i="69"/>
  <c r="GF35" i="69"/>
  <c r="DZ35" i="69"/>
  <c r="DR35" i="69"/>
  <c r="GE35" i="69"/>
  <c r="FW35" i="69"/>
  <c r="FO35" i="69"/>
  <c r="FE35" i="69"/>
  <c r="EW35" i="69"/>
  <c r="EO35" i="69"/>
  <c r="EG35" i="69"/>
  <c r="EH35" i="69"/>
  <c r="GD35" i="69"/>
  <c r="FM35" i="69"/>
  <c r="FD35" i="69"/>
  <c r="EV35" i="69"/>
  <c r="EN35" i="69"/>
  <c r="EF35" i="69"/>
  <c r="DX35" i="69"/>
  <c r="DP35" i="69"/>
  <c r="EP35" i="69"/>
  <c r="GC35" i="69"/>
  <c r="FU35" i="69"/>
  <c r="FK35" i="69"/>
  <c r="FC35" i="69"/>
  <c r="EU35" i="69"/>
  <c r="EM35" i="69"/>
  <c r="EE35" i="69"/>
  <c r="EX35" i="69"/>
  <c r="DV28" i="68"/>
  <c r="EU28" i="68"/>
  <c r="EN28" i="68"/>
  <c r="FE28" i="68"/>
  <c r="EX28" i="68"/>
  <c r="GG28" i="68"/>
  <c r="GH28" i="68"/>
  <c r="ED28" i="68"/>
  <c r="FC28" i="68"/>
  <c r="EV28" i="68"/>
  <c r="FO28" i="68"/>
  <c r="FF28" i="68"/>
  <c r="DT28" i="68"/>
  <c r="GP28" i="68"/>
  <c r="FB28" i="68"/>
  <c r="FK28" i="68"/>
  <c r="FD28" i="68"/>
  <c r="FW28" i="68"/>
  <c r="GF28" i="68"/>
  <c r="EB28" i="68"/>
  <c r="FA28" i="68"/>
  <c r="FJ28" i="68"/>
  <c r="FU28" i="68"/>
  <c r="FM28" i="68"/>
  <c r="GE28" i="68"/>
  <c r="EI28" i="68"/>
  <c r="EJ28" i="68"/>
  <c r="FI28" i="68"/>
  <c r="FT28" i="68"/>
  <c r="GC28" i="68"/>
  <c r="GD28" i="68"/>
  <c r="DR28" i="68"/>
  <c r="EQ28" i="68"/>
  <c r="ER28" i="68"/>
  <c r="FS28" i="68"/>
  <c r="GB28" i="68"/>
  <c r="DP28" i="68"/>
  <c r="EG28" i="68"/>
  <c r="DZ28" i="68"/>
  <c r="EY28" i="68"/>
  <c r="EZ28" i="68"/>
  <c r="GA28" i="68"/>
  <c r="EE28" i="68"/>
  <c r="DX28" i="68"/>
  <c r="EO28" i="68"/>
  <c r="EH28" i="68"/>
  <c r="FG28" i="68"/>
  <c r="FH28" i="68"/>
  <c r="GP30" i="67"/>
  <c r="GG30" i="67"/>
  <c r="FY30" i="67"/>
  <c r="FG30" i="67"/>
  <c r="EY30" i="67"/>
  <c r="EQ30" i="67"/>
  <c r="EI30" i="67"/>
  <c r="EN30" i="67"/>
  <c r="GF30" i="67"/>
  <c r="FF30" i="67"/>
  <c r="EX30" i="67"/>
  <c r="EP30" i="67"/>
  <c r="EH30" i="67"/>
  <c r="DZ30" i="67"/>
  <c r="DR30" i="67"/>
  <c r="GD30" i="67"/>
  <c r="DX30" i="67"/>
  <c r="GE30" i="67"/>
  <c r="FW30" i="67"/>
  <c r="FO30" i="67"/>
  <c r="FE30" i="67"/>
  <c r="EW30" i="67"/>
  <c r="EO30" i="67"/>
  <c r="EG30" i="67"/>
  <c r="EV30" i="67"/>
  <c r="GC30" i="67"/>
  <c r="FU30" i="67"/>
  <c r="FK30" i="67"/>
  <c r="FC30" i="67"/>
  <c r="EU30" i="67"/>
  <c r="EM30" i="67"/>
  <c r="EE30" i="67"/>
  <c r="EF30" i="67"/>
  <c r="GB30" i="67"/>
  <c r="FT30" i="67"/>
  <c r="FJ30" i="67"/>
  <c r="FB30" i="67"/>
  <c r="ED30" i="67"/>
  <c r="DV30" i="67"/>
  <c r="FM30" i="67"/>
  <c r="DP30" i="67"/>
  <c r="GI30" i="67"/>
  <c r="GA30" i="67"/>
  <c r="FS30" i="67"/>
  <c r="FI30" i="67"/>
  <c r="FA30" i="67"/>
  <c r="FD30" i="67"/>
  <c r="GH30" i="67"/>
  <c r="FZ30" i="67"/>
  <c r="FH30" i="67"/>
  <c r="EZ30" i="67"/>
  <c r="ER30" i="67"/>
  <c r="EJ30" i="67"/>
  <c r="EB30" i="67"/>
  <c r="DT30" i="67"/>
  <c r="GC19" i="66"/>
  <c r="FU19" i="66"/>
  <c r="FK19" i="66"/>
  <c r="FC19" i="66"/>
  <c r="EU19" i="66"/>
  <c r="EM19" i="66"/>
  <c r="EE19" i="66"/>
  <c r="GB19" i="66"/>
  <c r="FT19" i="66"/>
  <c r="FJ19" i="66"/>
  <c r="FB19" i="66"/>
  <c r="ED19" i="66"/>
  <c r="DV19" i="66"/>
  <c r="GI19" i="66"/>
  <c r="GA19" i="66"/>
  <c r="FI19" i="66"/>
  <c r="FA19" i="66"/>
  <c r="GH19" i="66"/>
  <c r="FZ19" i="66"/>
  <c r="FH19" i="66"/>
  <c r="EZ19" i="66"/>
  <c r="ER19" i="66"/>
  <c r="EJ19" i="66"/>
  <c r="EB19" i="66"/>
  <c r="DT19" i="66"/>
  <c r="GP19" i="66"/>
  <c r="GG19" i="66"/>
  <c r="FY19" i="66"/>
  <c r="FG19" i="66"/>
  <c r="EY19" i="66"/>
  <c r="EQ19" i="66"/>
  <c r="EI19" i="66"/>
  <c r="GF19" i="66"/>
  <c r="FF19" i="66"/>
  <c r="EX19" i="66"/>
  <c r="EP19" i="66"/>
  <c r="EH19" i="66"/>
  <c r="DZ19" i="66"/>
  <c r="DR19" i="66"/>
  <c r="GE19" i="66"/>
  <c r="FW19" i="66"/>
  <c r="FO19" i="66"/>
  <c r="FE19" i="66"/>
  <c r="EW19" i="66"/>
  <c r="EO19" i="66"/>
  <c r="EG19" i="66"/>
  <c r="FS19" i="66"/>
  <c r="GD19" i="66"/>
  <c r="FM19" i="66"/>
  <c r="FD19" i="66"/>
  <c r="EV19" i="66"/>
  <c r="EN19" i="66"/>
  <c r="EF19" i="66"/>
  <c r="DX19" i="66"/>
  <c r="DP19" i="66"/>
  <c r="GH22" i="65"/>
  <c r="FZ22" i="65"/>
  <c r="FH22" i="65"/>
  <c r="EZ22" i="65"/>
  <c r="ER22" i="65"/>
  <c r="EJ22" i="65"/>
  <c r="EB22" i="65"/>
  <c r="DT22" i="65"/>
  <c r="FW22" i="65"/>
  <c r="FO22" i="65"/>
  <c r="EG22" i="65"/>
  <c r="GP22" i="65"/>
  <c r="GG22" i="65"/>
  <c r="FY22" i="65"/>
  <c r="FG22" i="65"/>
  <c r="EY22" i="65"/>
  <c r="EQ22" i="65"/>
  <c r="EI22" i="65"/>
  <c r="EW22" i="65"/>
  <c r="GF22" i="65"/>
  <c r="FF22" i="65"/>
  <c r="EX22" i="65"/>
  <c r="EP22" i="65"/>
  <c r="EH22" i="65"/>
  <c r="DZ22" i="65"/>
  <c r="DR22" i="65"/>
  <c r="GE22" i="65"/>
  <c r="FE22" i="65"/>
  <c r="EO22" i="65"/>
  <c r="GD22" i="65"/>
  <c r="FM22" i="65"/>
  <c r="FD22" i="65"/>
  <c r="EV22" i="65"/>
  <c r="EN22" i="65"/>
  <c r="EF22" i="65"/>
  <c r="DX22" i="65"/>
  <c r="DP22" i="65"/>
  <c r="GA22" i="65"/>
  <c r="FA22" i="65"/>
  <c r="GC22" i="65"/>
  <c r="FU22" i="65"/>
  <c r="FK22" i="65"/>
  <c r="FC22" i="65"/>
  <c r="EU22" i="65"/>
  <c r="EM22" i="65"/>
  <c r="EE22" i="65"/>
  <c r="FS22" i="65"/>
  <c r="FI22" i="65"/>
  <c r="GB22" i="65"/>
  <c r="FT22" i="65"/>
  <c r="FJ22" i="65"/>
  <c r="FB22" i="65"/>
  <c r="ED22" i="65"/>
  <c r="ED44" i="65" s="1"/>
  <c r="DV22" i="65"/>
  <c r="GI22" i="65"/>
  <c r="FA39" i="64"/>
  <c r="FC39" i="64"/>
  <c r="GB39" i="64"/>
  <c r="GD39" i="64"/>
  <c r="GG39" i="64"/>
  <c r="FS39" i="64"/>
  <c r="FE39" i="64"/>
  <c r="DT39" i="64"/>
  <c r="ED39" i="64"/>
  <c r="GI39" i="64"/>
  <c r="FM39" i="64"/>
  <c r="EB39" i="64"/>
  <c r="FB39" i="64"/>
  <c r="DP39" i="64"/>
  <c r="FU39" i="64"/>
  <c r="ER39" i="64"/>
  <c r="GP38" i="64"/>
  <c r="DZ38" i="64"/>
  <c r="EP38" i="64"/>
  <c r="EE38" i="64"/>
  <c r="EY38" i="64"/>
  <c r="EU38" i="64"/>
  <c r="FO38" i="64"/>
  <c r="DP38" i="64"/>
  <c r="ER38" i="64"/>
  <c r="EF38" i="64"/>
  <c r="FH38" i="64"/>
  <c r="EI32" i="64"/>
  <c r="EB32" i="64"/>
  <c r="FI32" i="64"/>
  <c r="FT32" i="64"/>
  <c r="GC32" i="64"/>
  <c r="GD32" i="64"/>
  <c r="DZ32" i="64"/>
  <c r="EY32" i="64"/>
  <c r="ER32" i="64"/>
  <c r="GA32" i="64"/>
  <c r="EE32" i="64"/>
  <c r="DX32" i="64"/>
  <c r="EO32" i="64"/>
  <c r="EH32" i="64"/>
  <c r="FG32" i="64"/>
  <c r="EZ32" i="64"/>
  <c r="GI32" i="64"/>
  <c r="EM32" i="64"/>
  <c r="EF32" i="64"/>
  <c r="EW32" i="64"/>
  <c r="EP32" i="64"/>
  <c r="FY32" i="64"/>
  <c r="FH32" i="64"/>
  <c r="DV32" i="64"/>
  <c r="EU32" i="64"/>
  <c r="EN32" i="64"/>
  <c r="FE32" i="64"/>
  <c r="EX32" i="64"/>
  <c r="GG32" i="64"/>
  <c r="FZ32" i="64"/>
  <c r="ED32" i="64"/>
  <c r="FC32" i="64"/>
  <c r="EV32" i="64"/>
  <c r="FW32" i="64"/>
  <c r="FF32" i="64"/>
  <c r="GP32" i="64"/>
  <c r="GH32" i="64"/>
  <c r="FB32" i="64"/>
  <c r="FK32" i="64"/>
  <c r="FD32" i="64"/>
  <c r="GE32" i="64"/>
  <c r="FD19" i="72"/>
  <c r="FW19" i="72"/>
  <c r="GF19" i="72"/>
  <c r="DT19" i="72"/>
  <c r="GC19" i="72"/>
  <c r="GD19" i="72"/>
  <c r="DR19" i="72"/>
  <c r="DP19" i="72"/>
  <c r="EG19" i="72"/>
  <c r="GB22" i="71"/>
  <c r="GC22" i="71"/>
  <c r="GE22" i="71"/>
  <c r="GF22" i="71"/>
  <c r="EG22" i="71"/>
  <c r="DR22" i="71"/>
  <c r="EQ22" i="71"/>
  <c r="EJ22" i="71"/>
  <c r="DX24" i="70"/>
  <c r="EV24" i="70"/>
  <c r="EG38" i="70"/>
  <c r="GA38" i="70"/>
  <c r="EE38" i="70"/>
  <c r="EI38" i="70"/>
  <c r="EO38" i="70"/>
  <c r="EH38" i="70"/>
  <c r="FG38" i="70"/>
  <c r="EZ38" i="70"/>
  <c r="GI38" i="70"/>
  <c r="EM38" i="70"/>
  <c r="FH38" i="70"/>
  <c r="DV38" i="70"/>
  <c r="EU38" i="70"/>
  <c r="EN38" i="70"/>
  <c r="FE38" i="70"/>
  <c r="EX38" i="70"/>
  <c r="EV38" i="70"/>
  <c r="FO38" i="70"/>
  <c r="FF38" i="70"/>
  <c r="GP38" i="70"/>
  <c r="GH38" i="70"/>
  <c r="FB38" i="70"/>
  <c r="DT38" i="70"/>
  <c r="FA38" i="70"/>
  <c r="FT38" i="70"/>
  <c r="GC38" i="70"/>
  <c r="GD38" i="70"/>
  <c r="DR38" i="70"/>
  <c r="EP20" i="68"/>
  <c r="FY20" i="68"/>
  <c r="FZ20" i="68"/>
  <c r="FC20" i="68"/>
  <c r="EV20" i="68"/>
  <c r="FO20" i="68"/>
  <c r="FF20" i="68"/>
  <c r="DT20" i="68"/>
  <c r="FW20" i="68"/>
  <c r="FU20" i="68"/>
  <c r="FI20" i="68"/>
  <c r="GB20" i="68"/>
  <c r="DP20" i="68"/>
  <c r="EG20" i="68"/>
  <c r="DZ20" i="68"/>
  <c r="FH20" i="68"/>
  <c r="FI39" i="64"/>
  <c r="FZ39" i="64"/>
  <c r="GA39" i="64"/>
  <c r="FT39" i="64"/>
  <c r="GC39" i="64"/>
  <c r="EI39" i="64"/>
  <c r="EJ39" i="64"/>
  <c r="EY39" i="64"/>
  <c r="EZ39" i="64"/>
  <c r="GP39" i="64"/>
  <c r="EM39" i="64"/>
  <c r="DX39" i="64"/>
  <c r="EO39" i="64"/>
  <c r="EH39" i="64"/>
  <c r="FG39" i="64"/>
  <c r="FH39" i="64"/>
  <c r="DV39" i="64"/>
  <c r="EU39" i="64"/>
  <c r="EF39" i="64"/>
  <c r="EW39" i="64"/>
  <c r="EP39" i="64"/>
  <c r="FO39" i="64"/>
  <c r="GF39" i="64"/>
  <c r="EX39" i="64"/>
  <c r="FW39" i="64"/>
  <c r="GI38" i="64"/>
  <c r="GB38" i="64"/>
  <c r="DR38" i="64"/>
  <c r="EQ38" i="64"/>
  <c r="EJ38" i="64"/>
  <c r="GG38" i="64"/>
  <c r="EM38" i="64"/>
  <c r="DX38" i="64"/>
  <c r="EO38" i="64"/>
  <c r="EH38" i="64"/>
  <c r="FG38" i="64"/>
  <c r="EZ38" i="64"/>
  <c r="DV38" i="64"/>
  <c r="FC38" i="64"/>
  <c r="EN38" i="64"/>
  <c r="FE38" i="64"/>
  <c r="EX38" i="64"/>
  <c r="FW38" i="64"/>
  <c r="GF38" i="64"/>
  <c r="FB38" i="64"/>
  <c r="FK38" i="64"/>
  <c r="EV38" i="64"/>
  <c r="FM38" i="64"/>
  <c r="FF38" i="64"/>
  <c r="GE38" i="64"/>
  <c r="FA38" i="64"/>
  <c r="FJ38" i="64"/>
  <c r="FS38" i="64"/>
  <c r="FD38" i="64"/>
  <c r="FU38" i="64"/>
  <c r="GD38" i="64"/>
  <c r="DT38" i="64"/>
  <c r="FI38" i="64"/>
  <c r="FZ38" i="64"/>
  <c r="GA38" i="64"/>
  <c r="FT38" i="64"/>
  <c r="GC38" i="64"/>
  <c r="EI38" i="64"/>
  <c r="EB38" i="64"/>
  <c r="FY38" i="64"/>
  <c r="GA18" i="64"/>
  <c r="GI18" i="64"/>
  <c r="EX18" i="64"/>
  <c r="GB18" i="64"/>
  <c r="FF18" i="64"/>
  <c r="EE18" i="64"/>
  <c r="GG18" i="64"/>
  <c r="GD18" i="64"/>
  <c r="EZ18" i="64"/>
  <c r="FW18" i="64"/>
  <c r="FH18" i="64"/>
  <c r="GE18" i="64"/>
  <c r="DP17" i="64"/>
  <c r="ER17" i="64"/>
  <c r="DX17" i="64"/>
  <c r="EZ17" i="64"/>
  <c r="EU17" i="64"/>
  <c r="FS17" i="64"/>
  <c r="EG17" i="64"/>
  <c r="GA17" i="64"/>
  <c r="EH17" i="64"/>
  <c r="GB17" i="64"/>
  <c r="GO21" i="63"/>
  <c r="EJ21" i="63"/>
  <c r="ER21" i="63"/>
  <c r="EZ21" i="63"/>
  <c r="EE21" i="63"/>
  <c r="EM21" i="63"/>
  <c r="EU21" i="63"/>
  <c r="ER40" i="41"/>
  <c r="P78" i="65"/>
  <c r="Q76" i="69"/>
  <c r="P74" i="69"/>
  <c r="DZ27" i="72"/>
  <c r="FZ27" i="72"/>
  <c r="FD27" i="72"/>
  <c r="FE27" i="72"/>
  <c r="EH27" i="72"/>
  <c r="EQ27" i="72"/>
  <c r="DT27" i="72"/>
  <c r="FI27" i="72"/>
  <c r="FJ27" i="72"/>
  <c r="FA27" i="72"/>
  <c r="GH27" i="72"/>
  <c r="FT27" i="72"/>
  <c r="FM27" i="72"/>
  <c r="EP27" i="72"/>
  <c r="EY27" i="72"/>
  <c r="EB27" i="72"/>
  <c r="FY27" i="72"/>
  <c r="GP27" i="72"/>
  <c r="GB27" i="72"/>
  <c r="FU27" i="72"/>
  <c r="EX27" i="72"/>
  <c r="FG27" i="72"/>
  <c r="EJ27" i="72"/>
  <c r="GG27" i="72"/>
  <c r="EW27" i="72"/>
  <c r="DP27" i="72"/>
  <c r="FC27" i="72"/>
  <c r="GC27" i="72"/>
  <c r="FF27" i="72"/>
  <c r="FO27" i="72"/>
  <c r="ER27" i="72"/>
  <c r="FK27" i="72"/>
  <c r="DV27" i="72"/>
  <c r="DX27" i="72"/>
  <c r="GA27" i="72"/>
  <c r="EU27" i="72"/>
  <c r="GD27" i="72"/>
  <c r="FW27" i="72"/>
  <c r="EZ27" i="72"/>
  <c r="EI27" i="72"/>
  <c r="ED27" i="72"/>
  <c r="EF27" i="72"/>
  <c r="EG27" i="72"/>
  <c r="GI27" i="72"/>
  <c r="EE27" i="72"/>
  <c r="GE27" i="72"/>
  <c r="FH27" i="72"/>
  <c r="EV27" i="72"/>
  <c r="FB27" i="72"/>
  <c r="EN27" i="72"/>
  <c r="EO27" i="72"/>
  <c r="DR27" i="72"/>
  <c r="FS27" i="72"/>
  <c r="EM27" i="72"/>
  <c r="GP36" i="71"/>
  <c r="GH36" i="71"/>
  <c r="FB36" i="71"/>
  <c r="FK36" i="71"/>
  <c r="FO36" i="71"/>
  <c r="DT36" i="71"/>
  <c r="FI36" i="71"/>
  <c r="FT36" i="71"/>
  <c r="GC36" i="71"/>
  <c r="GD36" i="71"/>
  <c r="DR36" i="71"/>
  <c r="GH15" i="71"/>
  <c r="EO15" i="71"/>
  <c r="DZ15" i="71"/>
  <c r="EM15" i="71"/>
  <c r="FG15" i="71"/>
  <c r="FE15" i="71"/>
  <c r="EX15" i="71"/>
  <c r="EU36" i="71"/>
  <c r="EX36" i="71"/>
  <c r="EQ36" i="71"/>
  <c r="EJ36" i="71"/>
  <c r="ER36" i="71"/>
  <c r="GA36" i="71"/>
  <c r="EE36" i="71"/>
  <c r="DX36" i="71"/>
  <c r="FF15" i="71"/>
  <c r="FY36" i="71"/>
  <c r="FT15" i="71"/>
  <c r="EH15" i="71"/>
  <c r="FW15" i="71"/>
  <c r="EW15" i="71"/>
  <c r="GD30" i="71"/>
  <c r="FM30" i="71"/>
  <c r="FD30" i="71"/>
  <c r="EV30" i="71"/>
  <c r="EN30" i="71"/>
  <c r="EF30" i="71"/>
  <c r="DX30" i="71"/>
  <c r="DP30" i="71"/>
  <c r="GC30" i="71"/>
  <c r="FU30" i="71"/>
  <c r="FK30" i="71"/>
  <c r="FC30" i="71"/>
  <c r="EU30" i="71"/>
  <c r="EM30" i="71"/>
  <c r="EE30" i="71"/>
  <c r="GB30" i="71"/>
  <c r="FT30" i="71"/>
  <c r="FJ30" i="71"/>
  <c r="FB30" i="71"/>
  <c r="ED30" i="71"/>
  <c r="DV30" i="71"/>
  <c r="GI30" i="71"/>
  <c r="GA30" i="71"/>
  <c r="FS30" i="71"/>
  <c r="FI30" i="71"/>
  <c r="FA30" i="71"/>
  <c r="GH30" i="71"/>
  <c r="FZ30" i="71"/>
  <c r="FH30" i="71"/>
  <c r="EZ30" i="71"/>
  <c r="ER30" i="71"/>
  <c r="EJ30" i="71"/>
  <c r="EB30" i="71"/>
  <c r="DT30" i="71"/>
  <c r="GP30" i="71"/>
  <c r="GG30" i="71"/>
  <c r="FY30" i="71"/>
  <c r="FG30" i="71"/>
  <c r="EY30" i="71"/>
  <c r="EQ30" i="71"/>
  <c r="EI30" i="71"/>
  <c r="GF30" i="71"/>
  <c r="FF30" i="71"/>
  <c r="EX30" i="71"/>
  <c r="EP30" i="71"/>
  <c r="EH30" i="71"/>
  <c r="DZ30" i="71"/>
  <c r="DR30" i="71"/>
  <c r="GE30" i="71"/>
  <c r="FW30" i="71"/>
  <c r="FO30" i="71"/>
  <c r="FE30" i="71"/>
  <c r="EW30" i="71"/>
  <c r="EO30" i="71"/>
  <c r="EG30" i="71"/>
  <c r="GI37" i="71"/>
  <c r="GA37" i="71"/>
  <c r="FS37" i="71"/>
  <c r="FI37" i="71"/>
  <c r="FA37" i="71"/>
  <c r="GH37" i="71"/>
  <c r="FZ37" i="71"/>
  <c r="FH37" i="71"/>
  <c r="EZ37" i="71"/>
  <c r="ER37" i="71"/>
  <c r="EJ37" i="71"/>
  <c r="EB37" i="71"/>
  <c r="DT37" i="71"/>
  <c r="GP37" i="71"/>
  <c r="GG37" i="71"/>
  <c r="FY37" i="71"/>
  <c r="FG37" i="71"/>
  <c r="EY37" i="71"/>
  <c r="EQ37" i="71"/>
  <c r="EI37" i="71"/>
  <c r="GF37" i="71"/>
  <c r="FF37" i="71"/>
  <c r="EX37" i="71"/>
  <c r="EP37" i="71"/>
  <c r="EH37" i="71"/>
  <c r="DZ37" i="71"/>
  <c r="DR37" i="71"/>
  <c r="GE37" i="71"/>
  <c r="FW37" i="71"/>
  <c r="FO37" i="71"/>
  <c r="FE37" i="71"/>
  <c r="EW37" i="71"/>
  <c r="EO37" i="71"/>
  <c r="EG37" i="71"/>
  <c r="GD37" i="71"/>
  <c r="FM37" i="71"/>
  <c r="FD37" i="71"/>
  <c r="EV37" i="71"/>
  <c r="EN37" i="71"/>
  <c r="EF37" i="71"/>
  <c r="DX37" i="71"/>
  <c r="DP37" i="71"/>
  <c r="GC37" i="71"/>
  <c r="FU37" i="71"/>
  <c r="FK37" i="71"/>
  <c r="FC37" i="71"/>
  <c r="EU37" i="71"/>
  <c r="EM37" i="71"/>
  <c r="EE37" i="71"/>
  <c r="GB37" i="71"/>
  <c r="FT37" i="71"/>
  <c r="FJ37" i="71"/>
  <c r="FB37" i="71"/>
  <c r="ED37" i="71"/>
  <c r="DV37" i="71"/>
  <c r="GI29" i="71"/>
  <c r="GA29" i="71"/>
  <c r="FS29" i="71"/>
  <c r="FI29" i="71"/>
  <c r="FA29" i="71"/>
  <c r="GH29" i="71"/>
  <c r="FZ29" i="71"/>
  <c r="FH29" i="71"/>
  <c r="EZ29" i="71"/>
  <c r="ER29" i="71"/>
  <c r="EJ29" i="71"/>
  <c r="EB29" i="71"/>
  <c r="DT29" i="71"/>
  <c r="GP29" i="71"/>
  <c r="GG29" i="71"/>
  <c r="FY29" i="71"/>
  <c r="FG29" i="71"/>
  <c r="EY29" i="71"/>
  <c r="EQ29" i="71"/>
  <c r="EI29" i="71"/>
  <c r="GF29" i="71"/>
  <c r="FF29" i="71"/>
  <c r="EX29" i="71"/>
  <c r="EP29" i="71"/>
  <c r="EH29" i="71"/>
  <c r="DZ29" i="71"/>
  <c r="DR29" i="71"/>
  <c r="GE29" i="71"/>
  <c r="FW29" i="71"/>
  <c r="FO29" i="71"/>
  <c r="FE29" i="71"/>
  <c r="EW29" i="71"/>
  <c r="EO29" i="71"/>
  <c r="EG29" i="71"/>
  <c r="GD29" i="71"/>
  <c r="FM29" i="71"/>
  <c r="FD29" i="71"/>
  <c r="EV29" i="71"/>
  <c r="EN29" i="71"/>
  <c r="EF29" i="71"/>
  <c r="DX29" i="71"/>
  <c r="DP29" i="71"/>
  <c r="GC29" i="71"/>
  <c r="FU29" i="71"/>
  <c r="FK29" i="71"/>
  <c r="FC29" i="71"/>
  <c r="EU29" i="71"/>
  <c r="EM29" i="71"/>
  <c r="EE29" i="71"/>
  <c r="GB29" i="71"/>
  <c r="FT29" i="71"/>
  <c r="FJ29" i="71"/>
  <c r="FB29" i="71"/>
  <c r="ED29" i="71"/>
  <c r="DV29" i="71"/>
  <c r="GD38" i="71"/>
  <c r="FM38" i="71"/>
  <c r="FD38" i="71"/>
  <c r="EV38" i="71"/>
  <c r="EN38" i="71"/>
  <c r="EF38" i="71"/>
  <c r="DX38" i="71"/>
  <c r="DP38" i="71"/>
  <c r="GC38" i="71"/>
  <c r="FU38" i="71"/>
  <c r="FK38" i="71"/>
  <c r="FC38" i="71"/>
  <c r="EU38" i="71"/>
  <c r="EM38" i="71"/>
  <c r="EE38" i="71"/>
  <c r="GB38" i="71"/>
  <c r="FT38" i="71"/>
  <c r="FJ38" i="71"/>
  <c r="FB38" i="71"/>
  <c r="ED38" i="71"/>
  <c r="DV38" i="71"/>
  <c r="GI38" i="71"/>
  <c r="GA38" i="71"/>
  <c r="FS38" i="71"/>
  <c r="FI38" i="71"/>
  <c r="FA38" i="71"/>
  <c r="GH38" i="71"/>
  <c r="FZ38" i="71"/>
  <c r="FH38" i="71"/>
  <c r="EZ38" i="71"/>
  <c r="ER38" i="71"/>
  <c r="EJ38" i="71"/>
  <c r="EB38" i="71"/>
  <c r="DT38" i="71"/>
  <c r="GP38" i="71"/>
  <c r="GG38" i="71"/>
  <c r="FY38" i="71"/>
  <c r="FG38" i="71"/>
  <c r="EY38" i="71"/>
  <c r="EQ38" i="71"/>
  <c r="EI38" i="71"/>
  <c r="GF38" i="71"/>
  <c r="FF38" i="71"/>
  <c r="EX38" i="71"/>
  <c r="EP38" i="71"/>
  <c r="EH38" i="71"/>
  <c r="DZ38" i="71"/>
  <c r="DR38" i="71"/>
  <c r="GE38" i="71"/>
  <c r="FW38" i="71"/>
  <c r="FO38" i="71"/>
  <c r="FE38" i="71"/>
  <c r="EW38" i="71"/>
  <c r="EO38" i="71"/>
  <c r="EG38" i="71"/>
  <c r="GH23" i="71"/>
  <c r="FZ23" i="71"/>
  <c r="FH23" i="71"/>
  <c r="EZ23" i="71"/>
  <c r="ER23" i="71"/>
  <c r="EJ23" i="71"/>
  <c r="EB23" i="71"/>
  <c r="DT23" i="71"/>
  <c r="GP23" i="71"/>
  <c r="GG23" i="71"/>
  <c r="FY23" i="71"/>
  <c r="FG23" i="71"/>
  <c r="EY23" i="71"/>
  <c r="EQ23" i="71"/>
  <c r="EI23" i="71"/>
  <c r="DZ23" i="71"/>
  <c r="GE23" i="71"/>
  <c r="FW23" i="71"/>
  <c r="FO23" i="71"/>
  <c r="FE23" i="71"/>
  <c r="EW23" i="71"/>
  <c r="EO23" i="71"/>
  <c r="EG23" i="71"/>
  <c r="GF23" i="71"/>
  <c r="EH23" i="71"/>
  <c r="GD23" i="71"/>
  <c r="FM23" i="71"/>
  <c r="FD23" i="71"/>
  <c r="EV23" i="71"/>
  <c r="EN23" i="71"/>
  <c r="EF23" i="71"/>
  <c r="DX23" i="71"/>
  <c r="DP23" i="71"/>
  <c r="EX23" i="71"/>
  <c r="GC23" i="71"/>
  <c r="FU23" i="71"/>
  <c r="FK23" i="71"/>
  <c r="FC23" i="71"/>
  <c r="EU23" i="71"/>
  <c r="EM23" i="71"/>
  <c r="EE23" i="71"/>
  <c r="DR23" i="71"/>
  <c r="GB23" i="71"/>
  <c r="FT23" i="71"/>
  <c r="FJ23" i="71"/>
  <c r="FB23" i="71"/>
  <c r="ED23" i="71"/>
  <c r="DV23" i="71"/>
  <c r="FF23" i="71"/>
  <c r="GI23" i="71"/>
  <c r="GA23" i="71"/>
  <c r="FS23" i="71"/>
  <c r="FI23" i="71"/>
  <c r="FA23" i="71"/>
  <c r="EP23" i="71"/>
  <c r="GP32" i="70"/>
  <c r="GG32" i="70"/>
  <c r="FY32" i="70"/>
  <c r="FG32" i="70"/>
  <c r="EY32" i="70"/>
  <c r="EQ32" i="70"/>
  <c r="EI32" i="70"/>
  <c r="GF32" i="70"/>
  <c r="FF32" i="70"/>
  <c r="EX32" i="70"/>
  <c r="EP32" i="70"/>
  <c r="EH32" i="70"/>
  <c r="DZ32" i="70"/>
  <c r="DR32" i="70"/>
  <c r="GE32" i="70"/>
  <c r="FW32" i="70"/>
  <c r="FO32" i="70"/>
  <c r="FE32" i="70"/>
  <c r="EW32" i="70"/>
  <c r="EO32" i="70"/>
  <c r="EG32" i="70"/>
  <c r="GD32" i="70"/>
  <c r="FM32" i="70"/>
  <c r="FD32" i="70"/>
  <c r="EV32" i="70"/>
  <c r="EN32" i="70"/>
  <c r="EF32" i="70"/>
  <c r="DX32" i="70"/>
  <c r="DP32" i="70"/>
  <c r="GC32" i="70"/>
  <c r="FU32" i="70"/>
  <c r="FK32" i="70"/>
  <c r="FC32" i="70"/>
  <c r="EU32" i="70"/>
  <c r="EM32" i="70"/>
  <c r="EE32" i="70"/>
  <c r="GB32" i="70"/>
  <c r="FT32" i="70"/>
  <c r="FJ32" i="70"/>
  <c r="FB32" i="70"/>
  <c r="ED32" i="70"/>
  <c r="DV32" i="70"/>
  <c r="GI32" i="70"/>
  <c r="GA32" i="70"/>
  <c r="FS32" i="70"/>
  <c r="FI32" i="70"/>
  <c r="FA32" i="70"/>
  <c r="GH32" i="70"/>
  <c r="FZ32" i="70"/>
  <c r="FH32" i="70"/>
  <c r="EZ32" i="70"/>
  <c r="ER32" i="70"/>
  <c r="EJ32" i="70"/>
  <c r="EB32" i="70"/>
  <c r="DT32" i="70"/>
  <c r="GD39" i="70"/>
  <c r="FM39" i="70"/>
  <c r="FD39" i="70"/>
  <c r="EV39" i="70"/>
  <c r="EN39" i="70"/>
  <c r="EF39" i="70"/>
  <c r="DX39" i="70"/>
  <c r="DP39" i="70"/>
  <c r="GC39" i="70"/>
  <c r="FU39" i="70"/>
  <c r="FK39" i="70"/>
  <c r="FC39" i="70"/>
  <c r="EU39" i="70"/>
  <c r="EM39" i="70"/>
  <c r="EE39" i="70"/>
  <c r="GB39" i="70"/>
  <c r="FT39" i="70"/>
  <c r="FJ39" i="70"/>
  <c r="FB39" i="70"/>
  <c r="ED39" i="70"/>
  <c r="DV39" i="70"/>
  <c r="GI39" i="70"/>
  <c r="GA39" i="70"/>
  <c r="FS39" i="70"/>
  <c r="FI39" i="70"/>
  <c r="FA39" i="70"/>
  <c r="GH39" i="70"/>
  <c r="FZ39" i="70"/>
  <c r="FH39" i="70"/>
  <c r="EZ39" i="70"/>
  <c r="ER39" i="70"/>
  <c r="EJ39" i="70"/>
  <c r="EB39" i="70"/>
  <c r="DT39" i="70"/>
  <c r="GP39" i="70"/>
  <c r="GG39" i="70"/>
  <c r="FY39" i="70"/>
  <c r="FG39" i="70"/>
  <c r="EY39" i="70"/>
  <c r="EQ39" i="70"/>
  <c r="EI39" i="70"/>
  <c r="GF39" i="70"/>
  <c r="FF39" i="70"/>
  <c r="EX39" i="70"/>
  <c r="EP39" i="70"/>
  <c r="EH39" i="70"/>
  <c r="DZ39" i="70"/>
  <c r="DR39" i="70"/>
  <c r="GE39" i="70"/>
  <c r="FW39" i="70"/>
  <c r="FO39" i="70"/>
  <c r="FE39" i="70"/>
  <c r="EW39" i="70"/>
  <c r="EO39" i="70"/>
  <c r="EG39" i="70"/>
  <c r="GD31" i="70"/>
  <c r="FM31" i="70"/>
  <c r="FD31" i="70"/>
  <c r="EV31" i="70"/>
  <c r="EN31" i="70"/>
  <c r="EF31" i="70"/>
  <c r="DX31" i="70"/>
  <c r="DP31" i="70"/>
  <c r="GC31" i="70"/>
  <c r="FU31" i="70"/>
  <c r="FK31" i="70"/>
  <c r="FC31" i="70"/>
  <c r="EU31" i="70"/>
  <c r="EM31" i="70"/>
  <c r="EE31" i="70"/>
  <c r="GB31" i="70"/>
  <c r="FT31" i="70"/>
  <c r="FJ31" i="70"/>
  <c r="FB31" i="70"/>
  <c r="ED31" i="70"/>
  <c r="DV31" i="70"/>
  <c r="GI31" i="70"/>
  <c r="GA31" i="70"/>
  <c r="FS31" i="70"/>
  <c r="FI31" i="70"/>
  <c r="FA31" i="70"/>
  <c r="GH31" i="70"/>
  <c r="FZ31" i="70"/>
  <c r="FH31" i="70"/>
  <c r="EZ31" i="70"/>
  <c r="ER31" i="70"/>
  <c r="EJ31" i="70"/>
  <c r="EB31" i="70"/>
  <c r="DT31" i="70"/>
  <c r="GP31" i="70"/>
  <c r="GG31" i="70"/>
  <c r="FY31" i="70"/>
  <c r="FG31" i="70"/>
  <c r="EY31" i="70"/>
  <c r="EQ31" i="70"/>
  <c r="EI31" i="70"/>
  <c r="GF31" i="70"/>
  <c r="FF31" i="70"/>
  <c r="EX31" i="70"/>
  <c r="EP31" i="70"/>
  <c r="EH31" i="70"/>
  <c r="DZ31" i="70"/>
  <c r="DR31" i="70"/>
  <c r="GE31" i="70"/>
  <c r="FW31" i="70"/>
  <c r="FO31" i="70"/>
  <c r="FE31" i="70"/>
  <c r="EW31" i="70"/>
  <c r="EO31" i="70"/>
  <c r="EG31" i="70"/>
  <c r="GF24" i="67"/>
  <c r="FF24" i="67"/>
  <c r="EX24" i="67"/>
  <c r="EP24" i="67"/>
  <c r="EH24" i="67"/>
  <c r="DZ24" i="67"/>
  <c r="DR24" i="67"/>
  <c r="GE24" i="67"/>
  <c r="FW24" i="67"/>
  <c r="FO24" i="67"/>
  <c r="FE24" i="67"/>
  <c r="EW24" i="67"/>
  <c r="EO24" i="67"/>
  <c r="EG24" i="67"/>
  <c r="GD24" i="67"/>
  <c r="FM24" i="67"/>
  <c r="FD24" i="67"/>
  <c r="EV24" i="67"/>
  <c r="EN24" i="67"/>
  <c r="EF24" i="67"/>
  <c r="DX24" i="67"/>
  <c r="DP24" i="67"/>
  <c r="GC24" i="67"/>
  <c r="FU24" i="67"/>
  <c r="FK24" i="67"/>
  <c r="FC24" i="67"/>
  <c r="EU24" i="67"/>
  <c r="EM24" i="67"/>
  <c r="EE24" i="67"/>
  <c r="GB24" i="67"/>
  <c r="FT24" i="67"/>
  <c r="FJ24" i="67"/>
  <c r="FB24" i="67"/>
  <c r="ED24" i="67"/>
  <c r="DV24" i="67"/>
  <c r="GI24" i="67"/>
  <c r="GA24" i="67"/>
  <c r="FS24" i="67"/>
  <c r="FI24" i="67"/>
  <c r="FA24" i="67"/>
  <c r="GH24" i="67"/>
  <c r="FZ24" i="67"/>
  <c r="FH24" i="67"/>
  <c r="EZ24" i="67"/>
  <c r="ER24" i="67"/>
  <c r="EJ24" i="67"/>
  <c r="EB24" i="67"/>
  <c r="DT24" i="67"/>
  <c r="GP24" i="67"/>
  <c r="GG24" i="67"/>
  <c r="FY24" i="67"/>
  <c r="FG24" i="67"/>
  <c r="EY24" i="67"/>
  <c r="EQ24" i="67"/>
  <c r="EI24" i="67"/>
  <c r="GP23" i="67"/>
  <c r="GG23" i="67"/>
  <c r="FY23" i="67"/>
  <c r="FG23" i="67"/>
  <c r="EY23" i="67"/>
  <c r="EQ23" i="67"/>
  <c r="EI23" i="67"/>
  <c r="GF23" i="67"/>
  <c r="FF23" i="67"/>
  <c r="EX23" i="67"/>
  <c r="EP23" i="67"/>
  <c r="EH23" i="67"/>
  <c r="DZ23" i="67"/>
  <c r="DR23" i="67"/>
  <c r="ER23" i="67"/>
  <c r="GE23" i="67"/>
  <c r="FW23" i="67"/>
  <c r="FO23" i="67"/>
  <c r="FE23" i="67"/>
  <c r="EW23" i="67"/>
  <c r="EO23" i="67"/>
  <c r="EG23" i="67"/>
  <c r="GD23" i="67"/>
  <c r="FM23" i="67"/>
  <c r="FD23" i="67"/>
  <c r="EV23" i="67"/>
  <c r="EN23" i="67"/>
  <c r="EF23" i="67"/>
  <c r="DX23" i="67"/>
  <c r="DP23" i="67"/>
  <c r="GH23" i="67"/>
  <c r="GC23" i="67"/>
  <c r="FU23" i="67"/>
  <c r="FK23" i="67"/>
  <c r="FC23" i="67"/>
  <c r="EU23" i="67"/>
  <c r="EM23" i="67"/>
  <c r="EE23" i="67"/>
  <c r="FH23" i="67"/>
  <c r="DT23" i="67"/>
  <c r="GB23" i="67"/>
  <c r="FT23" i="67"/>
  <c r="FJ23" i="67"/>
  <c r="FB23" i="67"/>
  <c r="ED23" i="67"/>
  <c r="DV23" i="67"/>
  <c r="FZ23" i="67"/>
  <c r="EJ23" i="67"/>
  <c r="GI23" i="67"/>
  <c r="GA23" i="67"/>
  <c r="FS23" i="67"/>
  <c r="FI23" i="67"/>
  <c r="FA23" i="67"/>
  <c r="EZ23" i="67"/>
  <c r="EB23" i="67"/>
  <c r="EF17" i="64"/>
  <c r="EO17" i="64"/>
  <c r="EX17" i="64"/>
  <c r="GG17" i="64"/>
  <c r="FH17" i="64"/>
  <c r="GI17" i="64"/>
  <c r="FC17" i="64"/>
  <c r="EI24" i="64"/>
  <c r="EB24" i="64"/>
  <c r="FI24" i="64"/>
  <c r="FT24" i="64"/>
  <c r="GC24" i="64"/>
  <c r="GD24" i="64"/>
  <c r="EN17" i="64"/>
  <c r="EW17" i="64"/>
  <c r="FF17" i="64"/>
  <c r="GP17" i="64"/>
  <c r="FZ17" i="64"/>
  <c r="DV17" i="64"/>
  <c r="FU17" i="64"/>
  <c r="DR24" i="64"/>
  <c r="EQ24" i="64"/>
  <c r="EJ24" i="64"/>
  <c r="FS24" i="64"/>
  <c r="GB24" i="64"/>
  <c r="DP24" i="64"/>
  <c r="EG24" i="64"/>
  <c r="EV17" i="64"/>
  <c r="FE17" i="64"/>
  <c r="GF17" i="64"/>
  <c r="DR17" i="64"/>
  <c r="GH17" i="64"/>
  <c r="ED17" i="64"/>
  <c r="DZ24" i="64"/>
  <c r="EY24" i="64"/>
  <c r="ER24" i="64"/>
  <c r="GA24" i="64"/>
  <c r="EE24" i="64"/>
  <c r="DX24" i="64"/>
  <c r="EO24" i="64"/>
  <c r="EM17" i="64"/>
  <c r="FD17" i="64"/>
  <c r="FO17" i="64"/>
  <c r="EI17" i="64"/>
  <c r="DT17" i="64"/>
  <c r="DZ17" i="64"/>
  <c r="FB17" i="64"/>
  <c r="EH24" i="64"/>
  <c r="FG24" i="64"/>
  <c r="EZ24" i="64"/>
  <c r="GI24" i="64"/>
  <c r="EM24" i="64"/>
  <c r="EF24" i="64"/>
  <c r="EW24" i="64"/>
  <c r="FK17" i="64"/>
  <c r="FM17" i="64"/>
  <c r="FW17" i="64"/>
  <c r="EQ17" i="64"/>
  <c r="EB17" i="64"/>
  <c r="FA17" i="64"/>
  <c r="FJ17" i="64"/>
  <c r="EP24" i="64"/>
  <c r="FY24" i="64"/>
  <c r="FH24" i="64"/>
  <c r="DV24" i="64"/>
  <c r="EU24" i="64"/>
  <c r="EN24" i="64"/>
  <c r="FE24" i="64"/>
  <c r="GC17" i="64"/>
  <c r="GD17" i="64"/>
  <c r="GE17" i="64"/>
  <c r="EY17" i="64"/>
  <c r="EJ17" i="64"/>
  <c r="FI17" i="64"/>
  <c r="EX24" i="64"/>
  <c r="GG24" i="64"/>
  <c r="FZ24" i="64"/>
  <c r="ED24" i="64"/>
  <c r="FC24" i="64"/>
  <c r="EV24" i="64"/>
  <c r="GF18" i="64"/>
  <c r="GP18" i="64"/>
  <c r="FZ18" i="64"/>
  <c r="FK18" i="64"/>
  <c r="DP18" i="64"/>
  <c r="FU18" i="64"/>
  <c r="EM18" i="64"/>
  <c r="EU18" i="64"/>
  <c r="GC18" i="64"/>
  <c r="GH18" i="64"/>
  <c r="DV18" i="64"/>
  <c r="DX18" i="64"/>
  <c r="EG18" i="64"/>
  <c r="DR18" i="64"/>
  <c r="EI18" i="64"/>
  <c r="DT18" i="64"/>
  <c r="FC18" i="64"/>
  <c r="ED18" i="64"/>
  <c r="EF18" i="64"/>
  <c r="EO18" i="64"/>
  <c r="GH25" i="64"/>
  <c r="FZ25" i="64"/>
  <c r="FH25" i="64"/>
  <c r="EZ25" i="64"/>
  <c r="ER25" i="64"/>
  <c r="EJ25" i="64"/>
  <c r="EB25" i="64"/>
  <c r="DT25" i="64"/>
  <c r="GP25" i="64"/>
  <c r="GG25" i="64"/>
  <c r="FY25" i="64"/>
  <c r="FG25" i="64"/>
  <c r="EY25" i="64"/>
  <c r="EQ25" i="64"/>
  <c r="EI25" i="64"/>
  <c r="GF25" i="64"/>
  <c r="FF25" i="64"/>
  <c r="EX25" i="64"/>
  <c r="EP25" i="64"/>
  <c r="EH25" i="64"/>
  <c r="DZ25" i="64"/>
  <c r="DR25" i="64"/>
  <c r="GE25" i="64"/>
  <c r="FW25" i="64"/>
  <c r="FO25" i="64"/>
  <c r="FE25" i="64"/>
  <c r="EW25" i="64"/>
  <c r="EO25" i="64"/>
  <c r="EG25" i="64"/>
  <c r="GD25" i="64"/>
  <c r="FM25" i="64"/>
  <c r="FD25" i="64"/>
  <c r="EV25" i="64"/>
  <c r="EN25" i="64"/>
  <c r="EF25" i="64"/>
  <c r="DX25" i="64"/>
  <c r="DP25" i="64"/>
  <c r="GC25" i="64"/>
  <c r="FU25" i="64"/>
  <c r="FK25" i="64"/>
  <c r="FC25" i="64"/>
  <c r="EU25" i="64"/>
  <c r="EM25" i="64"/>
  <c r="EE25" i="64"/>
  <c r="GB25" i="64"/>
  <c r="FT25" i="64"/>
  <c r="FJ25" i="64"/>
  <c r="FB25" i="64"/>
  <c r="ED25" i="64"/>
  <c r="DV25" i="64"/>
  <c r="GI25" i="64"/>
  <c r="GA25" i="64"/>
  <c r="FS25" i="64"/>
  <c r="FI25" i="64"/>
  <c r="FA25" i="64"/>
  <c r="DZ18" i="64"/>
  <c r="EQ18" i="64"/>
  <c r="EB18" i="64"/>
  <c r="FA18" i="64"/>
  <c r="FB18" i="64"/>
  <c r="EN18" i="64"/>
  <c r="EW18" i="64"/>
  <c r="EH18" i="64"/>
  <c r="EY18" i="64"/>
  <c r="EJ18" i="64"/>
  <c r="FI18" i="64"/>
  <c r="FJ18" i="64"/>
  <c r="EV18" i="64"/>
  <c r="FE18" i="64"/>
  <c r="EP18" i="64"/>
  <c r="FG18" i="64"/>
  <c r="ER18" i="64"/>
  <c r="FS18" i="64"/>
  <c r="FT18" i="64"/>
  <c r="FD18" i="64"/>
  <c r="GB31" i="64"/>
  <c r="FT31" i="64"/>
  <c r="FJ31" i="64"/>
  <c r="FB31" i="64"/>
  <c r="ED31" i="64"/>
  <c r="DV31" i="64"/>
  <c r="GI31" i="64"/>
  <c r="GA31" i="64"/>
  <c r="FS31" i="64"/>
  <c r="FI31" i="64"/>
  <c r="FA31" i="64"/>
  <c r="GH31" i="64"/>
  <c r="FZ31" i="64"/>
  <c r="FH31" i="64"/>
  <c r="EZ31" i="64"/>
  <c r="ER31" i="64"/>
  <c r="EJ31" i="64"/>
  <c r="EB31" i="64"/>
  <c r="DT31" i="64"/>
  <c r="GP31" i="64"/>
  <c r="GG31" i="64"/>
  <c r="FY31" i="64"/>
  <c r="FG31" i="64"/>
  <c r="EY31" i="64"/>
  <c r="EQ31" i="64"/>
  <c r="EI31" i="64"/>
  <c r="GF31" i="64"/>
  <c r="FF31" i="64"/>
  <c r="EX31" i="64"/>
  <c r="EP31" i="64"/>
  <c r="EH31" i="64"/>
  <c r="DZ31" i="64"/>
  <c r="DR31" i="64"/>
  <c r="GE31" i="64"/>
  <c r="FW31" i="64"/>
  <c r="FO31" i="64"/>
  <c r="FE31" i="64"/>
  <c r="EW31" i="64"/>
  <c r="EO31" i="64"/>
  <c r="EG31" i="64"/>
  <c r="GD31" i="64"/>
  <c r="FM31" i="64"/>
  <c r="FD31" i="64"/>
  <c r="EV31" i="64"/>
  <c r="EN31" i="64"/>
  <c r="EF31" i="64"/>
  <c r="DX31" i="64"/>
  <c r="DP31" i="64"/>
  <c r="GC31" i="64"/>
  <c r="FU31" i="64"/>
  <c r="FK31" i="64"/>
  <c r="FC31" i="64"/>
  <c r="EU31" i="64"/>
  <c r="EM31" i="64"/>
  <c r="EE31" i="64"/>
  <c r="P79" i="66"/>
  <c r="P79" i="69"/>
  <c r="Q77" i="65"/>
  <c r="Q78" i="69"/>
  <c r="Q78" i="66"/>
  <c r="P76" i="65"/>
  <c r="Q75" i="65"/>
  <c r="EL44" i="63"/>
  <c r="EV45" i="66"/>
  <c r="FT45" i="73"/>
  <c r="P73" i="65"/>
  <c r="EE39" i="63"/>
  <c r="EM39" i="63"/>
  <c r="EU39" i="63"/>
  <c r="FK39" i="63"/>
  <c r="DP39" i="63"/>
  <c r="DX39" i="63"/>
  <c r="EF39" i="63"/>
  <c r="EN39" i="63"/>
  <c r="EV39" i="63"/>
  <c r="FO39" i="63"/>
  <c r="DR39" i="63"/>
  <c r="DZ39" i="63"/>
  <c r="EI39" i="63"/>
  <c r="EQ39" i="63"/>
  <c r="EY39" i="63"/>
  <c r="EJ39" i="63"/>
  <c r="ER39" i="63"/>
  <c r="FK36" i="63"/>
  <c r="DR32" i="63"/>
  <c r="EQ32" i="63"/>
  <c r="EJ32" i="63"/>
  <c r="ER32" i="63"/>
  <c r="EZ32" i="63"/>
  <c r="FO32" i="63"/>
  <c r="EY32" i="63"/>
  <c r="EI32" i="63"/>
  <c r="DZ32" i="63"/>
  <c r="EE32" i="63"/>
  <c r="EM32" i="63"/>
  <c r="EU32" i="63"/>
  <c r="FK32" i="63"/>
  <c r="DP32" i="63"/>
  <c r="DX32" i="63"/>
  <c r="EF32" i="63"/>
  <c r="EN32" i="63"/>
  <c r="GO42" i="63"/>
  <c r="GO37" i="63"/>
  <c r="DX36" i="63"/>
  <c r="EF36" i="63"/>
  <c r="EN36" i="63"/>
  <c r="GO36" i="63"/>
  <c r="GO33" i="63"/>
  <c r="DZ33" i="63" s="1"/>
  <c r="EI31" i="63"/>
  <c r="EQ31" i="63"/>
  <c r="EY31" i="63"/>
  <c r="EJ31" i="63"/>
  <c r="ER31" i="63"/>
  <c r="EZ31" i="63"/>
  <c r="DP31" i="63"/>
  <c r="DX31" i="63"/>
  <c r="EF31" i="63"/>
  <c r="EN31" i="63"/>
  <c r="EV31" i="63"/>
  <c r="FO31" i="63"/>
  <c r="DR31" i="63"/>
  <c r="ET44" i="63"/>
  <c r="DW44" i="63"/>
  <c r="DO44" i="63"/>
  <c r="V109" i="63"/>
  <c r="R109" i="63"/>
  <c r="GP20" i="63"/>
  <c r="GG20" i="63"/>
  <c r="FY20" i="63"/>
  <c r="FK20" i="63"/>
  <c r="FC20" i="63"/>
  <c r="EU20" i="63"/>
  <c r="EM20" i="63"/>
  <c r="EE20" i="63"/>
  <c r="GF20" i="63"/>
  <c r="FW20" i="63"/>
  <c r="FJ20" i="63"/>
  <c r="FB20" i="63"/>
  <c r="ED20" i="63"/>
  <c r="DV20" i="63"/>
  <c r="GE20" i="63"/>
  <c r="FU20" i="63"/>
  <c r="FI20" i="63"/>
  <c r="FA20" i="63"/>
  <c r="GD20" i="63"/>
  <c r="FT20" i="63"/>
  <c r="FH20" i="63"/>
  <c r="EZ20" i="63"/>
  <c r="ER20" i="63"/>
  <c r="EJ20" i="63"/>
  <c r="EB20" i="63"/>
  <c r="DT20" i="63"/>
  <c r="GC20" i="63"/>
  <c r="FS20" i="63"/>
  <c r="FG20" i="63"/>
  <c r="EY20" i="63"/>
  <c r="EQ20" i="63"/>
  <c r="EI20" i="63"/>
  <c r="GB20" i="63"/>
  <c r="FF20" i="63"/>
  <c r="EX20" i="63"/>
  <c r="EP20" i="63"/>
  <c r="EH20" i="63"/>
  <c r="DZ20" i="63"/>
  <c r="DR20" i="63"/>
  <c r="GI20" i="63"/>
  <c r="GA20" i="63"/>
  <c r="FO20" i="63"/>
  <c r="FE20" i="63"/>
  <c r="EW20" i="63"/>
  <c r="EO20" i="63"/>
  <c r="EG20" i="63"/>
  <c r="GH20" i="63"/>
  <c r="FZ20" i="63"/>
  <c r="FM20" i="63"/>
  <c r="FD20" i="63"/>
  <c r="EV20" i="63"/>
  <c r="EN20" i="63"/>
  <c r="EF20" i="63"/>
  <c r="DX20" i="63"/>
  <c r="DP20" i="63"/>
  <c r="DS44" i="63"/>
  <c r="EA44" i="63"/>
  <c r="GO18" i="63"/>
  <c r="I18" i="63" s="1"/>
  <c r="GO26" i="63"/>
  <c r="GO34" i="63"/>
  <c r="GO19" i="63"/>
  <c r="I19" i="63" s="1"/>
  <c r="GO27" i="63"/>
  <c r="GO35" i="63"/>
  <c r="T109" i="63"/>
  <c r="EF42" i="63"/>
  <c r="FO43" i="63"/>
  <c r="GO29" i="63"/>
  <c r="GO38" i="63"/>
  <c r="GO22" i="63"/>
  <c r="GO30" i="63"/>
  <c r="GO39" i="63"/>
  <c r="DX42" i="63"/>
  <c r="EV42" i="63"/>
  <c r="GO43" i="63"/>
  <c r="GO23" i="63"/>
  <c r="GO31" i="63"/>
  <c r="GO40" i="63"/>
  <c r="DP42" i="63"/>
  <c r="DQ44" i="63"/>
  <c r="DY44" i="63"/>
  <c r="GO16" i="63"/>
  <c r="GO24" i="63"/>
  <c r="GO32" i="63"/>
  <c r="GO41" i="63"/>
  <c r="EI42" i="63"/>
  <c r="EQ42" i="63"/>
  <c r="EY42" i="63"/>
  <c r="EJ42" i="63"/>
  <c r="ER42" i="63"/>
  <c r="EZ42" i="63"/>
  <c r="EE42" i="63"/>
  <c r="EM42" i="63"/>
  <c r="EU42" i="63"/>
  <c r="FK42" i="63"/>
  <c r="FO42" i="63"/>
  <c r="DR42" i="63"/>
  <c r="DU44" i="63"/>
  <c r="EC44" i="63"/>
  <c r="EK44" i="63"/>
  <c r="ES44" i="63"/>
  <c r="FQ44" i="63"/>
  <c r="GO15" i="63"/>
  <c r="GO14" i="63"/>
  <c r="EJ39" i="41"/>
  <c r="T111" i="41"/>
  <c r="FQ46" i="41"/>
  <c r="ET46" i="41"/>
  <c r="ES46" i="41"/>
  <c r="EK46" i="41"/>
  <c r="EL46" i="41"/>
  <c r="FA15" i="41"/>
  <c r="FB15" i="41"/>
  <c r="EW15" i="41"/>
  <c r="EX15" i="41"/>
  <c r="EO15" i="41"/>
  <c r="EP15" i="41"/>
  <c r="EY20" i="68" l="1"/>
  <c r="GF20" i="68"/>
  <c r="DV20" i="68"/>
  <c r="DV41" i="68"/>
  <c r="FT41" i="68"/>
  <c r="FT44" i="68" s="1"/>
  <c r="EV41" i="68"/>
  <c r="EV44" i="68" s="1"/>
  <c r="EG41" i="68"/>
  <c r="EG44" i="68" s="1"/>
  <c r="FW41" i="68"/>
  <c r="FW44" i="68" s="1"/>
  <c r="FG20" i="68"/>
  <c r="FG44" i="68" s="1"/>
  <c r="FJ20" i="68"/>
  <c r="ED20" i="68"/>
  <c r="FC41" i="68"/>
  <c r="DP41" i="68"/>
  <c r="FD41" i="68"/>
  <c r="EH20" i="68"/>
  <c r="FA20" i="68"/>
  <c r="EN20" i="68"/>
  <c r="ED41" i="68"/>
  <c r="GB41" i="68"/>
  <c r="FK41" i="68"/>
  <c r="EO20" i="68"/>
  <c r="EB20" i="68"/>
  <c r="EU20" i="68"/>
  <c r="EU41" i="68"/>
  <c r="GC41" i="68"/>
  <c r="GC44" i="68" s="1"/>
  <c r="FS38" i="70"/>
  <c r="FC36" i="71"/>
  <c r="FS36" i="71"/>
  <c r="FA36" i="71"/>
  <c r="ED22" i="71"/>
  <c r="GH22" i="71"/>
  <c r="GH45" i="71" s="1"/>
  <c r="DV22" i="71"/>
  <c r="EP36" i="71"/>
  <c r="EP45" i="71" s="1"/>
  <c r="FD22" i="71"/>
  <c r="EZ36" i="71"/>
  <c r="EY36" i="71"/>
  <c r="FM36" i="71"/>
  <c r="FF36" i="71"/>
  <c r="GD22" i="71"/>
  <c r="EB22" i="71"/>
  <c r="FG36" i="71"/>
  <c r="EV36" i="71"/>
  <c r="FU36" i="71"/>
  <c r="ED36" i="71"/>
  <c r="GI22" i="71"/>
  <c r="GI45" i="71" s="1"/>
  <c r="GA22" i="71"/>
  <c r="GB36" i="71"/>
  <c r="FJ36" i="71"/>
  <c r="EU22" i="71"/>
  <c r="FI22" i="71"/>
  <c r="DP22" i="71"/>
  <c r="GI40" i="72"/>
  <c r="DZ19" i="72"/>
  <c r="FA19" i="72"/>
  <c r="EE19" i="72"/>
  <c r="FF26" i="72"/>
  <c r="FF44" i="72" s="1"/>
  <c r="FC26" i="72"/>
  <c r="EY26" i="72"/>
  <c r="FD40" i="72"/>
  <c r="FD44" i="72" s="1"/>
  <c r="GH40" i="72"/>
  <c r="EO40" i="72"/>
  <c r="FS40" i="72"/>
  <c r="GG19" i="72"/>
  <c r="FF40" i="72"/>
  <c r="EM40" i="72"/>
  <c r="EY40" i="72"/>
  <c r="FT19" i="72"/>
  <c r="FT44" i="72" s="1"/>
  <c r="FI19" i="72"/>
  <c r="FI44" i="72" s="1"/>
  <c r="GH19" i="72"/>
  <c r="GH44" i="72" s="1"/>
  <c r="FZ26" i="72"/>
  <c r="EX26" i="72"/>
  <c r="EU26" i="72"/>
  <c r="EV40" i="72"/>
  <c r="FH40" i="72"/>
  <c r="EG40" i="72"/>
  <c r="FE19" i="72"/>
  <c r="FE44" i="72" s="1"/>
  <c r="FO40" i="72"/>
  <c r="FO44" i="72" s="1"/>
  <c r="ER19" i="72"/>
  <c r="EB19" i="72"/>
  <c r="FF19" i="72"/>
  <c r="FA26" i="72"/>
  <c r="FE26" i="72"/>
  <c r="DV26" i="72"/>
  <c r="FC40" i="72"/>
  <c r="FG40" i="72"/>
  <c r="DP40" i="72"/>
  <c r="DZ40" i="72"/>
  <c r="EY19" i="72"/>
  <c r="FJ19" i="72"/>
  <c r="EV19" i="72"/>
  <c r="EV44" i="72" s="1"/>
  <c r="GE26" i="72"/>
  <c r="EN26" i="72"/>
  <c r="ED40" i="72"/>
  <c r="EH40" i="72"/>
  <c r="DP17" i="73"/>
  <c r="GP17" i="73"/>
  <c r="DT17" i="73"/>
  <c r="EX17" i="73"/>
  <c r="EU17" i="73"/>
  <c r="GP45" i="73"/>
  <c r="I55" i="73" s="1"/>
  <c r="DX17" i="73"/>
  <c r="DV45" i="73"/>
  <c r="FS45" i="73"/>
  <c r="EG17" i="73"/>
  <c r="GE17" i="73"/>
  <c r="GA17" i="73"/>
  <c r="FJ17" i="73"/>
  <c r="EP17" i="73"/>
  <c r="ER45" i="73"/>
  <c r="FZ17" i="73"/>
  <c r="GB17" i="73"/>
  <c r="GH17" i="73"/>
  <c r="GH45" i="73" s="1"/>
  <c r="GF17" i="73"/>
  <c r="EW17" i="73"/>
  <c r="EW45" i="73" s="1"/>
  <c r="EM45" i="73"/>
  <c r="DP45" i="73"/>
  <c r="FA17" i="73"/>
  <c r="FA45" i="73" s="1"/>
  <c r="GI17" i="73"/>
  <c r="FI17" i="73"/>
  <c r="FW17" i="73"/>
  <c r="EH17" i="73"/>
  <c r="EH45" i="73" s="1"/>
  <c r="EO17" i="73"/>
  <c r="EO45" i="73" s="1"/>
  <c r="EF24" i="73"/>
  <c r="EF45" i="73" s="1"/>
  <c r="EU24" i="73"/>
  <c r="EU45" i="73" s="1"/>
  <c r="ED24" i="73"/>
  <c r="ED45" i="73" s="1"/>
  <c r="EZ24" i="73"/>
  <c r="EZ45" i="73" s="1"/>
  <c r="FG24" i="73"/>
  <c r="FG45" i="73" s="1"/>
  <c r="EH24" i="73"/>
  <c r="EO24" i="73"/>
  <c r="EE45" i="73"/>
  <c r="DX24" i="73"/>
  <c r="DX45" i="73" s="1"/>
  <c r="Q71" i="73" s="1"/>
  <c r="EG45" i="73"/>
  <c r="GI45" i="73"/>
  <c r="EJ45" i="73"/>
  <c r="EQ19" i="72"/>
  <c r="EQ44" i="72" s="1"/>
  <c r="P73" i="72" s="1"/>
  <c r="FU19" i="72"/>
  <c r="GP19" i="72"/>
  <c r="EF19" i="72"/>
  <c r="EM19" i="72"/>
  <c r="EM44" i="72" s="1"/>
  <c r="GI19" i="72"/>
  <c r="FZ19" i="72"/>
  <c r="FH19" i="72"/>
  <c r="FG19" i="72"/>
  <c r="EX19" i="72"/>
  <c r="EP19" i="72"/>
  <c r="EO19" i="72"/>
  <c r="EN19" i="72"/>
  <c r="EZ19" i="72"/>
  <c r="FC19" i="72"/>
  <c r="FC44" i="72" s="1"/>
  <c r="GA19" i="72"/>
  <c r="GE33" i="72"/>
  <c r="EM33" i="72"/>
  <c r="EB33" i="72"/>
  <c r="FE33" i="72"/>
  <c r="EE33" i="72"/>
  <c r="EW33" i="72"/>
  <c r="EW44" i="72" s="1"/>
  <c r="FJ33" i="72"/>
  <c r="GG33" i="72"/>
  <c r="EO33" i="72"/>
  <c r="EO44" i="72" s="1"/>
  <c r="DV33" i="72"/>
  <c r="FY33" i="72"/>
  <c r="FM33" i="72"/>
  <c r="GI33" i="72"/>
  <c r="FG33" i="72"/>
  <c r="EN33" i="72"/>
  <c r="GA33" i="72"/>
  <c r="EI33" i="72"/>
  <c r="EF33" i="72"/>
  <c r="EF44" i="72" s="1"/>
  <c r="FA33" i="72"/>
  <c r="FA44" i="72" s="1"/>
  <c r="EX33" i="72"/>
  <c r="DX33" i="72"/>
  <c r="FZ33" i="72"/>
  <c r="EP33" i="72"/>
  <c r="FU33" i="72"/>
  <c r="FH33" i="72"/>
  <c r="EH33" i="72"/>
  <c r="EU33" i="72"/>
  <c r="EU44" i="72" s="1"/>
  <c r="EZ33" i="72"/>
  <c r="GB19" i="72"/>
  <c r="GB44" i="72" s="1"/>
  <c r="EI19" i="72"/>
  <c r="EH19" i="72"/>
  <c r="DV19" i="72"/>
  <c r="EY33" i="72"/>
  <c r="FS19" i="72"/>
  <c r="FS44" i="72" s="1"/>
  <c r="GE19" i="72"/>
  <c r="DX19" i="72"/>
  <c r="DX44" i="72" s="1"/>
  <c r="FY19" i="72"/>
  <c r="FY44" i="72" s="1"/>
  <c r="FJ40" i="72"/>
  <c r="EP40" i="72"/>
  <c r="GE40" i="72"/>
  <c r="DV40" i="72"/>
  <c r="DR40" i="72"/>
  <c r="FE40" i="72"/>
  <c r="FI40" i="72"/>
  <c r="GD40" i="72"/>
  <c r="GD44" i="72" s="1"/>
  <c r="FA40" i="72"/>
  <c r="FM40" i="72"/>
  <c r="FZ40" i="72"/>
  <c r="EN40" i="72"/>
  <c r="EN44" i="72" s="1"/>
  <c r="EJ40" i="72"/>
  <c r="GC40" i="72"/>
  <c r="EB40" i="72"/>
  <c r="FU40" i="72"/>
  <c r="FY40" i="72"/>
  <c r="EU40" i="72"/>
  <c r="EI40" i="72"/>
  <c r="FT40" i="72"/>
  <c r="GF40" i="72"/>
  <c r="GF44" i="72" s="1"/>
  <c r="ED26" i="72"/>
  <c r="ED44" i="72" s="1"/>
  <c r="DR26" i="72"/>
  <c r="GG26" i="72"/>
  <c r="GC26" i="72"/>
  <c r="GC44" i="72" s="1"/>
  <c r="EJ26" i="72"/>
  <c r="FY26" i="72"/>
  <c r="EO26" i="72"/>
  <c r="EZ26" i="72"/>
  <c r="GB26" i="72"/>
  <c r="FT26" i="72"/>
  <c r="EB26" i="72"/>
  <c r="DX26" i="72"/>
  <c r="FG26" i="72"/>
  <c r="GI26" i="72"/>
  <c r="EQ26" i="72"/>
  <c r="GA26" i="72"/>
  <c r="EI26" i="72"/>
  <c r="EM26" i="72"/>
  <c r="GP26" i="72"/>
  <c r="EH26" i="72"/>
  <c r="EE26" i="72"/>
  <c r="EE44" i="72" s="1"/>
  <c r="EJ19" i="72"/>
  <c r="FM19" i="72"/>
  <c r="FB19" i="72"/>
  <c r="FB44" i="72" s="1"/>
  <c r="EW19" i="72"/>
  <c r="FW40" i="72"/>
  <c r="GH26" i="72"/>
  <c r="GI36" i="71"/>
  <c r="EO36" i="71"/>
  <c r="DP36" i="71"/>
  <c r="EG15" i="71"/>
  <c r="EL14" i="71"/>
  <c r="EL45" i="71" s="1"/>
  <c r="GE36" i="71"/>
  <c r="GE45" i="71" s="1"/>
  <c r="FD36" i="71"/>
  <c r="EF22" i="71"/>
  <c r="DT22" i="71"/>
  <c r="DT45" i="71" s="1"/>
  <c r="FM22" i="71"/>
  <c r="FM45" i="71" s="1"/>
  <c r="DT15" i="71"/>
  <c r="ED43" i="71"/>
  <c r="FH43" i="71"/>
  <c r="EO43" i="71"/>
  <c r="EI22" i="71"/>
  <c r="DT43" i="71"/>
  <c r="EY43" i="71"/>
  <c r="DZ43" i="71"/>
  <c r="DR43" i="71"/>
  <c r="EE43" i="71"/>
  <c r="GE43" i="71"/>
  <c r="GB43" i="71"/>
  <c r="EG43" i="71"/>
  <c r="FT43" i="71"/>
  <c r="DP43" i="71"/>
  <c r="GA43" i="71"/>
  <c r="ER43" i="71"/>
  <c r="ER45" i="71" s="1"/>
  <c r="EJ43" i="71"/>
  <c r="EJ45" i="71" s="1"/>
  <c r="EB43" i="71"/>
  <c r="FY22" i="71"/>
  <c r="FG22" i="71"/>
  <c r="EP22" i="71"/>
  <c r="FE22" i="71"/>
  <c r="EW22" i="71"/>
  <c r="EV22" i="71"/>
  <c r="FK22" i="71"/>
  <c r="FK45" i="71" s="1"/>
  <c r="FC22" i="71"/>
  <c r="FJ22" i="71"/>
  <c r="FJ45" i="71" s="1"/>
  <c r="FH22" i="71"/>
  <c r="FH45" i="71" s="1"/>
  <c r="FK43" i="71"/>
  <c r="ER22" i="71"/>
  <c r="EU15" i="71"/>
  <c r="EQ15" i="71"/>
  <c r="FJ15" i="71"/>
  <c r="DV15" i="71"/>
  <c r="ED15" i="71"/>
  <c r="FY15" i="71"/>
  <c r="FO15" i="71"/>
  <c r="FT22" i="71"/>
  <c r="FT45" i="71" s="1"/>
  <c r="FO22" i="71"/>
  <c r="FI43" i="71"/>
  <c r="EW36" i="71"/>
  <c r="GD15" i="71"/>
  <c r="FZ36" i="71"/>
  <c r="DR15" i="71"/>
  <c r="GF15" i="71"/>
  <c r="GF45" i="71" s="1"/>
  <c r="EB36" i="71"/>
  <c r="GG36" i="71"/>
  <c r="GG45" i="71" s="1"/>
  <c r="EY22" i="71"/>
  <c r="DX22" i="71"/>
  <c r="DX45" i="71" s="1"/>
  <c r="FA22" i="71"/>
  <c r="FH15" i="71"/>
  <c r="EJ15" i="71"/>
  <c r="EZ43" i="71"/>
  <c r="FZ15" i="71"/>
  <c r="FZ45" i="71" s="1"/>
  <c r="GA15" i="71"/>
  <c r="GA45" i="71" s="1"/>
  <c r="EZ22" i="71"/>
  <c r="FU22" i="71"/>
  <c r="FU45" i="71" s="1"/>
  <c r="EI43" i="71"/>
  <c r="EI45" i="71" s="1"/>
  <c r="EF36" i="71"/>
  <c r="EP15" i="71"/>
  <c r="DZ36" i="71"/>
  <c r="EE15" i="71"/>
  <c r="EK14" i="71"/>
  <c r="EK45" i="71" s="1"/>
  <c r="EI36" i="71"/>
  <c r="GF36" i="71"/>
  <c r="DZ22" i="71"/>
  <c r="EM22" i="71"/>
  <c r="EM45" i="71" s="1"/>
  <c r="FF22" i="71"/>
  <c r="FF45" i="71" s="1"/>
  <c r="EB15" i="71"/>
  <c r="EU43" i="71"/>
  <c r="EU45" i="71" s="1"/>
  <c r="FG43" i="71"/>
  <c r="GG15" i="71"/>
  <c r="EH22" i="71"/>
  <c r="EN36" i="71"/>
  <c r="EN45" i="71" s="1"/>
  <c r="FM43" i="71"/>
  <c r="EM36" i="71"/>
  <c r="EH36" i="71"/>
  <c r="EG36" i="71"/>
  <c r="EG45" i="71" s="1"/>
  <c r="EV15" i="71"/>
  <c r="EV45" i="71" s="1"/>
  <c r="DP15" i="71"/>
  <c r="FE36" i="71"/>
  <c r="EO22" i="71"/>
  <c r="GP22" i="71"/>
  <c r="FW22" i="71"/>
  <c r="FW45" i="71" s="1"/>
  <c r="EY15" i="71"/>
  <c r="FC43" i="71"/>
  <c r="DV43" i="71"/>
  <c r="EH43" i="71"/>
  <c r="EZ15" i="71"/>
  <c r="EZ45" i="71" s="1"/>
  <c r="EN22" i="71"/>
  <c r="FJ43" i="71"/>
  <c r="FU43" i="71"/>
  <c r="EQ38" i="70"/>
  <c r="FK38" i="70"/>
  <c r="FK44" i="70" s="1"/>
  <c r="GG38" i="70"/>
  <c r="EF38" i="70"/>
  <c r="EF44" i="70" s="1"/>
  <c r="FU38" i="70"/>
  <c r="GG24" i="70"/>
  <c r="FJ24" i="70"/>
  <c r="FJ44" i="70" s="1"/>
  <c r="EB38" i="70"/>
  <c r="GE38" i="70"/>
  <c r="GE44" i="70" s="1"/>
  <c r="GB38" i="70"/>
  <c r="DP24" i="70"/>
  <c r="GF38" i="70"/>
  <c r="FC38" i="70"/>
  <c r="FY38" i="70"/>
  <c r="ER38" i="70"/>
  <c r="ER44" i="70" s="1"/>
  <c r="FZ24" i="70"/>
  <c r="FH24" i="70"/>
  <c r="FH44" i="70" s="1"/>
  <c r="EZ24" i="70"/>
  <c r="EZ44" i="70" s="1"/>
  <c r="EQ24" i="70"/>
  <c r="GP24" i="70"/>
  <c r="FI38" i="70"/>
  <c r="FI44" i="70" s="1"/>
  <c r="FW38" i="70"/>
  <c r="ED38" i="70"/>
  <c r="EP38" i="70"/>
  <c r="EP44" i="70" s="1"/>
  <c r="DX38" i="70"/>
  <c r="DX44" i="70" s="1"/>
  <c r="FY24" i="70"/>
  <c r="FG24" i="70"/>
  <c r="FG44" i="70" s="1"/>
  <c r="EY24" i="70"/>
  <c r="DR24" i="70"/>
  <c r="DR44" i="70" s="1"/>
  <c r="FC24" i="70"/>
  <c r="DZ38" i="70"/>
  <c r="EJ38" i="70"/>
  <c r="FD38" i="70"/>
  <c r="FD44" i="70" s="1"/>
  <c r="FZ38" i="70"/>
  <c r="EW38" i="70"/>
  <c r="EW44" i="70" s="1"/>
  <c r="EY38" i="70"/>
  <c r="DZ24" i="70"/>
  <c r="FB24" i="70"/>
  <c r="FM38" i="70"/>
  <c r="FM44" i="70" s="1"/>
  <c r="DZ20" i="69"/>
  <c r="DP20" i="69"/>
  <c r="GE20" i="69"/>
  <c r="ED20" i="69"/>
  <c r="ED45" i="69" s="1"/>
  <c r="FW20" i="69"/>
  <c r="FW45" i="69" s="1"/>
  <c r="EZ20" i="69"/>
  <c r="FO20" i="69"/>
  <c r="GP20" i="69"/>
  <c r="GP45" i="69" s="1"/>
  <c r="I55" i="69" s="1"/>
  <c r="EG20" i="69"/>
  <c r="GG20" i="69"/>
  <c r="GG45" i="69" s="1"/>
  <c r="GD20" i="69"/>
  <c r="FG20" i="69"/>
  <c r="FM20" i="69"/>
  <c r="EI20" i="69"/>
  <c r="EI45" i="69" s="1"/>
  <c r="FD20" i="69"/>
  <c r="FD45" i="69" s="1"/>
  <c r="EX20" i="69"/>
  <c r="EV20" i="69"/>
  <c r="EV45" i="69" s="1"/>
  <c r="EH20" i="69"/>
  <c r="EH45" i="69" s="1"/>
  <c r="EN20" i="69"/>
  <c r="EN45" i="69" s="1"/>
  <c r="EU20" i="69"/>
  <c r="EU45" i="69" s="1"/>
  <c r="FB27" i="69"/>
  <c r="FS27" i="69"/>
  <c r="GH27" i="69"/>
  <c r="EJ27" i="69"/>
  <c r="EJ45" i="69" s="1"/>
  <c r="FW27" i="69"/>
  <c r="GP27" i="69"/>
  <c r="EG27" i="69"/>
  <c r="EQ27" i="69"/>
  <c r="EQ45" i="69" s="1"/>
  <c r="FD27" i="69"/>
  <c r="FF27" i="69"/>
  <c r="FF45" i="69" s="1"/>
  <c r="DP27" i="69"/>
  <c r="DR27" i="69"/>
  <c r="DR45" i="69" s="1"/>
  <c r="FK27" i="69"/>
  <c r="FK45" i="69" s="1"/>
  <c r="GB27" i="69"/>
  <c r="GB45" i="69" s="1"/>
  <c r="EW41" i="68"/>
  <c r="EZ20" i="68"/>
  <c r="FM20" i="68"/>
  <c r="GP20" i="68"/>
  <c r="EN41" i="68"/>
  <c r="EZ41" i="68"/>
  <c r="GD41" i="68"/>
  <c r="DX41" i="68"/>
  <c r="EE41" i="68"/>
  <c r="GA41" i="68"/>
  <c r="ER41" i="68"/>
  <c r="FG41" i="68"/>
  <c r="EH41" i="68"/>
  <c r="EO41" i="68"/>
  <c r="EO44" i="68" s="1"/>
  <c r="GP41" i="68"/>
  <c r="EQ20" i="68"/>
  <c r="DR20" i="68"/>
  <c r="DR44" i="68" s="1"/>
  <c r="GD20" i="68"/>
  <c r="GD44" i="68" s="1"/>
  <c r="GI20" i="68"/>
  <c r="FZ41" i="68"/>
  <c r="EG34" i="68"/>
  <c r="FS34" i="68"/>
  <c r="FS44" i="68" s="1"/>
  <c r="DT34" i="68"/>
  <c r="DT44" i="68" s="1"/>
  <c r="EP34" i="68"/>
  <c r="EP44" i="68" s="1"/>
  <c r="DX34" i="68"/>
  <c r="FA34" i="68"/>
  <c r="FA44" i="68" s="1"/>
  <c r="GG34" i="68"/>
  <c r="GG44" i="68" s="1"/>
  <c r="EH34" i="68"/>
  <c r="EH44" i="68" s="1"/>
  <c r="DP34" i="68"/>
  <c r="GP34" i="68"/>
  <c r="FY34" i="68"/>
  <c r="DZ34" i="68"/>
  <c r="EE34" i="68"/>
  <c r="GH34" i="68"/>
  <c r="FG34" i="68"/>
  <c r="DR34" i="68"/>
  <c r="EJ34" i="68"/>
  <c r="GB34" i="68"/>
  <c r="GB44" i="68" s="1"/>
  <c r="FZ34" i="68"/>
  <c r="EY34" i="68"/>
  <c r="FJ34" i="68"/>
  <c r="FH34" i="68"/>
  <c r="EQ34" i="68"/>
  <c r="GI34" i="68"/>
  <c r="ED34" i="68"/>
  <c r="EZ34" i="68"/>
  <c r="EZ44" i="68" s="1"/>
  <c r="EI34" i="68"/>
  <c r="EI44" i="68" s="1"/>
  <c r="DV34" i="68"/>
  <c r="DV44" i="68" s="1"/>
  <c r="ER34" i="68"/>
  <c r="GF34" i="68"/>
  <c r="FF34" i="68"/>
  <c r="GA34" i="68"/>
  <c r="EB34" i="68"/>
  <c r="EX34" i="68"/>
  <c r="GE41" i="68"/>
  <c r="DX20" i="68"/>
  <c r="EJ20" i="68"/>
  <c r="EJ44" i="68" s="1"/>
  <c r="FD20" i="68"/>
  <c r="FD44" i="68" s="1"/>
  <c r="GH20" i="68"/>
  <c r="EW20" i="68"/>
  <c r="EW44" i="68" s="1"/>
  <c r="GG41" i="68"/>
  <c r="EF41" i="68"/>
  <c r="EJ41" i="68"/>
  <c r="FM41" i="68"/>
  <c r="GH41" i="68"/>
  <c r="GD34" i="68"/>
  <c r="FZ44" i="68"/>
  <c r="FS41" i="68"/>
  <c r="EE20" i="68"/>
  <c r="EI20" i="68"/>
  <c r="FK20" i="68"/>
  <c r="GG20" i="68"/>
  <c r="EF20" i="68"/>
  <c r="EF44" i="68" s="1"/>
  <c r="EX41" i="68"/>
  <c r="EM41" i="68"/>
  <c r="EQ41" i="68"/>
  <c r="FU41" i="68"/>
  <c r="FU44" i="68" s="1"/>
  <c r="FY44" i="68"/>
  <c r="FB41" i="68"/>
  <c r="GA20" i="68"/>
  <c r="GE20" i="68"/>
  <c r="FB20" i="68"/>
  <c r="EX20" i="68"/>
  <c r="EM20" i="68"/>
  <c r="EM44" i="68" s="1"/>
  <c r="FE41" i="68"/>
  <c r="FE44" i="68" s="1"/>
  <c r="GI41" i="68"/>
  <c r="DR41" i="68"/>
  <c r="FJ41" i="68"/>
  <c r="FJ44" i="68" s="1"/>
  <c r="GB45" i="73"/>
  <c r="FU45" i="73"/>
  <c r="EV45" i="73"/>
  <c r="DR45" i="73"/>
  <c r="EQ45" i="73"/>
  <c r="GA45" i="73"/>
  <c r="FC45" i="73"/>
  <c r="FI45" i="73"/>
  <c r="FW45" i="73"/>
  <c r="FH45" i="73"/>
  <c r="FJ45" i="73"/>
  <c r="FD45" i="66"/>
  <c r="EJ42" i="65"/>
  <c r="GF42" i="65"/>
  <c r="FO42" i="65"/>
  <c r="FO44" i="65" s="1"/>
  <c r="DV42" i="65"/>
  <c r="DV44" i="65" s="1"/>
  <c r="EN42" i="65"/>
  <c r="EU42" i="65"/>
  <c r="EU44" i="65" s="1"/>
  <c r="FZ44" i="65"/>
  <c r="FZ42" i="65"/>
  <c r="FF44" i="65"/>
  <c r="GC18" i="63"/>
  <c r="FS18" i="63"/>
  <c r="FG18" i="63"/>
  <c r="EY18" i="63"/>
  <c r="EQ18" i="63"/>
  <c r="EI18" i="63"/>
  <c r="GG18" i="63"/>
  <c r="EE18" i="63"/>
  <c r="GB18" i="63"/>
  <c r="FF18" i="63"/>
  <c r="EX18" i="63"/>
  <c r="EP18" i="63"/>
  <c r="EH18" i="63"/>
  <c r="DZ18" i="63"/>
  <c r="DR18" i="63"/>
  <c r="FC18" i="63"/>
  <c r="GI18" i="63"/>
  <c r="GA18" i="63"/>
  <c r="FO18" i="63"/>
  <c r="FE18" i="63"/>
  <c r="EW18" i="63"/>
  <c r="EO18" i="63"/>
  <c r="EG18" i="63"/>
  <c r="DP18" i="63"/>
  <c r="FK18" i="63"/>
  <c r="GH18" i="63"/>
  <c r="FZ18" i="63"/>
  <c r="FM18" i="63"/>
  <c r="FD18" i="63"/>
  <c r="EV18" i="63"/>
  <c r="EN18" i="63"/>
  <c r="EF18" i="63"/>
  <c r="DX18" i="63"/>
  <c r="GP18" i="63"/>
  <c r="EU18" i="63"/>
  <c r="FI18" i="63"/>
  <c r="GF18" i="63"/>
  <c r="FW18" i="63"/>
  <c r="FJ18" i="63"/>
  <c r="FB18" i="63"/>
  <c r="ED18" i="63"/>
  <c r="DV18" i="63"/>
  <c r="GE18" i="63"/>
  <c r="FU18" i="63"/>
  <c r="GD18" i="63"/>
  <c r="FT18" i="63"/>
  <c r="FH18" i="63"/>
  <c r="EZ18" i="63"/>
  <c r="ER18" i="63"/>
  <c r="EJ18" i="63"/>
  <c r="EB18" i="63"/>
  <c r="DT18" i="63"/>
  <c r="FY18" i="63"/>
  <c r="EM18" i="63"/>
  <c r="FA18" i="63"/>
  <c r="ED45" i="66"/>
  <c r="EW45" i="66"/>
  <c r="FY45" i="66"/>
  <c r="FC45" i="66"/>
  <c r="GI44" i="65"/>
  <c r="GC44" i="65"/>
  <c r="DP44" i="65"/>
  <c r="EG44" i="65"/>
  <c r="FT44" i="65"/>
  <c r="EN45" i="73"/>
  <c r="FZ45" i="73"/>
  <c r="GA44" i="72"/>
  <c r="DZ45" i="69"/>
  <c r="EE45" i="69"/>
  <c r="DP44" i="68"/>
  <c r="DR44" i="65"/>
  <c r="EV44" i="65"/>
  <c r="DZ44" i="65"/>
  <c r="EQ44" i="65"/>
  <c r="FI44" i="65"/>
  <c r="DT44" i="65"/>
  <c r="GB44" i="65"/>
  <c r="FW44" i="65"/>
  <c r="GE45" i="66"/>
  <c r="EU45" i="66"/>
  <c r="EX45" i="73"/>
  <c r="DZ45" i="73"/>
  <c r="GF45" i="73"/>
  <c r="ER44" i="68"/>
  <c r="FU45" i="69"/>
  <c r="FM45" i="73"/>
  <c r="EP45" i="73"/>
  <c r="GC45" i="73"/>
  <c r="FD45" i="73"/>
  <c r="FI45" i="69"/>
  <c r="EI45" i="73"/>
  <c r="GD45" i="73"/>
  <c r="GE45" i="73"/>
  <c r="FE45" i="73"/>
  <c r="FK45" i="73"/>
  <c r="EB45" i="73"/>
  <c r="DT45" i="73"/>
  <c r="FO45" i="73"/>
  <c r="DP44" i="72"/>
  <c r="GE45" i="69"/>
  <c r="DV45" i="69"/>
  <c r="FS45" i="69"/>
  <c r="FM45" i="69"/>
  <c r="DX45" i="69"/>
  <c r="Q71" i="69" s="1"/>
  <c r="FA45" i="69"/>
  <c r="EY45" i="69"/>
  <c r="P77" i="69" s="1"/>
  <c r="EZ45" i="69"/>
  <c r="EX45" i="69"/>
  <c r="EP45" i="69"/>
  <c r="FY45" i="69"/>
  <c r="FH45" i="69"/>
  <c r="FZ45" i="69"/>
  <c r="ER45" i="69"/>
  <c r="GA45" i="69"/>
  <c r="GC45" i="69"/>
  <c r="FG45" i="69"/>
  <c r="EM45" i="69"/>
  <c r="FC45" i="69"/>
  <c r="EU44" i="68"/>
  <c r="FI44" i="68"/>
  <c r="EB44" i="68"/>
  <c r="FF44" i="68"/>
  <c r="GA44" i="68"/>
  <c r="FO44" i="68"/>
  <c r="FI45" i="66"/>
  <c r="FS45" i="66"/>
  <c r="EJ45" i="66"/>
  <c r="GA45" i="66"/>
  <c r="EY45" i="66"/>
  <c r="ER45" i="66"/>
  <c r="FG45" i="66"/>
  <c r="GD45" i="66"/>
  <c r="EI45" i="66"/>
  <c r="DP45" i="66"/>
  <c r="DR45" i="66"/>
  <c r="EQ45" i="66"/>
  <c r="EE45" i="66"/>
  <c r="DX45" i="66"/>
  <c r="Q71" i="66" s="1"/>
  <c r="EG45" i="66"/>
  <c r="EB45" i="66"/>
  <c r="GB45" i="66"/>
  <c r="FO45" i="66"/>
  <c r="EN45" i="66"/>
  <c r="FK45" i="66"/>
  <c r="GP44" i="65"/>
  <c r="I54" i="65" s="1"/>
  <c r="FH44" i="65"/>
  <c r="GG44" i="65"/>
  <c r="GH44" i="65"/>
  <c r="FA44" i="65"/>
  <c r="FM44" i="65"/>
  <c r="FJ44" i="65"/>
  <c r="EI44" i="65"/>
  <c r="FU44" i="65"/>
  <c r="EB44" i="65"/>
  <c r="FC44" i="65"/>
  <c r="GE44" i="65"/>
  <c r="EP44" i="65"/>
  <c r="FG44" i="65"/>
  <c r="FZ45" i="64"/>
  <c r="FD44" i="65"/>
  <c r="EH44" i="65"/>
  <c r="EY44" i="65"/>
  <c r="FS44" i="65"/>
  <c r="EE44" i="65"/>
  <c r="GA44" i="65"/>
  <c r="GD44" i="65"/>
  <c r="EX44" i="65"/>
  <c r="FY44" i="65"/>
  <c r="EJ44" i="65"/>
  <c r="EM44" i="65"/>
  <c r="EO44" i="65"/>
  <c r="ER44" i="65"/>
  <c r="FB44" i="65"/>
  <c r="DX44" i="65"/>
  <c r="FE44" i="65"/>
  <c r="GF44" i="65"/>
  <c r="EZ44" i="65"/>
  <c r="EF44" i="65"/>
  <c r="EW44" i="65"/>
  <c r="FK44" i="65"/>
  <c r="EN44" i="65"/>
  <c r="DZ45" i="66"/>
  <c r="GI45" i="66"/>
  <c r="EM45" i="66"/>
  <c r="EH45" i="66"/>
  <c r="DV45" i="66"/>
  <c r="EF45" i="66"/>
  <c r="FH45" i="66"/>
  <c r="FE45" i="66"/>
  <c r="EX45" i="66"/>
  <c r="GG45" i="66"/>
  <c r="FZ45" i="66"/>
  <c r="FB45" i="66"/>
  <c r="EO45" i="66"/>
  <c r="FF45" i="66"/>
  <c r="GP45" i="66"/>
  <c r="I55" i="66" s="1"/>
  <c r="GH45" i="66"/>
  <c r="FJ45" i="66"/>
  <c r="FU45" i="66"/>
  <c r="EP45" i="66"/>
  <c r="FM45" i="66"/>
  <c r="FW45" i="66"/>
  <c r="GF45" i="66"/>
  <c r="DT45" i="66"/>
  <c r="FA45" i="66"/>
  <c r="FT45" i="66"/>
  <c r="GC45" i="66"/>
  <c r="DV45" i="67"/>
  <c r="DR45" i="67"/>
  <c r="GC45" i="67"/>
  <c r="DP45" i="69"/>
  <c r="GH45" i="69"/>
  <c r="EF45" i="69"/>
  <c r="EO45" i="69"/>
  <c r="GF45" i="69"/>
  <c r="DT45" i="69"/>
  <c r="FB45" i="69"/>
  <c r="EW45" i="69"/>
  <c r="EB45" i="69"/>
  <c r="FJ45" i="69"/>
  <c r="GD45" i="69"/>
  <c r="FE45" i="69"/>
  <c r="FT45" i="69"/>
  <c r="FO45" i="69"/>
  <c r="GI45" i="69"/>
  <c r="DT44" i="72"/>
  <c r="GG44" i="72"/>
  <c r="FB45" i="73"/>
  <c r="FC44" i="68"/>
  <c r="FF45" i="73"/>
  <c r="EJ44" i="72"/>
  <c r="EG44" i="72"/>
  <c r="ER44" i="72"/>
  <c r="EH44" i="70"/>
  <c r="P77" i="66"/>
  <c r="EY44" i="68"/>
  <c r="P75" i="68" s="1"/>
  <c r="FM44" i="68"/>
  <c r="FK44" i="68"/>
  <c r="P74" i="73"/>
  <c r="GF44" i="68"/>
  <c r="DZ44" i="72"/>
  <c r="EB44" i="70"/>
  <c r="DZ44" i="68"/>
  <c r="Q69" i="68" s="1"/>
  <c r="DP45" i="64"/>
  <c r="Q70" i="65"/>
  <c r="ED45" i="64"/>
  <c r="FY45" i="64"/>
  <c r="DZ45" i="64"/>
  <c r="DZ44" i="70"/>
  <c r="GP44" i="72"/>
  <c r="I54" i="72" s="1"/>
  <c r="FK44" i="72"/>
  <c r="FW44" i="72"/>
  <c r="FH44" i="68"/>
  <c r="P77" i="68" s="1"/>
  <c r="EM45" i="67"/>
  <c r="EE45" i="67"/>
  <c r="FC45" i="67"/>
  <c r="DZ45" i="67"/>
  <c r="DP45" i="67"/>
  <c r="EU45" i="67"/>
  <c r="DX45" i="67"/>
  <c r="EN45" i="67"/>
  <c r="FE45" i="67"/>
  <c r="EX45" i="67"/>
  <c r="GP45" i="64"/>
  <c r="I55" i="64" s="1"/>
  <c r="EY33" i="63"/>
  <c r="EZ33" i="63"/>
  <c r="DV33" i="63"/>
  <c r="FU44" i="72"/>
  <c r="EY44" i="72"/>
  <c r="DP44" i="70"/>
  <c r="GA44" i="70"/>
  <c r="DV44" i="70"/>
  <c r="FE44" i="70"/>
  <c r="EX44" i="70"/>
  <c r="GP44" i="70"/>
  <c r="I54" i="70" s="1"/>
  <c r="DT44" i="70"/>
  <c r="GP45" i="67"/>
  <c r="I55" i="67" s="1"/>
  <c r="FZ45" i="67"/>
  <c r="ED45" i="67"/>
  <c r="DX45" i="64"/>
  <c r="Q71" i="64" s="1"/>
  <c r="GA45" i="64"/>
  <c r="EJ44" i="70"/>
  <c r="FS44" i="70"/>
  <c r="GB44" i="70"/>
  <c r="Q78" i="73"/>
  <c r="P78" i="72"/>
  <c r="FK45" i="67"/>
  <c r="Q76" i="68"/>
  <c r="EV45" i="67"/>
  <c r="FO45" i="67"/>
  <c r="GF44" i="70"/>
  <c r="P76" i="72"/>
  <c r="EX45" i="64"/>
  <c r="FH45" i="67"/>
  <c r="GB45" i="64"/>
  <c r="GE45" i="64"/>
  <c r="EI44" i="70"/>
  <c r="GD44" i="70"/>
  <c r="Q75" i="72"/>
  <c r="FU45" i="64"/>
  <c r="FW44" i="70"/>
  <c r="Q76" i="66"/>
  <c r="FJ45" i="67"/>
  <c r="Q74" i="68"/>
  <c r="FO45" i="64"/>
  <c r="GG45" i="67"/>
  <c r="FC45" i="64"/>
  <c r="GC45" i="64"/>
  <c r="EG45" i="67"/>
  <c r="EQ45" i="67"/>
  <c r="FM45" i="64"/>
  <c r="EO45" i="67"/>
  <c r="FS45" i="71"/>
  <c r="FE45" i="71"/>
  <c r="GD45" i="64"/>
  <c r="FB45" i="67"/>
  <c r="EH45" i="67"/>
  <c r="EO44" i="70"/>
  <c r="GI44" i="70"/>
  <c r="EM44" i="70"/>
  <c r="GC45" i="71"/>
  <c r="FS45" i="67"/>
  <c r="EN44" i="70"/>
  <c r="EX45" i="71"/>
  <c r="FW45" i="64"/>
  <c r="GF45" i="64"/>
  <c r="GB45" i="67"/>
  <c r="FD45" i="67"/>
  <c r="FW45" i="67"/>
  <c r="FF45" i="67"/>
  <c r="FO44" i="70"/>
  <c r="GH44" i="70"/>
  <c r="FB44" i="70"/>
  <c r="EJ45" i="67"/>
  <c r="GF45" i="67"/>
  <c r="FA44" i="70"/>
  <c r="FU44" i="70"/>
  <c r="P72" i="68"/>
  <c r="GH45" i="67"/>
  <c r="ER45" i="67"/>
  <c r="FT44" i="70"/>
  <c r="GC44" i="70"/>
  <c r="FF44" i="70"/>
  <c r="ED44" i="70"/>
  <c r="FC44" i="70"/>
  <c r="EV44" i="70"/>
  <c r="EG44" i="70"/>
  <c r="EE44" i="70"/>
  <c r="GD45" i="71"/>
  <c r="FI45" i="71"/>
  <c r="FG45" i="71"/>
  <c r="EE45" i="71"/>
  <c r="GP45" i="71"/>
  <c r="I55" i="71" s="1"/>
  <c r="FA45" i="71"/>
  <c r="FB45" i="71"/>
  <c r="EO45" i="71"/>
  <c r="EQ45" i="71"/>
  <c r="GB45" i="71"/>
  <c r="EW45" i="71"/>
  <c r="EU44" i="70"/>
  <c r="EB45" i="67"/>
  <c r="GD45" i="67"/>
  <c r="EI45" i="67"/>
  <c r="FU45" i="67"/>
  <c r="DT45" i="67"/>
  <c r="FA45" i="67"/>
  <c r="EY45" i="67"/>
  <c r="FM45" i="67"/>
  <c r="GE45" i="67"/>
  <c r="FI45" i="67"/>
  <c r="FT45" i="67"/>
  <c r="GI45" i="67"/>
  <c r="EZ45" i="67"/>
  <c r="EF45" i="67"/>
  <c r="EW45" i="67"/>
  <c r="Q76" i="67" s="1"/>
  <c r="FG45" i="67"/>
  <c r="P79" i="67" s="1"/>
  <c r="EP45" i="67"/>
  <c r="FY45" i="67"/>
  <c r="GA45" i="67"/>
  <c r="FK45" i="64"/>
  <c r="EV45" i="64"/>
  <c r="FB45" i="64"/>
  <c r="EG45" i="64"/>
  <c r="EY45" i="64"/>
  <c r="P77" i="64" s="1"/>
  <c r="ER45" i="64"/>
  <c r="FD45" i="64"/>
  <c r="FJ45" i="64"/>
  <c r="FA45" i="64"/>
  <c r="EF45" i="64"/>
  <c r="EW45" i="64"/>
  <c r="EP45" i="64"/>
  <c r="FH45" i="64"/>
  <c r="EI45" i="64"/>
  <c r="EE45" i="64"/>
  <c r="EO45" i="64"/>
  <c r="EH45" i="64"/>
  <c r="FG45" i="64"/>
  <c r="EZ45" i="64"/>
  <c r="FT45" i="64"/>
  <c r="FS45" i="64"/>
  <c r="EJ45" i="64"/>
  <c r="EM45" i="64"/>
  <c r="FI45" i="64"/>
  <c r="EB45" i="64"/>
  <c r="DV45" i="64"/>
  <c r="EU45" i="64"/>
  <c r="Q76" i="64" s="1"/>
  <c r="EN45" i="64"/>
  <c r="FE45" i="64"/>
  <c r="GG45" i="64"/>
  <c r="DR45" i="64"/>
  <c r="EQ45" i="64"/>
  <c r="FF45" i="64"/>
  <c r="GH45" i="64"/>
  <c r="GI45" i="64"/>
  <c r="DT45" i="64"/>
  <c r="P79" i="73"/>
  <c r="Q77" i="72"/>
  <c r="P77" i="73"/>
  <c r="Q76" i="73"/>
  <c r="P74" i="66"/>
  <c r="EH33" i="63"/>
  <c r="FG33" i="63"/>
  <c r="EN33" i="63"/>
  <c r="EW33" i="63"/>
  <c r="FS33" i="63"/>
  <c r="FT33" i="63"/>
  <c r="FB33" i="63"/>
  <c r="FK33" i="63"/>
  <c r="EV33" i="63"/>
  <c r="FE33" i="63"/>
  <c r="EX33" i="63"/>
  <c r="EO33" i="63"/>
  <c r="ED33" i="63"/>
  <c r="EP33" i="63"/>
  <c r="GC33" i="63"/>
  <c r="GD33" i="63"/>
  <c r="FJ33" i="63"/>
  <c r="FY33" i="63"/>
  <c r="FD33" i="63"/>
  <c r="FO33" i="63"/>
  <c r="FF33" i="63"/>
  <c r="EU33" i="63"/>
  <c r="FH33" i="63"/>
  <c r="DT33" i="63"/>
  <c r="FA33" i="63"/>
  <c r="FW33" i="63"/>
  <c r="GG33" i="63"/>
  <c r="FM33" i="63"/>
  <c r="GA33" i="63"/>
  <c r="GB33" i="63"/>
  <c r="EF33" i="63"/>
  <c r="FC33" i="63"/>
  <c r="EB33" i="63"/>
  <c r="FI33" i="63"/>
  <c r="GF33" i="63"/>
  <c r="GP33" i="63"/>
  <c r="FZ33" i="63"/>
  <c r="GI33" i="63"/>
  <c r="EI33" i="63"/>
  <c r="EJ33" i="63"/>
  <c r="FU33" i="63"/>
  <c r="EE33" i="63"/>
  <c r="DP33" i="63"/>
  <c r="GH33" i="63"/>
  <c r="DR33" i="63"/>
  <c r="EQ33" i="63"/>
  <c r="ER33" i="63"/>
  <c r="GE33" i="63"/>
  <c r="EM33" i="63"/>
  <c r="DX33" i="63"/>
  <c r="EG33" i="63"/>
  <c r="GC40" i="63"/>
  <c r="FS40" i="63"/>
  <c r="FG40" i="63"/>
  <c r="EY40" i="63"/>
  <c r="EQ40" i="63"/>
  <c r="EI40" i="63"/>
  <c r="GB40" i="63"/>
  <c r="FF40" i="63"/>
  <c r="EX40" i="63"/>
  <c r="EP40" i="63"/>
  <c r="EH40" i="63"/>
  <c r="DZ40" i="63"/>
  <c r="DR40" i="63"/>
  <c r="GI40" i="63"/>
  <c r="GA40" i="63"/>
  <c r="FO40" i="63"/>
  <c r="FE40" i="63"/>
  <c r="EW40" i="63"/>
  <c r="EO40" i="63"/>
  <c r="EG40" i="63"/>
  <c r="GH40" i="63"/>
  <c r="FZ40" i="63"/>
  <c r="FM40" i="63"/>
  <c r="FD40" i="63"/>
  <c r="EV40" i="63"/>
  <c r="EN40" i="63"/>
  <c r="EF40" i="63"/>
  <c r="DX40" i="63"/>
  <c r="DP40" i="63"/>
  <c r="GP40" i="63"/>
  <c r="GG40" i="63"/>
  <c r="FY40" i="63"/>
  <c r="FK40" i="63"/>
  <c r="FC40" i="63"/>
  <c r="EU40" i="63"/>
  <c r="EM40" i="63"/>
  <c r="EE40" i="63"/>
  <c r="GF40" i="63"/>
  <c r="FW40" i="63"/>
  <c r="FJ40" i="63"/>
  <c r="FB40" i="63"/>
  <c r="ED40" i="63"/>
  <c r="DV40" i="63"/>
  <c r="GE40" i="63"/>
  <c r="FU40" i="63"/>
  <c r="FI40" i="63"/>
  <c r="FA40" i="63"/>
  <c r="GD40" i="63"/>
  <c r="FT40" i="63"/>
  <c r="FH40" i="63"/>
  <c r="EZ40" i="63"/>
  <c r="ER40" i="63"/>
  <c r="EJ40" i="63"/>
  <c r="EB40" i="63"/>
  <c r="DT40" i="63"/>
  <c r="GB41" i="63"/>
  <c r="FF41" i="63"/>
  <c r="EX41" i="63"/>
  <c r="EP41" i="63"/>
  <c r="EH41" i="63"/>
  <c r="DZ41" i="63"/>
  <c r="DR41" i="63"/>
  <c r="GI41" i="63"/>
  <c r="GA41" i="63"/>
  <c r="FO41" i="63"/>
  <c r="FE41" i="63"/>
  <c r="EW41" i="63"/>
  <c r="EO41" i="63"/>
  <c r="EG41" i="63"/>
  <c r="GH41" i="63"/>
  <c r="FZ41" i="63"/>
  <c r="FM41" i="63"/>
  <c r="FD41" i="63"/>
  <c r="EV41" i="63"/>
  <c r="EN41" i="63"/>
  <c r="EF41" i="63"/>
  <c r="DX41" i="63"/>
  <c r="DP41" i="63"/>
  <c r="GP41" i="63"/>
  <c r="GG41" i="63"/>
  <c r="FY41" i="63"/>
  <c r="FK41" i="63"/>
  <c r="FC41" i="63"/>
  <c r="EU41" i="63"/>
  <c r="EM41" i="63"/>
  <c r="EE41" i="63"/>
  <c r="GF41" i="63"/>
  <c r="FW41" i="63"/>
  <c r="FJ41" i="63"/>
  <c r="FB41" i="63"/>
  <c r="ED41" i="63"/>
  <c r="DV41" i="63"/>
  <c r="GE41" i="63"/>
  <c r="FU41" i="63"/>
  <c r="FI41" i="63"/>
  <c r="FA41" i="63"/>
  <c r="GD41" i="63"/>
  <c r="FT41" i="63"/>
  <c r="FH41" i="63"/>
  <c r="EZ41" i="63"/>
  <c r="ER41" i="63"/>
  <c r="EJ41" i="63"/>
  <c r="EB41" i="63"/>
  <c r="DT41" i="63"/>
  <c r="GC41" i="63"/>
  <c r="FS41" i="63"/>
  <c r="FG41" i="63"/>
  <c r="EY41" i="63"/>
  <c r="EQ41" i="63"/>
  <c r="EI41" i="63"/>
  <c r="GI26" i="63"/>
  <c r="GA26" i="63"/>
  <c r="FO26" i="63"/>
  <c r="FE26" i="63"/>
  <c r="EW26" i="63"/>
  <c r="EO26" i="63"/>
  <c r="EG26" i="63"/>
  <c r="GH26" i="63"/>
  <c r="FZ26" i="63"/>
  <c r="FM26" i="63"/>
  <c r="FD26" i="63"/>
  <c r="EV26" i="63"/>
  <c r="EN26" i="63"/>
  <c r="EF26" i="63"/>
  <c r="DX26" i="63"/>
  <c r="DP26" i="63"/>
  <c r="GP26" i="63"/>
  <c r="GG26" i="63"/>
  <c r="FY26" i="63"/>
  <c r="FK26" i="63"/>
  <c r="FC26" i="63"/>
  <c r="EU26" i="63"/>
  <c r="EM26" i="63"/>
  <c r="EE26" i="63"/>
  <c r="GF26" i="63"/>
  <c r="FW26" i="63"/>
  <c r="FJ26" i="63"/>
  <c r="FB26" i="63"/>
  <c r="ED26" i="63"/>
  <c r="DV26" i="63"/>
  <c r="GE26" i="63"/>
  <c r="FU26" i="63"/>
  <c r="FI26" i="63"/>
  <c r="FA26" i="63"/>
  <c r="GD26" i="63"/>
  <c r="FT26" i="63"/>
  <c r="FH26" i="63"/>
  <c r="EZ26" i="63"/>
  <c r="ER26" i="63"/>
  <c r="EJ26" i="63"/>
  <c r="EB26" i="63"/>
  <c r="DT26" i="63"/>
  <c r="GC26" i="63"/>
  <c r="FS26" i="63"/>
  <c r="FG26" i="63"/>
  <c r="EY26" i="63"/>
  <c r="EQ26" i="63"/>
  <c r="EI26" i="63"/>
  <c r="GB26" i="63"/>
  <c r="FF26" i="63"/>
  <c r="EX26" i="63"/>
  <c r="EP26" i="63"/>
  <c r="EH26" i="63"/>
  <c r="DZ26" i="63"/>
  <c r="DR26" i="63"/>
  <c r="GH19" i="63"/>
  <c r="FZ19" i="63"/>
  <c r="FM19" i="63"/>
  <c r="FD19" i="63"/>
  <c r="EV19" i="63"/>
  <c r="EN19" i="63"/>
  <c r="EF19" i="63"/>
  <c r="DX19" i="63"/>
  <c r="DP19" i="63"/>
  <c r="EG19" i="63"/>
  <c r="GP19" i="63"/>
  <c r="GG19" i="63"/>
  <c r="FY19" i="63"/>
  <c r="FK19" i="63"/>
  <c r="FC19" i="63"/>
  <c r="EU19" i="63"/>
  <c r="EM19" i="63"/>
  <c r="EE19" i="63"/>
  <c r="EO19" i="63"/>
  <c r="GF19" i="63"/>
  <c r="FW19" i="63"/>
  <c r="FJ19" i="63"/>
  <c r="FB19" i="63"/>
  <c r="ED19" i="63"/>
  <c r="DV19" i="63"/>
  <c r="GE19" i="63"/>
  <c r="FU19" i="63"/>
  <c r="FI19" i="63"/>
  <c r="FA19" i="63"/>
  <c r="GD19" i="63"/>
  <c r="FT19" i="63"/>
  <c r="FH19" i="63"/>
  <c r="EZ19" i="63"/>
  <c r="ER19" i="63"/>
  <c r="EJ19" i="63"/>
  <c r="EB19" i="63"/>
  <c r="DT19" i="63"/>
  <c r="FO19" i="63"/>
  <c r="GC19" i="63"/>
  <c r="FS19" i="63"/>
  <c r="FG19" i="63"/>
  <c r="EY19" i="63"/>
  <c r="EQ19" i="63"/>
  <c r="EI19" i="63"/>
  <c r="GA19" i="63"/>
  <c r="GB19" i="63"/>
  <c r="FF19" i="63"/>
  <c r="EX19" i="63"/>
  <c r="EP19" i="63"/>
  <c r="EH19" i="63"/>
  <c r="DZ19" i="63"/>
  <c r="DR19" i="63"/>
  <c r="GI19" i="63"/>
  <c r="FE19" i="63"/>
  <c r="EW19" i="63"/>
  <c r="GH27" i="63"/>
  <c r="FZ27" i="63"/>
  <c r="FM27" i="63"/>
  <c r="FD27" i="63"/>
  <c r="EV27" i="63"/>
  <c r="EN27" i="63"/>
  <c r="EF27" i="63"/>
  <c r="DX27" i="63"/>
  <c r="DP27" i="63"/>
  <c r="GP27" i="63"/>
  <c r="GG27" i="63"/>
  <c r="FY27" i="63"/>
  <c r="FK27" i="63"/>
  <c r="FC27" i="63"/>
  <c r="EU27" i="63"/>
  <c r="EM27" i="63"/>
  <c r="EE27" i="63"/>
  <c r="GF27" i="63"/>
  <c r="FW27" i="63"/>
  <c r="FJ27" i="63"/>
  <c r="FB27" i="63"/>
  <c r="ED27" i="63"/>
  <c r="DV27" i="63"/>
  <c r="GE27" i="63"/>
  <c r="FU27" i="63"/>
  <c r="FI27" i="63"/>
  <c r="FA27" i="63"/>
  <c r="GD27" i="63"/>
  <c r="FT27" i="63"/>
  <c r="FH27" i="63"/>
  <c r="EZ27" i="63"/>
  <c r="ER27" i="63"/>
  <c r="EJ27" i="63"/>
  <c r="EB27" i="63"/>
  <c r="DT27" i="63"/>
  <c r="GC27" i="63"/>
  <c r="FS27" i="63"/>
  <c r="FG27" i="63"/>
  <c r="EY27" i="63"/>
  <c r="EQ27" i="63"/>
  <c r="EI27" i="63"/>
  <c r="GB27" i="63"/>
  <c r="FF27" i="63"/>
  <c r="EX27" i="63"/>
  <c r="EP27" i="63"/>
  <c r="EH27" i="63"/>
  <c r="DZ27" i="63"/>
  <c r="DR27" i="63"/>
  <c r="GI27" i="63"/>
  <c r="GA27" i="63"/>
  <c r="FO27" i="63"/>
  <c r="FE27" i="63"/>
  <c r="EW27" i="63"/>
  <c r="EO27" i="63"/>
  <c r="EG27" i="63"/>
  <c r="GI34" i="63"/>
  <c r="GA34" i="63"/>
  <c r="FO34" i="63"/>
  <c r="FE34" i="63"/>
  <c r="EW34" i="63"/>
  <c r="EO34" i="63"/>
  <c r="EG34" i="63"/>
  <c r="GH34" i="63"/>
  <c r="FZ34" i="63"/>
  <c r="FM34" i="63"/>
  <c r="FD34" i="63"/>
  <c r="EV34" i="63"/>
  <c r="EN34" i="63"/>
  <c r="EF34" i="63"/>
  <c r="DX34" i="63"/>
  <c r="DP34" i="63"/>
  <c r="GP34" i="63"/>
  <c r="GG34" i="63"/>
  <c r="FY34" i="63"/>
  <c r="FK34" i="63"/>
  <c r="FC34" i="63"/>
  <c r="EU34" i="63"/>
  <c r="EM34" i="63"/>
  <c r="EE34" i="63"/>
  <c r="GF34" i="63"/>
  <c r="FW34" i="63"/>
  <c r="FJ34" i="63"/>
  <c r="FB34" i="63"/>
  <c r="ED34" i="63"/>
  <c r="DV34" i="63"/>
  <c r="GE34" i="63"/>
  <c r="FU34" i="63"/>
  <c r="FI34" i="63"/>
  <c r="FA34" i="63"/>
  <c r="GD34" i="63"/>
  <c r="FT34" i="63"/>
  <c r="FH34" i="63"/>
  <c r="EZ34" i="63"/>
  <c r="ER34" i="63"/>
  <c r="EJ34" i="63"/>
  <c r="EB34" i="63"/>
  <c r="DT34" i="63"/>
  <c r="GC34" i="63"/>
  <c r="FS34" i="63"/>
  <c r="FG34" i="63"/>
  <c r="EY34" i="63"/>
  <c r="EQ34" i="63"/>
  <c r="EI34" i="63"/>
  <c r="GB34" i="63"/>
  <c r="FF34" i="63"/>
  <c r="EX34" i="63"/>
  <c r="EP34" i="63"/>
  <c r="EH34" i="63"/>
  <c r="DZ34" i="63"/>
  <c r="DR34" i="63"/>
  <c r="GN16" i="41"/>
  <c r="GN17" i="41"/>
  <c r="GN18" i="41"/>
  <c r="GN19" i="41"/>
  <c r="GN20" i="41"/>
  <c r="GN21" i="41"/>
  <c r="GN22" i="41"/>
  <c r="GN23" i="41"/>
  <c r="GN24" i="41"/>
  <c r="GN25" i="41"/>
  <c r="GN26" i="41"/>
  <c r="GN27" i="41"/>
  <c r="GN28" i="41"/>
  <c r="GN29" i="41"/>
  <c r="GN30" i="41"/>
  <c r="GN31" i="41"/>
  <c r="GN32" i="41"/>
  <c r="GN33" i="41"/>
  <c r="GN34" i="41"/>
  <c r="GN35" i="41"/>
  <c r="GN36" i="41"/>
  <c r="GN37" i="41"/>
  <c r="GN38" i="41"/>
  <c r="GN39" i="41"/>
  <c r="GN40" i="41"/>
  <c r="GN41" i="41"/>
  <c r="GN42" i="41"/>
  <c r="GN43" i="41"/>
  <c r="GN44" i="41"/>
  <c r="GN45" i="41"/>
  <c r="GN15" i="41"/>
  <c r="GJ15" i="41"/>
  <c r="GK16" i="41"/>
  <c r="GL16" i="41"/>
  <c r="GM16" i="41"/>
  <c r="GK17" i="41"/>
  <c r="GL17" i="41"/>
  <c r="GM17" i="41"/>
  <c r="GK18" i="41"/>
  <c r="GL18" i="41"/>
  <c r="GM18" i="41"/>
  <c r="GK19" i="41"/>
  <c r="GL19" i="41"/>
  <c r="GM19" i="41"/>
  <c r="GK20" i="41"/>
  <c r="GL20" i="41"/>
  <c r="GM20" i="41"/>
  <c r="GK21" i="41"/>
  <c r="GL21" i="41"/>
  <c r="GM21" i="41"/>
  <c r="GK22" i="41"/>
  <c r="GL22" i="41"/>
  <c r="GM22" i="41"/>
  <c r="GK23" i="41"/>
  <c r="GL23" i="41"/>
  <c r="GM23" i="41"/>
  <c r="GK24" i="41"/>
  <c r="GL24" i="41"/>
  <c r="GM24" i="41"/>
  <c r="GK25" i="41"/>
  <c r="GL25" i="41"/>
  <c r="GM25" i="41"/>
  <c r="GK26" i="41"/>
  <c r="GL26" i="41"/>
  <c r="GM26" i="41"/>
  <c r="GK27" i="41"/>
  <c r="GL27" i="41"/>
  <c r="GM27" i="41"/>
  <c r="GK28" i="41"/>
  <c r="GL28" i="41"/>
  <c r="GM28" i="41"/>
  <c r="GK29" i="41"/>
  <c r="GL29" i="41"/>
  <c r="GM29" i="41"/>
  <c r="GK30" i="41"/>
  <c r="GL30" i="41"/>
  <c r="GM30" i="41"/>
  <c r="GK31" i="41"/>
  <c r="GL31" i="41"/>
  <c r="GM31" i="41"/>
  <c r="GK32" i="41"/>
  <c r="GL32" i="41"/>
  <c r="GM32" i="41"/>
  <c r="GK33" i="41"/>
  <c r="GL33" i="41"/>
  <c r="GM33" i="41"/>
  <c r="GK34" i="41"/>
  <c r="GL34" i="41"/>
  <c r="GM34" i="41"/>
  <c r="GK35" i="41"/>
  <c r="GL35" i="41"/>
  <c r="GM35" i="41"/>
  <c r="GK36" i="41"/>
  <c r="GL36" i="41"/>
  <c r="GM36" i="41"/>
  <c r="GK37" i="41"/>
  <c r="GL37" i="41"/>
  <c r="GM37" i="41"/>
  <c r="GK38" i="41"/>
  <c r="GL38" i="41"/>
  <c r="GM38" i="41"/>
  <c r="GK39" i="41"/>
  <c r="GL39" i="41"/>
  <c r="GM39" i="41"/>
  <c r="GK40" i="41"/>
  <c r="GL40" i="41"/>
  <c r="GM40" i="41"/>
  <c r="GK41" i="41"/>
  <c r="GL41" i="41"/>
  <c r="GM41" i="41"/>
  <c r="GK42" i="41"/>
  <c r="GL42" i="41"/>
  <c r="GM42" i="41"/>
  <c r="GK43" i="41"/>
  <c r="GL43" i="41"/>
  <c r="GM43" i="41"/>
  <c r="GK44" i="41"/>
  <c r="GL44" i="41"/>
  <c r="GM44" i="41"/>
  <c r="GK45" i="41"/>
  <c r="GL45" i="41"/>
  <c r="GM45" i="41"/>
  <c r="GL15" i="41"/>
  <c r="GM15" i="41"/>
  <c r="GK15" i="41"/>
  <c r="GJ16" i="41"/>
  <c r="GJ17" i="41"/>
  <c r="GJ18" i="41"/>
  <c r="GJ19" i="41"/>
  <c r="GJ20" i="41"/>
  <c r="GJ21" i="41"/>
  <c r="GJ22" i="41"/>
  <c r="GJ23" i="41"/>
  <c r="GJ24" i="41"/>
  <c r="GJ25" i="41"/>
  <c r="GJ26" i="41"/>
  <c r="GJ27" i="41"/>
  <c r="GJ28" i="41"/>
  <c r="GJ29" i="41"/>
  <c r="GJ30" i="41"/>
  <c r="GJ31" i="41"/>
  <c r="GJ32" i="41"/>
  <c r="GJ33" i="41"/>
  <c r="GJ34" i="41"/>
  <c r="GJ35" i="41"/>
  <c r="GJ36" i="41"/>
  <c r="GJ37" i="41"/>
  <c r="GJ38" i="41"/>
  <c r="GJ39" i="41"/>
  <c r="GJ40" i="41"/>
  <c r="GJ41" i="41"/>
  <c r="GJ42" i="41"/>
  <c r="GJ43" i="41"/>
  <c r="GJ44" i="41"/>
  <c r="GJ45" i="41"/>
  <c r="FO39" i="41"/>
  <c r="FO40" i="41"/>
  <c r="J41" i="41"/>
  <c r="J42" i="41"/>
  <c r="J43" i="41"/>
  <c r="J44" i="41"/>
  <c r="J45" i="41"/>
  <c r="DR15" i="41"/>
  <c r="EQ44" i="68" l="1"/>
  <c r="GH44" i="68"/>
  <c r="EE44" i="68"/>
  <c r="DX44" i="68"/>
  <c r="EN44" i="68"/>
  <c r="FB44" i="68"/>
  <c r="ED44" i="68"/>
  <c r="GE44" i="68"/>
  <c r="I51" i="68" s="1"/>
  <c r="GP44" i="68"/>
  <c r="I53" i="68" s="1"/>
  <c r="EX44" i="68"/>
  <c r="EG45" i="69"/>
  <c r="FY44" i="70"/>
  <c r="FZ44" i="70"/>
  <c r="GG44" i="70"/>
  <c r="EQ44" i="70"/>
  <c r="EY44" i="70"/>
  <c r="P76" i="70" s="1"/>
  <c r="FY45" i="71"/>
  <c r="FD45" i="71"/>
  <c r="ED45" i="71"/>
  <c r="FO45" i="71"/>
  <c r="I53" i="71" s="1"/>
  <c r="DR45" i="71"/>
  <c r="DV45" i="71"/>
  <c r="DP45" i="71"/>
  <c r="P70" i="71" s="1"/>
  <c r="EF45" i="71"/>
  <c r="Q73" i="71" s="1"/>
  <c r="DZ45" i="71"/>
  <c r="EY45" i="71"/>
  <c r="P77" i="71" s="1"/>
  <c r="EB45" i="71"/>
  <c r="EH45" i="71"/>
  <c r="FC45" i="71"/>
  <c r="Q78" i="71" s="1"/>
  <c r="EI44" i="72"/>
  <c r="EX44" i="72"/>
  <c r="GI44" i="72"/>
  <c r="FJ44" i="72"/>
  <c r="EZ44" i="72"/>
  <c r="EP44" i="72"/>
  <c r="FG44" i="72"/>
  <c r="EB44" i="72"/>
  <c r="Q70" i="72" s="1"/>
  <c r="DR44" i="72"/>
  <c r="P69" i="72" s="1"/>
  <c r="V47" i="72" s="1"/>
  <c r="DV44" i="72"/>
  <c r="FZ44" i="72"/>
  <c r="FH44" i="72"/>
  <c r="FM44" i="72"/>
  <c r="EH44" i="72"/>
  <c r="Q72" i="72" s="1"/>
  <c r="GE44" i="72"/>
  <c r="P70" i="73"/>
  <c r="Q73" i="73"/>
  <c r="GI44" i="68"/>
  <c r="P68" i="68"/>
  <c r="V46" i="68" s="1"/>
  <c r="P69" i="65"/>
  <c r="V47" i="65" s="1"/>
  <c r="I53" i="73"/>
  <c r="Q73" i="69"/>
  <c r="V49" i="69" s="1"/>
  <c r="I53" i="69"/>
  <c r="P70" i="69"/>
  <c r="V48" i="69" s="1"/>
  <c r="Q71" i="68"/>
  <c r="V47" i="68" s="1"/>
  <c r="P70" i="67"/>
  <c r="P70" i="66"/>
  <c r="V48" i="66" s="1"/>
  <c r="Q73" i="66"/>
  <c r="V49" i="66" s="1"/>
  <c r="I53" i="66"/>
  <c r="Q72" i="65"/>
  <c r="V48" i="65" s="1"/>
  <c r="I52" i="65"/>
  <c r="P74" i="67"/>
  <c r="P79" i="64"/>
  <c r="Q78" i="64"/>
  <c r="Q77" i="70"/>
  <c r="Q75" i="70"/>
  <c r="Q76" i="71"/>
  <c r="P73" i="70"/>
  <c r="P74" i="64"/>
  <c r="Q70" i="70"/>
  <c r="Q71" i="71"/>
  <c r="Q71" i="67"/>
  <c r="P69" i="70"/>
  <c r="I52" i="72"/>
  <c r="P70" i="64"/>
  <c r="Q72" i="70"/>
  <c r="Q73" i="64"/>
  <c r="Q73" i="67"/>
  <c r="Q78" i="67"/>
  <c r="P79" i="71"/>
  <c r="P78" i="70"/>
  <c r="P77" i="67"/>
  <c r="I52" i="70"/>
  <c r="V49" i="73"/>
  <c r="I53" i="67"/>
  <c r="P74" i="71"/>
  <c r="V48" i="73"/>
  <c r="I53" i="64"/>
  <c r="GI44" i="63"/>
  <c r="GO42" i="41"/>
  <c r="GA44" i="63"/>
  <c r="EQ44" i="63"/>
  <c r="EY44" i="63"/>
  <c r="EE44" i="63"/>
  <c r="EI44" i="63"/>
  <c r="EB44" i="63"/>
  <c r="FI44" i="63"/>
  <c r="FO44" i="63"/>
  <c r="ER44" i="63"/>
  <c r="DR44" i="63"/>
  <c r="EJ44" i="63"/>
  <c r="DT44" i="63"/>
  <c r="FA44" i="63"/>
  <c r="FW44" i="63"/>
  <c r="FY44" i="63"/>
  <c r="EV44" i="63"/>
  <c r="GF44" i="63"/>
  <c r="GG44" i="63"/>
  <c r="FD44" i="63"/>
  <c r="DZ44" i="63"/>
  <c r="FU44" i="63"/>
  <c r="EO44" i="63"/>
  <c r="GP44" i="63"/>
  <c r="I54" i="63" s="1"/>
  <c r="FM44" i="63"/>
  <c r="EH44" i="63"/>
  <c r="GE44" i="63"/>
  <c r="EG44" i="63"/>
  <c r="FZ44" i="63"/>
  <c r="EP44" i="63"/>
  <c r="FG44" i="63"/>
  <c r="EZ44" i="63"/>
  <c r="DV44" i="63"/>
  <c r="EM44" i="63"/>
  <c r="DP44" i="63"/>
  <c r="GH44" i="63"/>
  <c r="EX44" i="63"/>
  <c r="FS44" i="63"/>
  <c r="FH44" i="63"/>
  <c r="ED44" i="63"/>
  <c r="EU44" i="63"/>
  <c r="DX44" i="63"/>
  <c r="Q70" i="63" s="1"/>
  <c r="EW44" i="63"/>
  <c r="FF44" i="63"/>
  <c r="GC44" i="63"/>
  <c r="FT44" i="63"/>
  <c r="FB44" i="63"/>
  <c r="FC44" i="63"/>
  <c r="EF44" i="63"/>
  <c r="FE44" i="63"/>
  <c r="GB44" i="63"/>
  <c r="GD44" i="63"/>
  <c r="FJ44" i="63"/>
  <c r="FK44" i="63"/>
  <c r="EN44" i="63"/>
  <c r="FO43" i="41"/>
  <c r="EJ43" i="41"/>
  <c r="ER43" i="41"/>
  <c r="FO42" i="41"/>
  <c r="EJ42" i="41"/>
  <c r="ER42" i="41"/>
  <c r="FO41" i="41"/>
  <c r="EJ41" i="41"/>
  <c r="ER41" i="41"/>
  <c r="FO32" i="41"/>
  <c r="ER32" i="41"/>
  <c r="EJ32" i="41"/>
  <c r="FO28" i="41"/>
  <c r="ER28" i="41"/>
  <c r="EJ28" i="41"/>
  <c r="FO27" i="41"/>
  <c r="ER27" i="41"/>
  <c r="EJ27" i="41"/>
  <c r="FO36" i="41"/>
  <c r="EJ36" i="41"/>
  <c r="ER36" i="41"/>
  <c r="FO35" i="41"/>
  <c r="EJ35" i="41"/>
  <c r="ER35" i="41"/>
  <c r="FO34" i="41"/>
  <c r="ER34" i="41"/>
  <c r="EJ34" i="41"/>
  <c r="FO33" i="41"/>
  <c r="EJ33" i="41"/>
  <c r="ER33" i="41"/>
  <c r="FO26" i="41"/>
  <c r="ER26" i="41"/>
  <c r="EJ26" i="41"/>
  <c r="FO25" i="41"/>
  <c r="ER25" i="41"/>
  <c r="EJ25" i="41"/>
  <c r="FO18" i="41"/>
  <c r="ER18" i="41"/>
  <c r="EJ18" i="41"/>
  <c r="FO22" i="41"/>
  <c r="ER22" i="41"/>
  <c r="EJ22" i="41"/>
  <c r="FO21" i="41"/>
  <c r="EJ21" i="41"/>
  <c r="ER21" i="41"/>
  <c r="FO20" i="41"/>
  <c r="EJ20" i="41"/>
  <c r="ER20" i="41"/>
  <c r="FO19" i="41"/>
  <c r="EJ19" i="41"/>
  <c r="ER19" i="41"/>
  <c r="FO15" i="41"/>
  <c r="EJ15" i="41"/>
  <c r="ER15" i="41"/>
  <c r="GO41" i="41"/>
  <c r="GO25" i="41"/>
  <c r="GO17" i="41"/>
  <c r="GO33" i="41"/>
  <c r="GO36" i="41"/>
  <c r="GO20" i="41"/>
  <c r="GO44" i="41"/>
  <c r="GO28" i="41"/>
  <c r="GO34" i="41"/>
  <c r="GO26" i="41"/>
  <c r="GO18" i="41"/>
  <c r="EI20" i="41"/>
  <c r="EQ20" i="41"/>
  <c r="EI43" i="41"/>
  <c r="EQ43" i="41"/>
  <c r="EI35" i="41"/>
  <c r="EQ35" i="41"/>
  <c r="EI27" i="41"/>
  <c r="EQ27" i="41"/>
  <c r="EI18" i="41"/>
  <c r="EQ18" i="41"/>
  <c r="EI41" i="41"/>
  <c r="EQ41" i="41"/>
  <c r="EI33" i="41"/>
  <c r="EQ33" i="41"/>
  <c r="EI25" i="41"/>
  <c r="EQ25" i="41"/>
  <c r="EI40" i="41"/>
  <c r="EQ40" i="41"/>
  <c r="EI32" i="41"/>
  <c r="EQ32" i="41"/>
  <c r="EI39" i="41"/>
  <c r="EQ39" i="41"/>
  <c r="EI22" i="41"/>
  <c r="EQ22" i="41"/>
  <c r="EI29" i="41"/>
  <c r="EI15" i="41"/>
  <c r="EQ15" i="41"/>
  <c r="EI21" i="41"/>
  <c r="EQ21" i="41"/>
  <c r="EI36" i="41"/>
  <c r="EQ36" i="41"/>
  <c r="EI28" i="41"/>
  <c r="EQ28" i="41"/>
  <c r="EI19" i="41"/>
  <c r="EQ19" i="41"/>
  <c r="EI42" i="41"/>
  <c r="EQ42" i="41"/>
  <c r="EI34" i="41"/>
  <c r="EQ34" i="41"/>
  <c r="EI26" i="41"/>
  <c r="EQ26" i="41"/>
  <c r="GO23" i="41"/>
  <c r="GO38" i="41"/>
  <c r="GP38" i="41" s="1"/>
  <c r="GO30" i="41"/>
  <c r="GO22" i="41"/>
  <c r="GO43" i="41"/>
  <c r="GO35" i="41"/>
  <c r="GO27" i="41"/>
  <c r="GO19" i="41"/>
  <c r="GO15" i="41"/>
  <c r="GO40" i="41"/>
  <c r="GO32" i="41"/>
  <c r="GO24" i="41"/>
  <c r="DZ24" i="41" s="1"/>
  <c r="DP36" i="41"/>
  <c r="FK36" i="41"/>
  <c r="EN36" i="41"/>
  <c r="DX36" i="41"/>
  <c r="EU36" i="41"/>
  <c r="EV36" i="41"/>
  <c r="EF36" i="41"/>
  <c r="EY36" i="41"/>
  <c r="EZ36" i="41"/>
  <c r="DZ36" i="41"/>
  <c r="EE36" i="41"/>
  <c r="EM36" i="41"/>
  <c r="DP28" i="41"/>
  <c r="FK28" i="41"/>
  <c r="EN28" i="41"/>
  <c r="DX28" i="41"/>
  <c r="EU28" i="41"/>
  <c r="EV28" i="41"/>
  <c r="EF28" i="41"/>
  <c r="EY28" i="41"/>
  <c r="EZ28" i="41"/>
  <c r="DZ28" i="41"/>
  <c r="EE28" i="41"/>
  <c r="EM28" i="41"/>
  <c r="DR43" i="41"/>
  <c r="FK43" i="41"/>
  <c r="EU43" i="41"/>
  <c r="DZ43" i="41"/>
  <c r="EV43" i="41"/>
  <c r="EF43" i="41"/>
  <c r="EY43" i="41"/>
  <c r="EZ43" i="41"/>
  <c r="EE43" i="41"/>
  <c r="EM43" i="41"/>
  <c r="EN43" i="41"/>
  <c r="DX43" i="41"/>
  <c r="GO39" i="41"/>
  <c r="DR40" i="41"/>
  <c r="FK40" i="41"/>
  <c r="EZ40" i="41"/>
  <c r="DZ40" i="41"/>
  <c r="EN40" i="41"/>
  <c r="EE40" i="41"/>
  <c r="EM40" i="41"/>
  <c r="EU40" i="41"/>
  <c r="EV40" i="41"/>
  <c r="EF40" i="41"/>
  <c r="DX40" i="41"/>
  <c r="EY40" i="41"/>
  <c r="DR20" i="41"/>
  <c r="FK20" i="41"/>
  <c r="EN20" i="41"/>
  <c r="DX20" i="41"/>
  <c r="DZ20" i="41"/>
  <c r="EU20" i="41"/>
  <c r="EV20" i="41"/>
  <c r="EF20" i="41"/>
  <c r="EY20" i="41"/>
  <c r="EZ20" i="41"/>
  <c r="EE20" i="41"/>
  <c r="EM20" i="41"/>
  <c r="DR35" i="41"/>
  <c r="FK35" i="41"/>
  <c r="EU35" i="41"/>
  <c r="EV35" i="41"/>
  <c r="EF35" i="41"/>
  <c r="EY35" i="41"/>
  <c r="EZ35" i="41"/>
  <c r="EE35" i="41"/>
  <c r="EM35" i="41"/>
  <c r="EN35" i="41"/>
  <c r="DX35" i="41"/>
  <c r="DZ35" i="41"/>
  <c r="GO31" i="41"/>
  <c r="DR31" i="41" s="1"/>
  <c r="DR32" i="41"/>
  <c r="FK32" i="41"/>
  <c r="EZ32" i="41"/>
  <c r="DZ32" i="41"/>
  <c r="EE32" i="41"/>
  <c r="EM32" i="41"/>
  <c r="DX32" i="41"/>
  <c r="EU32" i="41"/>
  <c r="EV32" i="41"/>
  <c r="EF32" i="41"/>
  <c r="EY32" i="41"/>
  <c r="EN32" i="41"/>
  <c r="DR39" i="41"/>
  <c r="FK39" i="41"/>
  <c r="EE39" i="41"/>
  <c r="EM39" i="41"/>
  <c r="EN39" i="41"/>
  <c r="EU39" i="41"/>
  <c r="EV39" i="41"/>
  <c r="EF39" i="41"/>
  <c r="EY39" i="41"/>
  <c r="DX39" i="41"/>
  <c r="EZ39" i="41"/>
  <c r="DZ39" i="41"/>
  <c r="GO45" i="41"/>
  <c r="DR45" i="41" s="1"/>
  <c r="GO37" i="41"/>
  <c r="GO29" i="41"/>
  <c r="I29" i="41" s="1"/>
  <c r="DR29" i="41" s="1"/>
  <c r="GO21" i="41"/>
  <c r="DR21" i="41"/>
  <c r="FK21" i="41"/>
  <c r="EM21" i="41"/>
  <c r="EN21" i="41"/>
  <c r="DX21" i="41"/>
  <c r="EU21" i="41"/>
  <c r="EV21" i="41"/>
  <c r="EF21" i="41"/>
  <c r="EY21" i="41"/>
  <c r="EZ21" i="41"/>
  <c r="DZ21" i="41"/>
  <c r="EE21" i="41"/>
  <c r="DR41" i="41"/>
  <c r="FK41" i="41"/>
  <c r="EY41" i="41"/>
  <c r="EZ41" i="41"/>
  <c r="DZ41" i="41"/>
  <c r="EE41" i="41"/>
  <c r="EN41" i="41"/>
  <c r="DX41" i="41"/>
  <c r="EU41" i="41"/>
  <c r="EM41" i="41"/>
  <c r="EV41" i="41"/>
  <c r="EF41" i="41"/>
  <c r="DP25" i="41"/>
  <c r="FK25" i="41"/>
  <c r="EY25" i="41"/>
  <c r="EZ25" i="41"/>
  <c r="DZ25" i="41"/>
  <c r="EE25" i="41"/>
  <c r="EM25" i="41"/>
  <c r="EN25" i="41"/>
  <c r="DX25" i="41"/>
  <c r="EU25" i="41"/>
  <c r="EV25" i="41"/>
  <c r="EF25" i="41"/>
  <c r="FK15" i="41"/>
  <c r="EM15" i="41"/>
  <c r="EN15" i="41"/>
  <c r="EU15" i="41"/>
  <c r="EV15" i="41"/>
  <c r="EY15" i="41"/>
  <c r="EZ15" i="41"/>
  <c r="DR18" i="41"/>
  <c r="FK18" i="41"/>
  <c r="EV18" i="41"/>
  <c r="EF18" i="41"/>
  <c r="EY18" i="41"/>
  <c r="EZ18" i="41"/>
  <c r="DZ18" i="41"/>
  <c r="EM18" i="41"/>
  <c r="EE18" i="41"/>
  <c r="EN18" i="41"/>
  <c r="DX18" i="41"/>
  <c r="EU18" i="41"/>
  <c r="DR33" i="41"/>
  <c r="FK33" i="41"/>
  <c r="EY33" i="41"/>
  <c r="EZ33" i="41"/>
  <c r="DZ33" i="41"/>
  <c r="EE33" i="41"/>
  <c r="EN33" i="41"/>
  <c r="DX33" i="41"/>
  <c r="EM33" i="41"/>
  <c r="EU33" i="41"/>
  <c r="EV33" i="41"/>
  <c r="EF33" i="41"/>
  <c r="DR22" i="41"/>
  <c r="FK22" i="41"/>
  <c r="EE22" i="41"/>
  <c r="EF22" i="41"/>
  <c r="EM22" i="41"/>
  <c r="EN22" i="41"/>
  <c r="DX22" i="41"/>
  <c r="EU22" i="41"/>
  <c r="EV22" i="41"/>
  <c r="EY22" i="41"/>
  <c r="EZ22" i="41"/>
  <c r="DZ22" i="41"/>
  <c r="DR27" i="41"/>
  <c r="FK27" i="41"/>
  <c r="EU27" i="41"/>
  <c r="EV27" i="41"/>
  <c r="EF27" i="41"/>
  <c r="EY27" i="41"/>
  <c r="DZ27" i="41"/>
  <c r="EZ27" i="41"/>
  <c r="EE27" i="41"/>
  <c r="EM27" i="41"/>
  <c r="EN27" i="41"/>
  <c r="DX27" i="41"/>
  <c r="DR19" i="41"/>
  <c r="FK19" i="41"/>
  <c r="EU19" i="41"/>
  <c r="EV19" i="41"/>
  <c r="EF19" i="41"/>
  <c r="EY19" i="41"/>
  <c r="EZ19" i="41"/>
  <c r="EE19" i="41"/>
  <c r="EM19" i="41"/>
  <c r="DZ19" i="41"/>
  <c r="EN19" i="41"/>
  <c r="DX19" i="41"/>
  <c r="DR42" i="41"/>
  <c r="FK42" i="41"/>
  <c r="EV42" i="41"/>
  <c r="EF42" i="41"/>
  <c r="EY42" i="41"/>
  <c r="EZ42" i="41"/>
  <c r="DZ42" i="41"/>
  <c r="EE42" i="41"/>
  <c r="EM42" i="41"/>
  <c r="EN42" i="41"/>
  <c r="DX42" i="41"/>
  <c r="EU42" i="41"/>
  <c r="DR34" i="41"/>
  <c r="FK34" i="41"/>
  <c r="EV34" i="41"/>
  <c r="EF34" i="41"/>
  <c r="EY34" i="41"/>
  <c r="EZ34" i="41"/>
  <c r="DZ34" i="41"/>
  <c r="EM34" i="41"/>
  <c r="EN34" i="41"/>
  <c r="DX34" i="41"/>
  <c r="EE34" i="41"/>
  <c r="EU34" i="41"/>
  <c r="DR26" i="41"/>
  <c r="FK26" i="41"/>
  <c r="EV26" i="41"/>
  <c r="EF26" i="41"/>
  <c r="EY26" i="41"/>
  <c r="EE26" i="41"/>
  <c r="EZ26" i="41"/>
  <c r="DZ26" i="41"/>
  <c r="EM26" i="41"/>
  <c r="EN26" i="41"/>
  <c r="DX26" i="41"/>
  <c r="EU26" i="41"/>
  <c r="DZ15" i="41"/>
  <c r="EF15" i="41"/>
  <c r="EE15" i="41"/>
  <c r="GO16" i="41"/>
  <c r="DX15" i="41"/>
  <c r="DP43" i="41"/>
  <c r="DP35" i="41"/>
  <c r="DP27" i="41"/>
  <c r="DR36" i="41"/>
  <c r="DR28" i="41"/>
  <c r="DP42" i="41"/>
  <c r="DP34" i="41"/>
  <c r="DP26" i="41"/>
  <c r="DP41" i="41"/>
  <c r="DP33" i="41"/>
  <c r="DP22" i="41"/>
  <c r="DP40" i="41"/>
  <c r="DP32" i="41"/>
  <c r="DP21" i="41"/>
  <c r="DP39" i="41"/>
  <c r="DP20" i="41"/>
  <c r="DP19" i="41"/>
  <c r="DP18" i="41"/>
  <c r="DR25" i="41"/>
  <c r="V81" i="41"/>
  <c r="V82" i="41"/>
  <c r="V83" i="41"/>
  <c r="V84" i="41"/>
  <c r="V85" i="41"/>
  <c r="V86" i="41"/>
  <c r="V87" i="41"/>
  <c r="V88" i="41"/>
  <c r="V89" i="41"/>
  <c r="V90" i="41"/>
  <c r="V91" i="41"/>
  <c r="V92" i="41"/>
  <c r="V93" i="41"/>
  <c r="V94" i="41"/>
  <c r="V95" i="41"/>
  <c r="V96" i="41"/>
  <c r="V97" i="41"/>
  <c r="V98" i="41"/>
  <c r="V99" i="41"/>
  <c r="V100" i="41"/>
  <c r="V101" i="41"/>
  <c r="V102" i="41"/>
  <c r="V103" i="41"/>
  <c r="V104" i="41"/>
  <c r="V105" i="41"/>
  <c r="V106" i="41"/>
  <c r="V107" i="41"/>
  <c r="V108" i="41"/>
  <c r="V109" i="41"/>
  <c r="V110" i="41"/>
  <c r="D79" i="68"/>
  <c r="Y42" i="64"/>
  <c r="Z42" i="64"/>
  <c r="AA42" i="64"/>
  <c r="AB42" i="64"/>
  <c r="AC42" i="64"/>
  <c r="AD42" i="64"/>
  <c r="AE42" i="64"/>
  <c r="AF42" i="64"/>
  <c r="BC42" i="64"/>
  <c r="BD42" i="64"/>
  <c r="BE42" i="64"/>
  <c r="BF42" i="64"/>
  <c r="CB42" i="64"/>
  <c r="CC42" i="64"/>
  <c r="CY42" i="64"/>
  <c r="CZ42" i="64"/>
  <c r="DA42" i="64"/>
  <c r="DB42" i="64"/>
  <c r="DC42" i="64"/>
  <c r="DD42" i="64"/>
  <c r="DE42" i="64"/>
  <c r="DF42" i="64"/>
  <c r="DH42" i="64"/>
  <c r="DK42" i="64" s="1"/>
  <c r="DI42" i="64"/>
  <c r="DL42" i="64" s="1"/>
  <c r="DJ42" i="64"/>
  <c r="DM42" i="64"/>
  <c r="Y43" i="64"/>
  <c r="Z43" i="64"/>
  <c r="AA43" i="64"/>
  <c r="AB43" i="64"/>
  <c r="AC43" i="64"/>
  <c r="AD43" i="64"/>
  <c r="AE43" i="64"/>
  <c r="AF43" i="64"/>
  <c r="BC43" i="64"/>
  <c r="BD43" i="64"/>
  <c r="BE43" i="64"/>
  <c r="BF43" i="64"/>
  <c r="CB43" i="64"/>
  <c r="CC43" i="64"/>
  <c r="CY43" i="64"/>
  <c r="CZ43" i="64"/>
  <c r="DA43" i="64"/>
  <c r="DB43" i="64"/>
  <c r="DC43" i="64"/>
  <c r="DD43" i="64"/>
  <c r="DE43" i="64"/>
  <c r="DF43" i="64"/>
  <c r="DH43" i="64"/>
  <c r="DK43" i="64" s="1"/>
  <c r="DI43" i="64"/>
  <c r="DJ43" i="64"/>
  <c r="DL43" i="64"/>
  <c r="DM43" i="64"/>
  <c r="Y44" i="64"/>
  <c r="Z44" i="64"/>
  <c r="AA44" i="64"/>
  <c r="AB44" i="64"/>
  <c r="AC44" i="64"/>
  <c r="AD44" i="64"/>
  <c r="AE44" i="64"/>
  <c r="AF44" i="64"/>
  <c r="BC44" i="64"/>
  <c r="BD44" i="64"/>
  <c r="BE44" i="64"/>
  <c r="BF44" i="64"/>
  <c r="CB44" i="64"/>
  <c r="CC44" i="64"/>
  <c r="CY44" i="64"/>
  <c r="CZ44" i="64"/>
  <c r="DA44" i="64"/>
  <c r="DB44" i="64"/>
  <c r="DC44" i="64"/>
  <c r="DD44" i="64"/>
  <c r="DE44" i="64"/>
  <c r="DF44" i="64"/>
  <c r="DH44" i="64"/>
  <c r="DI44" i="64"/>
  <c r="DL44" i="64" s="1"/>
  <c r="DJ44" i="64"/>
  <c r="DM44" i="64" s="1"/>
  <c r="DK44" i="64"/>
  <c r="DW42" i="41"/>
  <c r="DY42" i="41"/>
  <c r="EA42" i="41"/>
  <c r="EB42" i="41"/>
  <c r="EC42" i="41"/>
  <c r="ED42" i="41"/>
  <c r="EG42" i="41"/>
  <c r="EH42" i="41"/>
  <c r="EO42" i="41"/>
  <c r="EP42" i="41"/>
  <c r="EW42" i="41"/>
  <c r="EX42" i="41"/>
  <c r="FA42" i="41"/>
  <c r="FB42" i="41"/>
  <c r="FC42" i="41"/>
  <c r="FD42" i="41"/>
  <c r="FE42" i="41"/>
  <c r="FF42" i="41"/>
  <c r="FG42" i="41"/>
  <c r="FH42" i="41"/>
  <c r="FI42" i="41"/>
  <c r="FJ42" i="41"/>
  <c r="FM42" i="41"/>
  <c r="FS42" i="41"/>
  <c r="FT42" i="41"/>
  <c r="FU42" i="41"/>
  <c r="FW42" i="41"/>
  <c r="FY42" i="41"/>
  <c r="FZ42" i="41"/>
  <c r="GA42" i="41"/>
  <c r="GB42" i="41"/>
  <c r="GC42" i="41"/>
  <c r="GD42" i="41"/>
  <c r="GE42" i="41"/>
  <c r="GF42" i="41"/>
  <c r="GG42" i="41"/>
  <c r="GH42" i="41"/>
  <c r="GI42" i="41"/>
  <c r="DW43" i="41"/>
  <c r="DY43" i="41"/>
  <c r="EA43" i="41"/>
  <c r="EB43" i="41"/>
  <c r="EC43" i="41"/>
  <c r="ED43" i="41"/>
  <c r="EG43" i="41"/>
  <c r="EH43" i="41"/>
  <c r="EO43" i="41"/>
  <c r="EP43" i="41"/>
  <c r="EW43" i="41"/>
  <c r="EX43" i="41"/>
  <c r="FA43" i="41"/>
  <c r="FB43" i="41"/>
  <c r="FC43" i="41"/>
  <c r="FD43" i="41"/>
  <c r="FE43" i="41"/>
  <c r="FF43" i="41"/>
  <c r="FG43" i="41"/>
  <c r="FH43" i="41"/>
  <c r="FI43" i="41"/>
  <c r="FJ43" i="41"/>
  <c r="FM43" i="41"/>
  <c r="FS43" i="41"/>
  <c r="FT43" i="41"/>
  <c r="FU43" i="41"/>
  <c r="FW43" i="41"/>
  <c r="FY43" i="41"/>
  <c r="FZ43" i="41"/>
  <c r="GA43" i="41"/>
  <c r="GB43" i="41"/>
  <c r="GC43" i="41"/>
  <c r="GD43" i="41"/>
  <c r="GE43" i="41"/>
  <c r="GF43" i="41"/>
  <c r="GG43" i="41"/>
  <c r="GH43" i="41"/>
  <c r="GI43" i="41"/>
  <c r="DW44" i="41"/>
  <c r="DY44" i="41"/>
  <c r="EA44" i="41"/>
  <c r="EC44" i="41"/>
  <c r="DW45" i="41"/>
  <c r="DY45" i="41"/>
  <c r="EA45" i="41"/>
  <c r="EC45" i="41"/>
  <c r="FI45" i="41"/>
  <c r="FM45" i="41"/>
  <c r="FZ45" i="41"/>
  <c r="V48" i="72" l="1"/>
  <c r="I30" i="41"/>
  <c r="DR30" i="41" s="1"/>
  <c r="EU29" i="41"/>
  <c r="DX29" i="41"/>
  <c r="EN29" i="41"/>
  <c r="EM29" i="41"/>
  <c r="FK29" i="41"/>
  <c r="EE29" i="41"/>
  <c r="GP29" i="41"/>
  <c r="ER29" i="41"/>
  <c r="EJ29" i="41"/>
  <c r="FO29" i="41"/>
  <c r="DZ29" i="41"/>
  <c r="EZ29" i="41"/>
  <c r="EY29" i="41"/>
  <c r="EF29" i="41"/>
  <c r="DP29" i="41"/>
  <c r="EV29" i="41"/>
  <c r="EQ29" i="41"/>
  <c r="V49" i="64"/>
  <c r="DN44" i="64"/>
  <c r="DN42" i="64"/>
  <c r="DN43" i="64"/>
  <c r="EB45" i="41"/>
  <c r="FJ45" i="41"/>
  <c r="FC45" i="41"/>
  <c r="FB45" i="41"/>
  <c r="GI45" i="41"/>
  <c r="GB45" i="41"/>
  <c r="FA45" i="41"/>
  <c r="GH45" i="41"/>
  <c r="GA45" i="41"/>
  <c r="ED45" i="41"/>
  <c r="FH45" i="41"/>
  <c r="GF45" i="41"/>
  <c r="FW45" i="41"/>
  <c r="FG45" i="41"/>
  <c r="EW45" i="41"/>
  <c r="GE45" i="41"/>
  <c r="FU45" i="41"/>
  <c r="FF45" i="41"/>
  <c r="EP45" i="41"/>
  <c r="FY45" i="41"/>
  <c r="GD45" i="41"/>
  <c r="FE45" i="41"/>
  <c r="EO45" i="41"/>
  <c r="GG45" i="41"/>
  <c r="EX45" i="41"/>
  <c r="FT45" i="41"/>
  <c r="GC45" i="41"/>
  <c r="FS45" i="41"/>
  <c r="FD45" i="41"/>
  <c r="EG45" i="41"/>
  <c r="EY45" i="41"/>
  <c r="V48" i="67"/>
  <c r="V49" i="71"/>
  <c r="V48" i="70"/>
  <c r="P76" i="63"/>
  <c r="V48" i="64"/>
  <c r="V47" i="70"/>
  <c r="A92" i="69"/>
  <c r="A92" i="66"/>
  <c r="V49" i="67"/>
  <c r="Q77" i="63"/>
  <c r="V48" i="71"/>
  <c r="A91" i="72"/>
  <c r="A90" i="68"/>
  <c r="DG44" i="64"/>
  <c r="FV43" i="64"/>
  <c r="FX43" i="64"/>
  <c r="FR42" i="64"/>
  <c r="FP42" i="64"/>
  <c r="FR43" i="64"/>
  <c r="FP43" i="64"/>
  <c r="DG42" i="64"/>
  <c r="DG43" i="64"/>
  <c r="FP44" i="64"/>
  <c r="FR44" i="64"/>
  <c r="FX42" i="64"/>
  <c r="FV42" i="64"/>
  <c r="FX44" i="64"/>
  <c r="FV44" i="64"/>
  <c r="P78" i="63"/>
  <c r="Q75" i="63"/>
  <c r="P73" i="63"/>
  <c r="FN43" i="64"/>
  <c r="FL43" i="64"/>
  <c r="FN42" i="64"/>
  <c r="FL42" i="64"/>
  <c r="FN44" i="64"/>
  <c r="FL44" i="64"/>
  <c r="I52" i="63"/>
  <c r="DP45" i="41"/>
  <c r="EF45" i="41"/>
  <c r="EH45" i="41"/>
  <c r="EV45" i="41"/>
  <c r="EU45" i="41"/>
  <c r="ED44" i="41"/>
  <c r="FB44" i="41"/>
  <c r="FJ44" i="41"/>
  <c r="GA44" i="41"/>
  <c r="GI44" i="41"/>
  <c r="FT44" i="41"/>
  <c r="GD44" i="41"/>
  <c r="GH44" i="41"/>
  <c r="EG44" i="41"/>
  <c r="FC44" i="41"/>
  <c r="FM44" i="41"/>
  <c r="GB44" i="41"/>
  <c r="FE44" i="41"/>
  <c r="FI44" i="41"/>
  <c r="EH44" i="41"/>
  <c r="FD44" i="41"/>
  <c r="FS44" i="41"/>
  <c r="GC44" i="41"/>
  <c r="EO44" i="41"/>
  <c r="EP44" i="41"/>
  <c r="FF44" i="41"/>
  <c r="FU44" i="41"/>
  <c r="GE44" i="41"/>
  <c r="FG44" i="41"/>
  <c r="FW44" i="41"/>
  <c r="GF44" i="41"/>
  <c r="EW44" i="41"/>
  <c r="FA44" i="41"/>
  <c r="EB44" i="41"/>
  <c r="EX44" i="41"/>
  <c r="FH44" i="41"/>
  <c r="FY44" i="41"/>
  <c r="GG44" i="41"/>
  <c r="FZ44" i="41"/>
  <c r="P69" i="63"/>
  <c r="Q72" i="63"/>
  <c r="FO44" i="41"/>
  <c r="GP44" i="41"/>
  <c r="EJ44" i="41"/>
  <c r="ER44" i="41"/>
  <c r="GP45" i="41"/>
  <c r="EJ45" i="41"/>
  <c r="ER45" i="41"/>
  <c r="DX45" i="41"/>
  <c r="EQ45" i="41"/>
  <c r="EE45" i="41"/>
  <c r="EN45" i="41"/>
  <c r="EI45" i="41"/>
  <c r="DZ45" i="41"/>
  <c r="EM45" i="41"/>
  <c r="EZ45" i="41"/>
  <c r="FK45" i="41"/>
  <c r="FO45" i="41"/>
  <c r="EV23" i="41"/>
  <c r="EM23" i="41"/>
  <c r="DP17" i="41"/>
  <c r="DX17" i="41"/>
  <c r="DZ16" i="41"/>
  <c r="EF16" i="41"/>
  <c r="EE16" i="41"/>
  <c r="DX16" i="41"/>
  <c r="DV16" i="41"/>
  <c r="DR16" i="41"/>
  <c r="EM24" i="41"/>
  <c r="EN24" i="41"/>
  <c r="DX24" i="41"/>
  <c r="DR23" i="41"/>
  <c r="DX38" i="41"/>
  <c r="FO38" i="41"/>
  <c r="EJ38" i="41"/>
  <c r="EN38" i="41"/>
  <c r="FK38" i="41"/>
  <c r="DP38" i="41"/>
  <c r="DR38" i="41"/>
  <c r="EY38" i="41"/>
  <c r="EZ38" i="41"/>
  <c r="EV38" i="41"/>
  <c r="EU38" i="41"/>
  <c r="EQ38" i="41"/>
  <c r="EI38" i="41"/>
  <c r="EF38" i="41"/>
  <c r="EM38" i="41"/>
  <c r="DZ38" i="41"/>
  <c r="EE38" i="41"/>
  <c r="ER38" i="41"/>
  <c r="FK30" i="41"/>
  <c r="EE24" i="41"/>
  <c r="DR24" i="41"/>
  <c r="EZ24" i="41"/>
  <c r="DP24" i="41"/>
  <c r="EF24" i="41"/>
  <c r="EU24" i="41"/>
  <c r="EY24" i="41"/>
  <c r="FO24" i="41"/>
  <c r="ER24" i="41"/>
  <c r="EJ24" i="41"/>
  <c r="GP24" i="41"/>
  <c r="EV24" i="41"/>
  <c r="FK24" i="41"/>
  <c r="EF23" i="41"/>
  <c r="FO37" i="41"/>
  <c r="GP37" i="41"/>
  <c r="EJ37" i="41"/>
  <c r="ER37" i="41"/>
  <c r="DP31" i="41"/>
  <c r="FO31" i="41"/>
  <c r="EJ31" i="41"/>
  <c r="ER31" i="41"/>
  <c r="GP31" i="41"/>
  <c r="FO30" i="41"/>
  <c r="GP30" i="41"/>
  <c r="EJ30" i="41"/>
  <c r="EY30" i="41"/>
  <c r="DP30" i="41"/>
  <c r="EF30" i="41"/>
  <c r="FO23" i="41"/>
  <c r="GP23" i="41"/>
  <c r="ER23" i="41"/>
  <c r="EJ23" i="41"/>
  <c r="FO16" i="41"/>
  <c r="GP16" i="41"/>
  <c r="EJ16" i="41"/>
  <c r="ER16" i="41"/>
  <c r="FO17" i="41"/>
  <c r="EJ17" i="41"/>
  <c r="GP17" i="41"/>
  <c r="ER17" i="41"/>
  <c r="EV30" i="41"/>
  <c r="EU30" i="41"/>
  <c r="DX30" i="41"/>
  <c r="EN23" i="41"/>
  <c r="EN30" i="41"/>
  <c r="DZ30" i="41"/>
  <c r="EM30" i="41"/>
  <c r="DP23" i="41"/>
  <c r="EZ30" i="41"/>
  <c r="EE30" i="41"/>
  <c r="EI37" i="41"/>
  <c r="EQ37" i="41"/>
  <c r="EI23" i="41"/>
  <c r="EQ23" i="41"/>
  <c r="DZ23" i="41"/>
  <c r="DX23" i="41"/>
  <c r="EI16" i="41"/>
  <c r="EQ16" i="41"/>
  <c r="EZ23" i="41"/>
  <c r="EE23" i="41"/>
  <c r="EI17" i="41"/>
  <c r="EQ17" i="41"/>
  <c r="EY23" i="41"/>
  <c r="FK23" i="41"/>
  <c r="EI31" i="41"/>
  <c r="EQ31" i="41"/>
  <c r="EI24" i="41"/>
  <c r="EQ24" i="41"/>
  <c r="EI44" i="41"/>
  <c r="EQ44" i="41"/>
  <c r="EU23" i="41"/>
  <c r="EI30" i="41"/>
  <c r="EQ30" i="41"/>
  <c r="FK44" i="41"/>
  <c r="EN44" i="41"/>
  <c r="DX44" i="41"/>
  <c r="EU44" i="41"/>
  <c r="EV44" i="41"/>
  <c r="EF44" i="41"/>
  <c r="EY44" i="41"/>
  <c r="EZ44" i="41"/>
  <c r="EE44" i="41"/>
  <c r="EM44" i="41"/>
  <c r="DZ44" i="41"/>
  <c r="FK37" i="41"/>
  <c r="EM37" i="41"/>
  <c r="EN37" i="41"/>
  <c r="DX37" i="41"/>
  <c r="EU37" i="41"/>
  <c r="EV37" i="41"/>
  <c r="EF37" i="41"/>
  <c r="EY37" i="41"/>
  <c r="EZ37" i="41"/>
  <c r="DZ37" i="41"/>
  <c r="EE37" i="41"/>
  <c r="FK16" i="41"/>
  <c r="EZ16" i="41"/>
  <c r="EM16" i="41"/>
  <c r="EN16" i="41"/>
  <c r="EU16" i="41"/>
  <c r="EV16" i="41"/>
  <c r="EY16" i="41"/>
  <c r="FK17" i="41"/>
  <c r="EY17" i="41"/>
  <c r="EM17" i="41"/>
  <c r="EZ17" i="41"/>
  <c r="EN17" i="41"/>
  <c r="EU17" i="41"/>
  <c r="EV17" i="41"/>
  <c r="FK31" i="41"/>
  <c r="EE31" i="41"/>
  <c r="EM31" i="41"/>
  <c r="EN31" i="41"/>
  <c r="EU31" i="41"/>
  <c r="EV31" i="41"/>
  <c r="EF31" i="41"/>
  <c r="DX31" i="41"/>
  <c r="EY31" i="41"/>
  <c r="EZ31" i="41"/>
  <c r="DZ31" i="41"/>
  <c r="EF17" i="41"/>
  <c r="EE17" i="41"/>
  <c r="DP16" i="41"/>
  <c r="DZ17" i="41"/>
  <c r="DP44" i="41"/>
  <c r="DR44" i="41"/>
  <c r="DR37" i="41"/>
  <c r="DP37" i="41"/>
  <c r="DR17" i="41"/>
  <c r="G4" i="23"/>
  <c r="ER30" i="41" l="1"/>
  <c r="V48" i="63"/>
  <c r="V47" i="63"/>
  <c r="GP46" i="41"/>
  <c r="G5" i="23"/>
  <c r="G6" i="23"/>
  <c r="G7" i="23"/>
  <c r="J24" i="1"/>
  <c r="J23" i="1"/>
  <c r="J22" i="1"/>
  <c r="B30" i="1" l="1"/>
  <c r="J25" i="1"/>
  <c r="J44" i="1"/>
  <c r="A1" i="80" l="1"/>
  <c r="DO17" i="41" l="1"/>
  <c r="DO18" i="41"/>
  <c r="DO19" i="41"/>
  <c r="DO20" i="41"/>
  <c r="DO21" i="41"/>
  <c r="DO22" i="41"/>
  <c r="DO23" i="41"/>
  <c r="DO24" i="41"/>
  <c r="DO25" i="41"/>
  <c r="DO26" i="41"/>
  <c r="DO27" i="41"/>
  <c r="DO28" i="41"/>
  <c r="DO29" i="41"/>
  <c r="DO30" i="41"/>
  <c r="DO31" i="41"/>
  <c r="DO32" i="41"/>
  <c r="DO33" i="41"/>
  <c r="DO34" i="41"/>
  <c r="DO35" i="41"/>
  <c r="DO36" i="41"/>
  <c r="DO37" i="41"/>
  <c r="DO38" i="41"/>
  <c r="DO39" i="41"/>
  <c r="DO40" i="41"/>
  <c r="DO41" i="41"/>
  <c r="DO42" i="41"/>
  <c r="DO43" i="41"/>
  <c r="DO44" i="41"/>
  <c r="DO45" i="41"/>
  <c r="GA41" i="41"/>
  <c r="GA40" i="41"/>
  <c r="GA39" i="41"/>
  <c r="GA38" i="41"/>
  <c r="GA37" i="41"/>
  <c r="GA36" i="41"/>
  <c r="GA35" i="41"/>
  <c r="GA34" i="41"/>
  <c r="GA33" i="41"/>
  <c r="GA32" i="41"/>
  <c r="GA31" i="41"/>
  <c r="GA30" i="41"/>
  <c r="GA29" i="41"/>
  <c r="GA28" i="41"/>
  <c r="GA27" i="41"/>
  <c r="GA26" i="41"/>
  <c r="GA25" i="41"/>
  <c r="GA24" i="41"/>
  <c r="GA23" i="41"/>
  <c r="GA22" i="41"/>
  <c r="GA21" i="41"/>
  <c r="GA20" i="41"/>
  <c r="GA19" i="41"/>
  <c r="GA18" i="41"/>
  <c r="GA17" i="41"/>
  <c r="GA16" i="41"/>
  <c r="GA15" i="41"/>
  <c r="DV45" i="41" l="1"/>
  <c r="DU45" i="41"/>
  <c r="DT45" i="41"/>
  <c r="DQ45" i="41"/>
  <c r="DV44" i="41"/>
  <c r="DU44" i="41"/>
  <c r="DT44" i="41"/>
  <c r="DQ44" i="41"/>
  <c r="DV43" i="41"/>
  <c r="DU43" i="41"/>
  <c r="DT43" i="41"/>
  <c r="DQ43" i="41"/>
  <c r="DV42" i="41"/>
  <c r="DU42" i="41"/>
  <c r="DT42" i="41"/>
  <c r="DQ42" i="41"/>
  <c r="GI41" i="41"/>
  <c r="GH41" i="41"/>
  <c r="GG41" i="41"/>
  <c r="GF41" i="41"/>
  <c r="GE41" i="41"/>
  <c r="GD41" i="41"/>
  <c r="GC41" i="41"/>
  <c r="GB41" i="41"/>
  <c r="FZ41" i="41"/>
  <c r="FY41" i="41"/>
  <c r="FW41" i="41"/>
  <c r="FU41" i="41"/>
  <c r="FT41" i="41"/>
  <c r="FS41" i="41"/>
  <c r="FM41" i="41"/>
  <c r="FJ41" i="41"/>
  <c r="FI41" i="41"/>
  <c r="FH41" i="41"/>
  <c r="FG41" i="41"/>
  <c r="FF41" i="41"/>
  <c r="FE41" i="41"/>
  <c r="FD41" i="41"/>
  <c r="FC41" i="41"/>
  <c r="FB41" i="41"/>
  <c r="FA41" i="41"/>
  <c r="EX41" i="41"/>
  <c r="EW41" i="41"/>
  <c r="EP41" i="41"/>
  <c r="EO41" i="41"/>
  <c r="EH41" i="41"/>
  <c r="EG41" i="41"/>
  <c r="ED41" i="41"/>
  <c r="EC41" i="41"/>
  <c r="EB41" i="41"/>
  <c r="EA41" i="41"/>
  <c r="DY41" i="41"/>
  <c r="DW41" i="41"/>
  <c r="DV41" i="41"/>
  <c r="DU41" i="41"/>
  <c r="DT41" i="41"/>
  <c r="DQ41" i="41"/>
  <c r="GI40" i="41"/>
  <c r="GH40" i="41"/>
  <c r="GG40" i="41"/>
  <c r="GF40" i="41"/>
  <c r="GE40" i="41"/>
  <c r="GD40" i="41"/>
  <c r="GC40" i="41"/>
  <c r="GB40" i="41"/>
  <c r="FZ40" i="41"/>
  <c r="FY40" i="41"/>
  <c r="FW40" i="41"/>
  <c r="FU40" i="41"/>
  <c r="FT40" i="41"/>
  <c r="FS40" i="41"/>
  <c r="FM40" i="41"/>
  <c r="FJ40" i="41"/>
  <c r="FI40" i="41"/>
  <c r="FH40" i="41"/>
  <c r="FG40" i="41"/>
  <c r="FF40" i="41"/>
  <c r="FE40" i="41"/>
  <c r="FD40" i="41"/>
  <c r="FC40" i="41"/>
  <c r="FB40" i="41"/>
  <c r="FA40" i="41"/>
  <c r="EX40" i="41"/>
  <c r="EW40" i="41"/>
  <c r="EP40" i="41"/>
  <c r="EO40" i="41"/>
  <c r="EH40" i="41"/>
  <c r="EG40" i="41"/>
  <c r="ED40" i="41"/>
  <c r="EC40" i="41"/>
  <c r="EB40" i="41"/>
  <c r="EA40" i="41"/>
  <c r="DY40" i="41"/>
  <c r="DW40" i="41"/>
  <c r="DV40" i="41"/>
  <c r="DU40" i="41"/>
  <c r="DT40" i="41"/>
  <c r="DQ40" i="41"/>
  <c r="GI39" i="41"/>
  <c r="GH39" i="41"/>
  <c r="GG39" i="41"/>
  <c r="GF39" i="41"/>
  <c r="GE39" i="41"/>
  <c r="GD39" i="41"/>
  <c r="GC39" i="41"/>
  <c r="GB39" i="41"/>
  <c r="FZ39" i="41"/>
  <c r="FY39" i="41"/>
  <c r="FW39" i="41"/>
  <c r="FU39" i="41"/>
  <c r="FT39" i="41"/>
  <c r="FS39" i="41"/>
  <c r="FM39" i="41"/>
  <c r="FJ39" i="41"/>
  <c r="FI39" i="41"/>
  <c r="FH39" i="41"/>
  <c r="FG39" i="41"/>
  <c r="FF39" i="41"/>
  <c r="FE39" i="41"/>
  <c r="FD39" i="41"/>
  <c r="FC39" i="41"/>
  <c r="FB39" i="41"/>
  <c r="FA39" i="41"/>
  <c r="EX39" i="41"/>
  <c r="EW39" i="41"/>
  <c r="EP39" i="41"/>
  <c r="EO39" i="41"/>
  <c r="EH39" i="41"/>
  <c r="EG39" i="41"/>
  <c r="ED39" i="41"/>
  <c r="EC39" i="41"/>
  <c r="EB39" i="41"/>
  <c r="EA39" i="41"/>
  <c r="DY39" i="41"/>
  <c r="DW39" i="41"/>
  <c r="DV39" i="41"/>
  <c r="DU39" i="41"/>
  <c r="DT39" i="41"/>
  <c r="DQ39" i="41"/>
  <c r="GI38" i="41"/>
  <c r="GH38" i="41"/>
  <c r="GG38" i="41"/>
  <c r="GF38" i="41"/>
  <c r="GE38" i="41"/>
  <c r="GD38" i="41"/>
  <c r="GC38" i="41"/>
  <c r="GB38" i="41"/>
  <c r="FZ38" i="41"/>
  <c r="FY38" i="41"/>
  <c r="FW38" i="41"/>
  <c r="FU38" i="41"/>
  <c r="FT38" i="41"/>
  <c r="FS38" i="41"/>
  <c r="FM38" i="41"/>
  <c r="FJ38" i="41"/>
  <c r="FI38" i="41"/>
  <c r="FH38" i="41"/>
  <c r="FG38" i="41"/>
  <c r="FF38" i="41"/>
  <c r="FE38" i="41"/>
  <c r="FD38" i="41"/>
  <c r="FC38" i="41"/>
  <c r="FB38" i="41"/>
  <c r="FA38" i="41"/>
  <c r="EX38" i="41"/>
  <c r="EW38" i="41"/>
  <c r="EP38" i="41"/>
  <c r="EO38" i="41"/>
  <c r="EH38" i="41"/>
  <c r="EG38" i="41"/>
  <c r="ED38" i="41"/>
  <c r="EC38" i="41"/>
  <c r="EB38" i="41"/>
  <c r="EA38" i="41"/>
  <c r="DY38" i="41"/>
  <c r="DW38" i="41"/>
  <c r="DV38" i="41"/>
  <c r="DU38" i="41"/>
  <c r="DT38" i="41"/>
  <c r="DQ38" i="41"/>
  <c r="GI37" i="41"/>
  <c r="GH37" i="41"/>
  <c r="GG37" i="41"/>
  <c r="GF37" i="41"/>
  <c r="GE37" i="41"/>
  <c r="GD37" i="41"/>
  <c r="GC37" i="41"/>
  <c r="GB37" i="41"/>
  <c r="FZ37" i="41"/>
  <c r="FY37" i="41"/>
  <c r="FW37" i="41"/>
  <c r="FU37" i="41"/>
  <c r="FT37" i="41"/>
  <c r="FS37" i="41"/>
  <c r="FM37" i="41"/>
  <c r="FJ37" i="41"/>
  <c r="FI37" i="41"/>
  <c r="FH37" i="41"/>
  <c r="FG37" i="41"/>
  <c r="FF37" i="41"/>
  <c r="FE37" i="41"/>
  <c r="FD37" i="41"/>
  <c r="FC37" i="41"/>
  <c r="FB37" i="41"/>
  <c r="FA37" i="41"/>
  <c r="EX37" i="41"/>
  <c r="EW37" i="41"/>
  <c r="EP37" i="41"/>
  <c r="EO37" i="41"/>
  <c r="EH37" i="41"/>
  <c r="EG37" i="41"/>
  <c r="ED37" i="41"/>
  <c r="EC37" i="41"/>
  <c r="EB37" i="41"/>
  <c r="EA37" i="41"/>
  <c r="DY37" i="41"/>
  <c r="DW37" i="41"/>
  <c r="DV37" i="41"/>
  <c r="DU37" i="41"/>
  <c r="DT37" i="41"/>
  <c r="DQ37" i="41"/>
  <c r="GI36" i="41"/>
  <c r="GH36" i="41"/>
  <c r="GG36" i="41"/>
  <c r="GF36" i="41"/>
  <c r="GE36" i="41"/>
  <c r="GD36" i="41"/>
  <c r="GC36" i="41"/>
  <c r="GB36" i="41"/>
  <c r="FZ36" i="41"/>
  <c r="FY36" i="41"/>
  <c r="FW36" i="41"/>
  <c r="FU36" i="41"/>
  <c r="FT36" i="41"/>
  <c r="FS36" i="41"/>
  <c r="FM36" i="41"/>
  <c r="FJ36" i="41"/>
  <c r="FI36" i="41"/>
  <c r="FH36" i="41"/>
  <c r="FG36" i="41"/>
  <c r="FF36" i="41"/>
  <c r="FE36" i="41"/>
  <c r="FD36" i="41"/>
  <c r="FC36" i="41"/>
  <c r="FB36" i="41"/>
  <c r="FA36" i="41"/>
  <c r="EX36" i="41"/>
  <c r="EW36" i="41"/>
  <c r="EP36" i="41"/>
  <c r="EO36" i="41"/>
  <c r="EH36" i="41"/>
  <c r="EG36" i="41"/>
  <c r="ED36" i="41"/>
  <c r="EC36" i="41"/>
  <c r="EB36" i="41"/>
  <c r="EA36" i="41"/>
  <c r="DY36" i="41"/>
  <c r="DW36" i="41"/>
  <c r="DV36" i="41"/>
  <c r="DU36" i="41"/>
  <c r="DT36" i="41"/>
  <c r="DQ36" i="41"/>
  <c r="GI35" i="41"/>
  <c r="GH35" i="41"/>
  <c r="GG35" i="41"/>
  <c r="GF35" i="41"/>
  <c r="GE35" i="41"/>
  <c r="GD35" i="41"/>
  <c r="GC35" i="41"/>
  <c r="GB35" i="41"/>
  <c r="FZ35" i="41"/>
  <c r="FY35" i="41"/>
  <c r="FW35" i="41"/>
  <c r="FU35" i="41"/>
  <c r="FT35" i="41"/>
  <c r="FS35" i="41"/>
  <c r="FM35" i="41"/>
  <c r="FJ35" i="41"/>
  <c r="FI35" i="41"/>
  <c r="FH35" i="41"/>
  <c r="FG35" i="41"/>
  <c r="FF35" i="41"/>
  <c r="FE35" i="41"/>
  <c r="FD35" i="41"/>
  <c r="FC35" i="41"/>
  <c r="FB35" i="41"/>
  <c r="FA35" i="41"/>
  <c r="EX35" i="41"/>
  <c r="EW35" i="41"/>
  <c r="EP35" i="41"/>
  <c r="EO35" i="41"/>
  <c r="EH35" i="41"/>
  <c r="EG35" i="41"/>
  <c r="ED35" i="41"/>
  <c r="EC35" i="41"/>
  <c r="EB35" i="41"/>
  <c r="EA35" i="41"/>
  <c r="DY35" i="41"/>
  <c r="DW35" i="41"/>
  <c r="DV35" i="41"/>
  <c r="DU35" i="41"/>
  <c r="DT35" i="41"/>
  <c r="DQ35" i="41"/>
  <c r="GI34" i="41"/>
  <c r="GH34" i="41"/>
  <c r="GG34" i="41"/>
  <c r="GF34" i="41"/>
  <c r="GE34" i="41"/>
  <c r="GD34" i="41"/>
  <c r="GC34" i="41"/>
  <c r="GB34" i="41"/>
  <c r="FZ34" i="41"/>
  <c r="FY34" i="41"/>
  <c r="FW34" i="41"/>
  <c r="FU34" i="41"/>
  <c r="FT34" i="41"/>
  <c r="FS34" i="41"/>
  <c r="FM34" i="41"/>
  <c r="FJ34" i="41"/>
  <c r="FI34" i="41"/>
  <c r="FH34" i="41"/>
  <c r="FG34" i="41"/>
  <c r="FF34" i="41"/>
  <c r="FE34" i="41"/>
  <c r="FD34" i="41"/>
  <c r="FC34" i="41"/>
  <c r="FB34" i="41"/>
  <c r="FA34" i="41"/>
  <c r="EX34" i="41"/>
  <c r="EW34" i="41"/>
  <c r="EP34" i="41"/>
  <c r="EO34" i="41"/>
  <c r="EH34" i="41"/>
  <c r="EG34" i="41"/>
  <c r="ED34" i="41"/>
  <c r="EC34" i="41"/>
  <c r="EB34" i="41"/>
  <c r="EA34" i="41"/>
  <c r="DY34" i="41"/>
  <c r="DW34" i="41"/>
  <c r="DV34" i="41"/>
  <c r="DU34" i="41"/>
  <c r="DT34" i="41"/>
  <c r="DQ34" i="41"/>
  <c r="GI33" i="41"/>
  <c r="GH33" i="41"/>
  <c r="GG33" i="41"/>
  <c r="GF33" i="41"/>
  <c r="GE33" i="41"/>
  <c r="GD33" i="41"/>
  <c r="GC33" i="41"/>
  <c r="GB33" i="41"/>
  <c r="FZ33" i="41"/>
  <c r="FY33" i="41"/>
  <c r="FW33" i="41"/>
  <c r="FU33" i="41"/>
  <c r="FT33" i="41"/>
  <c r="FS33" i="41"/>
  <c r="FM33" i="41"/>
  <c r="FJ33" i="41"/>
  <c r="FI33" i="41"/>
  <c r="FH33" i="41"/>
  <c r="FG33" i="41"/>
  <c r="FF33" i="41"/>
  <c r="FE33" i="41"/>
  <c r="FD33" i="41"/>
  <c r="FC33" i="41"/>
  <c r="FB33" i="41"/>
  <c r="FA33" i="41"/>
  <c r="EX33" i="41"/>
  <c r="EW33" i="41"/>
  <c r="EP33" i="41"/>
  <c r="EO33" i="41"/>
  <c r="EH33" i="41"/>
  <c r="EG33" i="41"/>
  <c r="ED33" i="41"/>
  <c r="EC33" i="41"/>
  <c r="EB33" i="41"/>
  <c r="EA33" i="41"/>
  <c r="DY33" i="41"/>
  <c r="DW33" i="41"/>
  <c r="DV33" i="41"/>
  <c r="DU33" i="41"/>
  <c r="DT33" i="41"/>
  <c r="DQ33" i="41"/>
  <c r="GI32" i="41"/>
  <c r="GH32" i="41"/>
  <c r="GG32" i="41"/>
  <c r="GF32" i="41"/>
  <c r="GE32" i="41"/>
  <c r="GD32" i="41"/>
  <c r="GC32" i="41"/>
  <c r="GB32" i="41"/>
  <c r="FZ32" i="41"/>
  <c r="FY32" i="41"/>
  <c r="FW32" i="41"/>
  <c r="FU32" i="41"/>
  <c r="FT32" i="41"/>
  <c r="FS32" i="41"/>
  <c r="FM32" i="41"/>
  <c r="FJ32" i="41"/>
  <c r="FI32" i="41"/>
  <c r="FH32" i="41"/>
  <c r="FG32" i="41"/>
  <c r="FF32" i="41"/>
  <c r="FE32" i="41"/>
  <c r="FD32" i="41"/>
  <c r="FC32" i="41"/>
  <c r="FB32" i="41"/>
  <c r="FA32" i="41"/>
  <c r="EX32" i="41"/>
  <c r="EW32" i="41"/>
  <c r="EP32" i="41"/>
  <c r="EO32" i="41"/>
  <c r="EH32" i="41"/>
  <c r="EG32" i="41"/>
  <c r="ED32" i="41"/>
  <c r="EC32" i="41"/>
  <c r="EB32" i="41"/>
  <c r="EA32" i="41"/>
  <c r="DY32" i="41"/>
  <c r="DW32" i="41"/>
  <c r="DV32" i="41"/>
  <c r="DU32" i="41"/>
  <c r="DT32" i="41"/>
  <c r="DQ32" i="41"/>
  <c r="GI31" i="41"/>
  <c r="GH31" i="41"/>
  <c r="GG31" i="41"/>
  <c r="GF31" i="41"/>
  <c r="GE31" i="41"/>
  <c r="GD31" i="41"/>
  <c r="GC31" i="41"/>
  <c r="GB31" i="41"/>
  <c r="FZ31" i="41"/>
  <c r="FY31" i="41"/>
  <c r="FW31" i="41"/>
  <c r="FU31" i="41"/>
  <c r="FT31" i="41"/>
  <c r="FS31" i="41"/>
  <c r="FM31" i="41"/>
  <c r="FJ31" i="41"/>
  <c r="FI31" i="41"/>
  <c r="FH31" i="41"/>
  <c r="FG31" i="41"/>
  <c r="FF31" i="41"/>
  <c r="FE31" i="41"/>
  <c r="FD31" i="41"/>
  <c r="FC31" i="41"/>
  <c r="FB31" i="41"/>
  <c r="FA31" i="41"/>
  <c r="EX31" i="41"/>
  <c r="EW31" i="41"/>
  <c r="EP31" i="41"/>
  <c r="EO31" i="41"/>
  <c r="EH31" i="41"/>
  <c r="EG31" i="41"/>
  <c r="ED31" i="41"/>
  <c r="EC31" i="41"/>
  <c r="EB31" i="41"/>
  <c r="EA31" i="41"/>
  <c r="DY31" i="41"/>
  <c r="DW31" i="41"/>
  <c r="DV31" i="41"/>
  <c r="DU31" i="41"/>
  <c r="DT31" i="41"/>
  <c r="DQ31" i="41"/>
  <c r="GI30" i="41"/>
  <c r="GH30" i="41"/>
  <c r="GG30" i="41"/>
  <c r="GF30" i="41"/>
  <c r="GE30" i="41"/>
  <c r="GD30" i="41"/>
  <c r="GC30" i="41"/>
  <c r="GB30" i="41"/>
  <c r="FZ30" i="41"/>
  <c r="FY30" i="41"/>
  <c r="FW30" i="41"/>
  <c r="FU30" i="41"/>
  <c r="FT30" i="41"/>
  <c r="FS30" i="41"/>
  <c r="FM30" i="41"/>
  <c r="FJ30" i="41"/>
  <c r="FI30" i="41"/>
  <c r="FH30" i="41"/>
  <c r="FG30" i="41"/>
  <c r="FF30" i="41"/>
  <c r="FE30" i="41"/>
  <c r="FD30" i="41"/>
  <c r="FC30" i="41"/>
  <c r="FB30" i="41"/>
  <c r="FA30" i="41"/>
  <c r="EX30" i="41"/>
  <c r="EW30" i="41"/>
  <c r="EP30" i="41"/>
  <c r="EO30" i="41"/>
  <c r="EH30" i="41"/>
  <c r="EG30" i="41"/>
  <c r="ED30" i="41"/>
  <c r="EC30" i="41"/>
  <c r="EB30" i="41"/>
  <c r="EA30" i="41"/>
  <c r="DY30" i="41"/>
  <c r="DW30" i="41"/>
  <c r="DV30" i="41"/>
  <c r="DU30" i="41"/>
  <c r="DT30" i="41"/>
  <c r="DQ30" i="41"/>
  <c r="GI29" i="41"/>
  <c r="GH29" i="41"/>
  <c r="GG29" i="41"/>
  <c r="GF29" i="41"/>
  <c r="GE29" i="41"/>
  <c r="GD29" i="41"/>
  <c r="GC29" i="41"/>
  <c r="GB29" i="41"/>
  <c r="FZ29" i="41"/>
  <c r="FY29" i="41"/>
  <c r="FW29" i="41"/>
  <c r="FU29" i="41"/>
  <c r="FT29" i="41"/>
  <c r="FS29" i="41"/>
  <c r="FM29" i="41"/>
  <c r="FJ29" i="41"/>
  <c r="FI29" i="41"/>
  <c r="FH29" i="41"/>
  <c r="FG29" i="41"/>
  <c r="FF29" i="41"/>
  <c r="FE29" i="41"/>
  <c r="FD29" i="41"/>
  <c r="FC29" i="41"/>
  <c r="FB29" i="41"/>
  <c r="FA29" i="41"/>
  <c r="EX29" i="41"/>
  <c r="EW29" i="41"/>
  <c r="EP29" i="41"/>
  <c r="EO29" i="41"/>
  <c r="EH29" i="41"/>
  <c r="EG29" i="41"/>
  <c r="ED29" i="41"/>
  <c r="EC29" i="41"/>
  <c r="EB29" i="41"/>
  <c r="EA29" i="41"/>
  <c r="DY29" i="41"/>
  <c r="DW29" i="41"/>
  <c r="DV29" i="41"/>
  <c r="DU29" i="41"/>
  <c r="DT29" i="41"/>
  <c r="DQ29" i="41"/>
  <c r="GI28" i="41"/>
  <c r="GH28" i="41"/>
  <c r="GG28" i="41"/>
  <c r="GF28" i="41"/>
  <c r="GE28" i="41"/>
  <c r="GD28" i="41"/>
  <c r="GC28" i="41"/>
  <c r="GB28" i="41"/>
  <c r="FZ28" i="41"/>
  <c r="FY28" i="41"/>
  <c r="FW28" i="41"/>
  <c r="FU28" i="41"/>
  <c r="FT28" i="41"/>
  <c r="FS28" i="41"/>
  <c r="FM28" i="41"/>
  <c r="FJ28" i="41"/>
  <c r="FI28" i="41"/>
  <c r="FH28" i="41"/>
  <c r="FG28" i="41"/>
  <c r="FF28" i="41"/>
  <c r="FE28" i="41"/>
  <c r="FD28" i="41"/>
  <c r="FC28" i="41"/>
  <c r="FB28" i="41"/>
  <c r="FA28" i="41"/>
  <c r="EX28" i="41"/>
  <c r="EW28" i="41"/>
  <c r="EP28" i="41"/>
  <c r="EO28" i="41"/>
  <c r="EH28" i="41"/>
  <c r="EG28" i="41"/>
  <c r="ED28" i="41"/>
  <c r="EC28" i="41"/>
  <c r="EB28" i="41"/>
  <c r="EA28" i="41"/>
  <c r="DY28" i="41"/>
  <c r="DW28" i="41"/>
  <c r="DV28" i="41"/>
  <c r="DU28" i="41"/>
  <c r="DT28" i="41"/>
  <c r="DQ28" i="41"/>
  <c r="GI27" i="41"/>
  <c r="GH27" i="41"/>
  <c r="GG27" i="41"/>
  <c r="GF27" i="41"/>
  <c r="GE27" i="41"/>
  <c r="GD27" i="41"/>
  <c r="GC27" i="41"/>
  <c r="GB27" i="41"/>
  <c r="FZ27" i="41"/>
  <c r="FY27" i="41"/>
  <c r="FW27" i="41"/>
  <c r="FU27" i="41"/>
  <c r="FT27" i="41"/>
  <c r="FS27" i="41"/>
  <c r="FM27" i="41"/>
  <c r="FJ27" i="41"/>
  <c r="FI27" i="41"/>
  <c r="FH27" i="41"/>
  <c r="FG27" i="41"/>
  <c r="FF27" i="41"/>
  <c r="FE27" i="41"/>
  <c r="FD27" i="41"/>
  <c r="FC27" i="41"/>
  <c r="FB27" i="41"/>
  <c r="FA27" i="41"/>
  <c r="EX27" i="41"/>
  <c r="EW27" i="41"/>
  <c r="EP27" i="41"/>
  <c r="EO27" i="41"/>
  <c r="EH27" i="41"/>
  <c r="EG27" i="41"/>
  <c r="ED27" i="41"/>
  <c r="EC27" i="41"/>
  <c r="EB27" i="41"/>
  <c r="EA27" i="41"/>
  <c r="DY27" i="41"/>
  <c r="DW27" i="41"/>
  <c r="DV27" i="41"/>
  <c r="DU27" i="41"/>
  <c r="DT27" i="41"/>
  <c r="DQ27" i="41"/>
  <c r="GI26" i="41"/>
  <c r="GH26" i="41"/>
  <c r="GG26" i="41"/>
  <c r="GF26" i="41"/>
  <c r="GE26" i="41"/>
  <c r="GD26" i="41"/>
  <c r="GC26" i="41"/>
  <c r="GB26" i="41"/>
  <c r="FZ26" i="41"/>
  <c r="FY26" i="41"/>
  <c r="FW26" i="41"/>
  <c r="FU26" i="41"/>
  <c r="FT26" i="41"/>
  <c r="FS26" i="41"/>
  <c r="FM26" i="41"/>
  <c r="FJ26" i="41"/>
  <c r="FI26" i="41"/>
  <c r="FH26" i="41"/>
  <c r="FG26" i="41"/>
  <c r="FF26" i="41"/>
  <c r="FE26" i="41"/>
  <c r="FD26" i="41"/>
  <c r="FC26" i="41"/>
  <c r="FB26" i="41"/>
  <c r="FA26" i="41"/>
  <c r="EX26" i="41"/>
  <c r="EW26" i="41"/>
  <c r="EP26" i="41"/>
  <c r="EO26" i="41"/>
  <c r="EH26" i="41"/>
  <c r="EG26" i="41"/>
  <c r="ED26" i="41"/>
  <c r="EC26" i="41"/>
  <c r="EB26" i="41"/>
  <c r="EA26" i="41"/>
  <c r="DY26" i="41"/>
  <c r="DW26" i="41"/>
  <c r="DV26" i="41"/>
  <c r="DU26" i="41"/>
  <c r="DT26" i="41"/>
  <c r="DQ26" i="41"/>
  <c r="GI25" i="41"/>
  <c r="GH25" i="41"/>
  <c r="GG25" i="41"/>
  <c r="GF25" i="41"/>
  <c r="GE25" i="41"/>
  <c r="GD25" i="41"/>
  <c r="GC25" i="41"/>
  <c r="GB25" i="41"/>
  <c r="FZ25" i="41"/>
  <c r="FY25" i="41"/>
  <c r="FW25" i="41"/>
  <c r="FU25" i="41"/>
  <c r="FT25" i="41"/>
  <c r="FS25" i="41"/>
  <c r="FM25" i="41"/>
  <c r="FJ25" i="41"/>
  <c r="FI25" i="41"/>
  <c r="FH25" i="41"/>
  <c r="FG25" i="41"/>
  <c r="FF25" i="41"/>
  <c r="FE25" i="41"/>
  <c r="FD25" i="41"/>
  <c r="FC25" i="41"/>
  <c r="FB25" i="41"/>
  <c r="FA25" i="41"/>
  <c r="EX25" i="41"/>
  <c r="EW25" i="41"/>
  <c r="EP25" i="41"/>
  <c r="EO25" i="41"/>
  <c r="EH25" i="41"/>
  <c r="EG25" i="41"/>
  <c r="ED25" i="41"/>
  <c r="EC25" i="41"/>
  <c r="EB25" i="41"/>
  <c r="EA25" i="41"/>
  <c r="DY25" i="41"/>
  <c r="DW25" i="41"/>
  <c r="DV25" i="41"/>
  <c r="DU25" i="41"/>
  <c r="DT25" i="41"/>
  <c r="DQ25" i="41"/>
  <c r="GI24" i="41"/>
  <c r="GH24" i="41"/>
  <c r="GG24" i="41"/>
  <c r="GF24" i="41"/>
  <c r="GE24" i="41"/>
  <c r="GD24" i="41"/>
  <c r="GC24" i="41"/>
  <c r="GB24" i="41"/>
  <c r="FZ24" i="41"/>
  <c r="FY24" i="41"/>
  <c r="FW24" i="41"/>
  <c r="FU24" i="41"/>
  <c r="FT24" i="41"/>
  <c r="FS24" i="41"/>
  <c r="FM24" i="41"/>
  <c r="FJ24" i="41"/>
  <c r="FI24" i="41"/>
  <c r="FH24" i="41"/>
  <c r="FG24" i="41"/>
  <c r="FF24" i="41"/>
  <c r="FE24" i="41"/>
  <c r="FD24" i="41"/>
  <c r="FC24" i="41"/>
  <c r="FB24" i="41"/>
  <c r="FA24" i="41"/>
  <c r="EX24" i="41"/>
  <c r="EW24" i="41"/>
  <c r="EP24" i="41"/>
  <c r="EO24" i="41"/>
  <c r="EH24" i="41"/>
  <c r="EG24" i="41"/>
  <c r="ED24" i="41"/>
  <c r="EC24" i="41"/>
  <c r="EB24" i="41"/>
  <c r="EA24" i="41"/>
  <c r="DY24" i="41"/>
  <c r="DW24" i="41"/>
  <c r="DV24" i="41"/>
  <c r="DU24" i="41"/>
  <c r="DT24" i="41"/>
  <c r="DQ24" i="41"/>
  <c r="GI23" i="41"/>
  <c r="GH23" i="41"/>
  <c r="GG23" i="41"/>
  <c r="GF23" i="41"/>
  <c r="GE23" i="41"/>
  <c r="GD23" i="41"/>
  <c r="GC23" i="41"/>
  <c r="GB23" i="41"/>
  <c r="FZ23" i="41"/>
  <c r="FY23" i="41"/>
  <c r="FW23" i="41"/>
  <c r="FU23" i="41"/>
  <c r="FT23" i="41"/>
  <c r="FS23" i="41"/>
  <c r="FM23" i="41"/>
  <c r="FJ23" i="41"/>
  <c r="FI23" i="41"/>
  <c r="FH23" i="41"/>
  <c r="FG23" i="41"/>
  <c r="FF23" i="41"/>
  <c r="FE23" i="41"/>
  <c r="FD23" i="41"/>
  <c r="FC23" i="41"/>
  <c r="FB23" i="41"/>
  <c r="FA23" i="41"/>
  <c r="EX23" i="41"/>
  <c r="EW23" i="41"/>
  <c r="EP23" i="41"/>
  <c r="EO23" i="41"/>
  <c r="EH23" i="41"/>
  <c r="EG23" i="41"/>
  <c r="ED23" i="41"/>
  <c r="EC23" i="41"/>
  <c r="EB23" i="41"/>
  <c r="EA23" i="41"/>
  <c r="DY23" i="41"/>
  <c r="DW23" i="41"/>
  <c r="DV23" i="41"/>
  <c r="DU23" i="41"/>
  <c r="DT23" i="41"/>
  <c r="DQ23" i="41"/>
  <c r="GI22" i="41"/>
  <c r="GH22" i="41"/>
  <c r="GG22" i="41"/>
  <c r="GF22" i="41"/>
  <c r="GE22" i="41"/>
  <c r="GD22" i="41"/>
  <c r="GC22" i="41"/>
  <c r="GB22" i="41"/>
  <c r="FZ22" i="41"/>
  <c r="FY22" i="41"/>
  <c r="FW22" i="41"/>
  <c r="FU22" i="41"/>
  <c r="FT22" i="41"/>
  <c r="FS22" i="41"/>
  <c r="FM22" i="41"/>
  <c r="FJ22" i="41"/>
  <c r="FI22" i="41"/>
  <c r="FH22" i="41"/>
  <c r="FG22" i="41"/>
  <c r="FF22" i="41"/>
  <c r="FE22" i="41"/>
  <c r="FD22" i="41"/>
  <c r="FC22" i="41"/>
  <c r="FB22" i="41"/>
  <c r="FA22" i="41"/>
  <c r="EX22" i="41"/>
  <c r="EW22" i="41"/>
  <c r="EP22" i="41"/>
  <c r="EO22" i="41"/>
  <c r="EH22" i="41"/>
  <c r="EG22" i="41"/>
  <c r="ED22" i="41"/>
  <c r="EC22" i="41"/>
  <c r="EB22" i="41"/>
  <c r="EA22" i="41"/>
  <c r="DY22" i="41"/>
  <c r="DW22" i="41"/>
  <c r="DV22" i="41"/>
  <c r="DU22" i="41"/>
  <c r="DT22" i="41"/>
  <c r="DQ22" i="41"/>
  <c r="GI21" i="41"/>
  <c r="GH21" i="41"/>
  <c r="GG21" i="41"/>
  <c r="GF21" i="41"/>
  <c r="GE21" i="41"/>
  <c r="GD21" i="41"/>
  <c r="GC21" i="41"/>
  <c r="GB21" i="41"/>
  <c r="FZ21" i="41"/>
  <c r="FY21" i="41"/>
  <c r="FW21" i="41"/>
  <c r="FU21" i="41"/>
  <c r="FT21" i="41"/>
  <c r="FS21" i="41"/>
  <c r="FM21" i="41"/>
  <c r="FJ21" i="41"/>
  <c r="FI21" i="41"/>
  <c r="FH21" i="41"/>
  <c r="FG21" i="41"/>
  <c r="FF21" i="41"/>
  <c r="FE21" i="41"/>
  <c r="FD21" i="41"/>
  <c r="FC21" i="41"/>
  <c r="FB21" i="41"/>
  <c r="FA21" i="41"/>
  <c r="EX21" i="41"/>
  <c r="EW21" i="41"/>
  <c r="EP21" i="41"/>
  <c r="EO21" i="41"/>
  <c r="EH21" i="41"/>
  <c r="EG21" i="41"/>
  <c r="ED21" i="41"/>
  <c r="EC21" i="41"/>
  <c r="EB21" i="41"/>
  <c r="EA21" i="41"/>
  <c r="DY21" i="41"/>
  <c r="DW21" i="41"/>
  <c r="DV21" i="41"/>
  <c r="DU21" i="41"/>
  <c r="DT21" i="41"/>
  <c r="DQ21" i="41"/>
  <c r="GI20" i="41"/>
  <c r="GH20" i="41"/>
  <c r="GG20" i="41"/>
  <c r="GF20" i="41"/>
  <c r="GE20" i="41"/>
  <c r="GD20" i="41"/>
  <c r="GC20" i="41"/>
  <c r="GB20" i="41"/>
  <c r="FZ20" i="41"/>
  <c r="FY20" i="41"/>
  <c r="FW20" i="41"/>
  <c r="FU20" i="41"/>
  <c r="FT20" i="41"/>
  <c r="FS20" i="41"/>
  <c r="FM20" i="41"/>
  <c r="FJ20" i="41"/>
  <c r="FI20" i="41"/>
  <c r="FH20" i="41"/>
  <c r="FG20" i="41"/>
  <c r="FF20" i="41"/>
  <c r="FE20" i="41"/>
  <c r="FD20" i="41"/>
  <c r="FC20" i="41"/>
  <c r="FB20" i="41"/>
  <c r="FA20" i="41"/>
  <c r="EX20" i="41"/>
  <c r="EW20" i="41"/>
  <c r="EP20" i="41"/>
  <c r="EO20" i="41"/>
  <c r="EH20" i="41"/>
  <c r="EG20" i="41"/>
  <c r="ED20" i="41"/>
  <c r="EC20" i="41"/>
  <c r="EB20" i="41"/>
  <c r="EA20" i="41"/>
  <c r="DY20" i="41"/>
  <c r="DW20" i="41"/>
  <c r="DV20" i="41"/>
  <c r="DU20" i="41"/>
  <c r="DT20" i="41"/>
  <c r="DQ20" i="41"/>
  <c r="GI19" i="41"/>
  <c r="GH19" i="41"/>
  <c r="GG19" i="41"/>
  <c r="GF19" i="41"/>
  <c r="GE19" i="41"/>
  <c r="GD19" i="41"/>
  <c r="GC19" i="41"/>
  <c r="GB19" i="41"/>
  <c r="FZ19" i="41"/>
  <c r="FY19" i="41"/>
  <c r="FW19" i="41"/>
  <c r="FU19" i="41"/>
  <c r="FT19" i="41"/>
  <c r="FS19" i="41"/>
  <c r="FM19" i="41"/>
  <c r="FJ19" i="41"/>
  <c r="FI19" i="41"/>
  <c r="FH19" i="41"/>
  <c r="FG19" i="41"/>
  <c r="FF19" i="41"/>
  <c r="FE19" i="41"/>
  <c r="FD19" i="41"/>
  <c r="FC19" i="41"/>
  <c r="FB19" i="41"/>
  <c r="FA19" i="41"/>
  <c r="EX19" i="41"/>
  <c r="EW19" i="41"/>
  <c r="EP19" i="41"/>
  <c r="EO19" i="41"/>
  <c r="EH19" i="41"/>
  <c r="EG19" i="41"/>
  <c r="ED19" i="41"/>
  <c r="EC19" i="41"/>
  <c r="EB19" i="41"/>
  <c r="EA19" i="41"/>
  <c r="DY19" i="41"/>
  <c r="DW19" i="41"/>
  <c r="DV19" i="41"/>
  <c r="DU19" i="41"/>
  <c r="DT19" i="41"/>
  <c r="DQ19" i="41"/>
  <c r="GI18" i="41"/>
  <c r="GH18" i="41"/>
  <c r="GG18" i="41"/>
  <c r="GF18" i="41"/>
  <c r="GE18" i="41"/>
  <c r="GD18" i="41"/>
  <c r="GC18" i="41"/>
  <c r="GB18" i="41"/>
  <c r="FZ18" i="41"/>
  <c r="FY18" i="41"/>
  <c r="FW18" i="41"/>
  <c r="FU18" i="41"/>
  <c r="FT18" i="41"/>
  <c r="FS18" i="41"/>
  <c r="FM18" i="41"/>
  <c r="FJ18" i="41"/>
  <c r="FI18" i="41"/>
  <c r="FH18" i="41"/>
  <c r="FG18" i="41"/>
  <c r="FF18" i="41"/>
  <c r="FE18" i="41"/>
  <c r="FD18" i="41"/>
  <c r="FC18" i="41"/>
  <c r="FB18" i="41"/>
  <c r="FA18" i="41"/>
  <c r="EX18" i="41"/>
  <c r="EW18" i="41"/>
  <c r="EP18" i="41"/>
  <c r="EO18" i="41"/>
  <c r="EH18" i="41"/>
  <c r="EG18" i="41"/>
  <c r="ED18" i="41"/>
  <c r="EC18" i="41"/>
  <c r="EB18" i="41"/>
  <c r="EA18" i="41"/>
  <c r="DY18" i="41"/>
  <c r="DW18" i="41"/>
  <c r="DV18" i="41"/>
  <c r="DU18" i="41"/>
  <c r="DT18" i="41"/>
  <c r="DQ18" i="41"/>
  <c r="GI17" i="41"/>
  <c r="GH17" i="41"/>
  <c r="GG17" i="41"/>
  <c r="GF17" i="41"/>
  <c r="GE17" i="41"/>
  <c r="GD17" i="41"/>
  <c r="GC17" i="41"/>
  <c r="GB17" i="41"/>
  <c r="FZ17" i="41"/>
  <c r="FY17" i="41"/>
  <c r="FW17" i="41"/>
  <c r="FU17" i="41"/>
  <c r="FT17" i="41"/>
  <c r="FS17" i="41"/>
  <c r="FM17" i="41"/>
  <c r="FJ17" i="41"/>
  <c r="FI17" i="41"/>
  <c r="FH17" i="41"/>
  <c r="FG17" i="41"/>
  <c r="FF17" i="41"/>
  <c r="FE17" i="41"/>
  <c r="FD17" i="41"/>
  <c r="FC17" i="41"/>
  <c r="FB17" i="41"/>
  <c r="FA17" i="41"/>
  <c r="EX17" i="41"/>
  <c r="EW17" i="41"/>
  <c r="EP17" i="41"/>
  <c r="EO17" i="41"/>
  <c r="EH17" i="41"/>
  <c r="EG17" i="41"/>
  <c r="ED17" i="41"/>
  <c r="EC17" i="41"/>
  <c r="EB17" i="41"/>
  <c r="EA17" i="41"/>
  <c r="DY17" i="41"/>
  <c r="DW17" i="41"/>
  <c r="DV17" i="41"/>
  <c r="DU17" i="41"/>
  <c r="DT17" i="41"/>
  <c r="DQ17" i="41"/>
  <c r="GI16" i="41"/>
  <c r="GH16" i="41"/>
  <c r="GG16" i="41"/>
  <c r="GF16" i="41"/>
  <c r="GE16" i="41"/>
  <c r="GD16" i="41"/>
  <c r="GC16" i="41"/>
  <c r="GB16" i="41"/>
  <c r="FZ16" i="41"/>
  <c r="FY16" i="41"/>
  <c r="FW16" i="41"/>
  <c r="FU16" i="41"/>
  <c r="FT16" i="41"/>
  <c r="FS16" i="41"/>
  <c r="FM16" i="41"/>
  <c r="FJ16" i="41"/>
  <c r="FI16" i="41"/>
  <c r="FH16" i="41"/>
  <c r="FG16" i="41"/>
  <c r="FF16" i="41"/>
  <c r="FE16" i="41"/>
  <c r="FD16" i="41"/>
  <c r="FC16" i="41"/>
  <c r="FB16" i="41"/>
  <c r="FA16" i="41"/>
  <c r="EX16" i="41"/>
  <c r="EW16" i="41"/>
  <c r="EP16" i="41"/>
  <c r="EO16" i="41"/>
  <c r="EH16" i="41"/>
  <c r="EG16" i="41"/>
  <c r="ED16" i="41"/>
  <c r="EC16" i="41"/>
  <c r="EB16" i="41"/>
  <c r="EA16" i="41"/>
  <c r="DW16" i="41"/>
  <c r="DU16" i="41"/>
  <c r="DT16" i="41"/>
  <c r="GI15" i="41"/>
  <c r="GH15" i="41"/>
  <c r="GG15" i="41"/>
  <c r="GF15" i="41"/>
  <c r="GE15" i="41"/>
  <c r="GD15" i="41"/>
  <c r="GC15" i="41"/>
  <c r="GB15" i="41"/>
  <c r="FZ15" i="41"/>
  <c r="FY15" i="41"/>
  <c r="FW15" i="41"/>
  <c r="FU15" i="41"/>
  <c r="FT15" i="41"/>
  <c r="FN15" i="41"/>
  <c r="FM15" i="41"/>
  <c r="FL15" i="41"/>
  <c r="FJ15" i="41"/>
  <c r="FI15" i="41"/>
  <c r="FH15" i="41"/>
  <c r="FG15" i="41"/>
  <c r="FF15" i="41"/>
  <c r="FE15" i="41"/>
  <c r="FD15" i="41"/>
  <c r="FC15" i="41"/>
  <c r="ED15" i="41"/>
  <c r="EC15" i="41"/>
  <c r="EB15" i="41"/>
  <c r="EA15" i="41"/>
  <c r="DY15" i="41"/>
  <c r="DU15" i="41"/>
  <c r="DT15" i="41"/>
  <c r="FG13" i="41"/>
  <c r="ED13" i="41"/>
  <c r="EB13" i="41"/>
  <c r="DV13" i="41"/>
  <c r="DT13" i="41"/>
  <c r="FB46" i="41" l="1"/>
  <c r="GA46" i="41"/>
  <c r="FY46" i="41"/>
  <c r="EO46" i="41"/>
  <c r="FA46" i="41"/>
  <c r="EP46" i="41"/>
  <c r="GD46" i="41"/>
  <c r="EN46" i="41"/>
  <c r="EZ46" i="41"/>
  <c r="GB46" i="41"/>
  <c r="EE46" i="41"/>
  <c r="EU46" i="41"/>
  <c r="FC46" i="41"/>
  <c r="FK46" i="41"/>
  <c r="FM46" i="41"/>
  <c r="EH46" i="41"/>
  <c r="EX46" i="41"/>
  <c r="FF46" i="41"/>
  <c r="GH46" i="41"/>
  <c r="EM46" i="41"/>
  <c r="EY46" i="41"/>
  <c r="P77" i="41" s="1"/>
  <c r="GI46" i="41"/>
  <c r="DW46" i="41"/>
  <c r="DP46" i="41"/>
  <c r="EA46" i="41"/>
  <c r="DV46" i="41"/>
  <c r="ED46" i="41"/>
  <c r="DR46" i="41"/>
  <c r="DX46" i="41"/>
  <c r="DO46" i="41"/>
  <c r="EF46" i="41"/>
  <c r="EV46" i="41"/>
  <c r="FD46" i="41"/>
  <c r="EG46" i="41"/>
  <c r="EW46" i="41"/>
  <c r="FE46" i="41"/>
  <c r="FS46" i="41"/>
  <c r="GC46" i="41"/>
  <c r="FT46" i="41"/>
  <c r="FU46" i="41"/>
  <c r="GF46" i="41"/>
  <c r="DS46" i="41"/>
  <c r="DT46" i="41"/>
  <c r="GG46" i="41"/>
  <c r="EB46" i="41"/>
  <c r="FZ46" i="41"/>
  <c r="FW46" i="41"/>
  <c r="GE46" i="41"/>
  <c r="DQ46" i="41"/>
  <c r="DY46" i="41"/>
  <c r="DU46" i="41"/>
  <c r="EC46" i="41"/>
  <c r="Q78" i="41" l="1"/>
  <c r="Q76" i="41"/>
  <c r="P70" i="41"/>
  <c r="AR16" i="43" l="1"/>
  <c r="AS16" i="43" s="1"/>
  <c r="B4" i="48" s="1"/>
  <c r="AD16" i="43"/>
  <c r="AE16" i="43" s="1"/>
  <c r="C5" i="49"/>
  <c r="D5" i="49"/>
  <c r="E5" i="49"/>
  <c r="F5" i="49"/>
  <c r="G5" i="49"/>
  <c r="C6" i="49"/>
  <c r="D6" i="49"/>
  <c r="E6" i="49"/>
  <c r="F6" i="49"/>
  <c r="G6" i="49"/>
  <c r="C7" i="49"/>
  <c r="D7" i="49"/>
  <c r="E7" i="49"/>
  <c r="F7" i="49"/>
  <c r="G7" i="49"/>
  <c r="C8" i="49"/>
  <c r="D8" i="49"/>
  <c r="E8" i="49"/>
  <c r="F8" i="49"/>
  <c r="G8" i="49"/>
  <c r="C9" i="49"/>
  <c r="D9" i="49"/>
  <c r="E9" i="49"/>
  <c r="F9" i="49"/>
  <c r="G9" i="49"/>
  <c r="C10" i="49"/>
  <c r="D10" i="49"/>
  <c r="E10" i="49"/>
  <c r="F10" i="49"/>
  <c r="G10" i="49"/>
  <c r="C11" i="49"/>
  <c r="D11" i="49"/>
  <c r="E11" i="49"/>
  <c r="F11" i="49"/>
  <c r="G11" i="49"/>
  <c r="C12" i="49"/>
  <c r="D12" i="49"/>
  <c r="E12" i="49"/>
  <c r="F12" i="49"/>
  <c r="G12" i="49"/>
  <c r="C13" i="49"/>
  <c r="D13" i="49"/>
  <c r="E13" i="49"/>
  <c r="F13" i="49"/>
  <c r="G13" i="49"/>
  <c r="C14" i="49"/>
  <c r="D14" i="49"/>
  <c r="E14" i="49"/>
  <c r="F14" i="49"/>
  <c r="G14" i="49"/>
  <c r="C15" i="49"/>
  <c r="D15" i="49"/>
  <c r="E15" i="49"/>
  <c r="F15" i="49"/>
  <c r="G15" i="49"/>
  <c r="C16" i="49"/>
  <c r="D16" i="49"/>
  <c r="E16" i="49"/>
  <c r="F16" i="49"/>
  <c r="G16" i="49"/>
  <c r="C17" i="49"/>
  <c r="D17" i="49"/>
  <c r="E17" i="49"/>
  <c r="F17" i="49"/>
  <c r="G17" i="49"/>
  <c r="C18" i="49"/>
  <c r="D18" i="49"/>
  <c r="E18" i="49"/>
  <c r="F18" i="49"/>
  <c r="G18" i="49"/>
  <c r="C19" i="49"/>
  <c r="D19" i="49"/>
  <c r="E19" i="49"/>
  <c r="F19" i="49"/>
  <c r="G19" i="49"/>
  <c r="C20" i="49"/>
  <c r="D20" i="49"/>
  <c r="E20" i="49"/>
  <c r="F20" i="49"/>
  <c r="G20" i="49"/>
  <c r="C21" i="49"/>
  <c r="D21" i="49"/>
  <c r="E21" i="49"/>
  <c r="F21" i="49"/>
  <c r="G21" i="49"/>
  <c r="C5" i="48"/>
  <c r="D5" i="48"/>
  <c r="E5" i="48"/>
  <c r="F5" i="48"/>
  <c r="G5" i="48"/>
  <c r="C6" i="48"/>
  <c r="D6" i="48"/>
  <c r="E6" i="48"/>
  <c r="F6" i="48"/>
  <c r="G6" i="48"/>
  <c r="C7" i="48"/>
  <c r="D7" i="48"/>
  <c r="E7" i="48"/>
  <c r="F7" i="48"/>
  <c r="G7" i="48"/>
  <c r="C8" i="48"/>
  <c r="D8" i="48"/>
  <c r="E8" i="48"/>
  <c r="F8" i="48"/>
  <c r="G8" i="48"/>
  <c r="C9" i="48"/>
  <c r="D9" i="48"/>
  <c r="E9" i="48"/>
  <c r="F9" i="48"/>
  <c r="G9" i="48"/>
  <c r="C10" i="48"/>
  <c r="D10" i="48"/>
  <c r="E10" i="48"/>
  <c r="F10" i="48"/>
  <c r="G10" i="48"/>
  <c r="C11" i="48"/>
  <c r="D11" i="48"/>
  <c r="E11" i="48"/>
  <c r="F11" i="48"/>
  <c r="G11" i="48"/>
  <c r="C12" i="48"/>
  <c r="D12" i="48"/>
  <c r="E12" i="48"/>
  <c r="F12" i="48"/>
  <c r="G12" i="48"/>
  <c r="C13" i="48"/>
  <c r="D13" i="48"/>
  <c r="E13" i="48"/>
  <c r="F13" i="48"/>
  <c r="G13" i="48"/>
  <c r="C14" i="48"/>
  <c r="D14" i="48"/>
  <c r="E14" i="48"/>
  <c r="F14" i="48"/>
  <c r="G14" i="48"/>
  <c r="C15" i="48"/>
  <c r="D15" i="48"/>
  <c r="E15" i="48"/>
  <c r="F15" i="48"/>
  <c r="G15" i="48"/>
  <c r="C16" i="48"/>
  <c r="D16" i="48"/>
  <c r="E16" i="48"/>
  <c r="F16" i="48"/>
  <c r="G16" i="48"/>
  <c r="C17" i="48"/>
  <c r="D17" i="48"/>
  <c r="E17" i="48"/>
  <c r="F17" i="48"/>
  <c r="G17" i="48"/>
  <c r="C18" i="48"/>
  <c r="D18" i="48"/>
  <c r="E18" i="48"/>
  <c r="F18" i="48"/>
  <c r="G18" i="48"/>
  <c r="C19" i="48"/>
  <c r="D19" i="48"/>
  <c r="E19" i="48"/>
  <c r="F19" i="48"/>
  <c r="G19" i="48"/>
  <c r="C20" i="48"/>
  <c r="D20" i="48"/>
  <c r="E20" i="48"/>
  <c r="F20" i="48"/>
  <c r="G20" i="48"/>
  <c r="C21" i="48"/>
  <c r="D21" i="48"/>
  <c r="E21" i="48"/>
  <c r="F21" i="48"/>
  <c r="G21" i="48"/>
  <c r="G4" i="48"/>
  <c r="F4" i="48"/>
  <c r="E4" i="48"/>
  <c r="D4" i="48"/>
  <c r="C4" i="48"/>
  <c r="G4" i="49"/>
  <c r="F4" i="49"/>
  <c r="E4" i="49"/>
  <c r="D4" i="49"/>
  <c r="C4" i="49"/>
  <c r="F2" i="48"/>
  <c r="D2" i="48"/>
  <c r="F2" i="49"/>
  <c r="D2" i="49"/>
  <c r="F2" i="47"/>
  <c r="D2" i="47"/>
  <c r="F2" i="46"/>
  <c r="C5" i="47"/>
  <c r="D5" i="47"/>
  <c r="E5" i="47"/>
  <c r="F5" i="47"/>
  <c r="G5" i="47"/>
  <c r="C6" i="47"/>
  <c r="D6" i="47"/>
  <c r="E6" i="47"/>
  <c r="F6" i="47"/>
  <c r="G6" i="47"/>
  <c r="C7" i="47"/>
  <c r="D7" i="47"/>
  <c r="E7" i="47"/>
  <c r="F7" i="47"/>
  <c r="G7" i="47"/>
  <c r="C8" i="47"/>
  <c r="D8" i="47"/>
  <c r="E8" i="47"/>
  <c r="F8" i="47"/>
  <c r="G8" i="47"/>
  <c r="C9" i="47"/>
  <c r="D9" i="47"/>
  <c r="E9" i="47"/>
  <c r="F9" i="47"/>
  <c r="G9" i="47"/>
  <c r="C10" i="47"/>
  <c r="D10" i="47"/>
  <c r="E10" i="47"/>
  <c r="F10" i="47"/>
  <c r="G10" i="47"/>
  <c r="C11" i="47"/>
  <c r="D11" i="47"/>
  <c r="E11" i="47"/>
  <c r="F11" i="47"/>
  <c r="G11" i="47"/>
  <c r="C12" i="47"/>
  <c r="D12" i="47"/>
  <c r="E12" i="47"/>
  <c r="F12" i="47"/>
  <c r="G12" i="47"/>
  <c r="C13" i="47"/>
  <c r="D13" i="47"/>
  <c r="E13" i="47"/>
  <c r="F13" i="47"/>
  <c r="G13" i="47"/>
  <c r="C14" i="47"/>
  <c r="D14" i="47"/>
  <c r="E14" i="47"/>
  <c r="F14" i="47"/>
  <c r="G14" i="47"/>
  <c r="C15" i="47"/>
  <c r="D15" i="47"/>
  <c r="E15" i="47"/>
  <c r="F15" i="47"/>
  <c r="G15" i="47"/>
  <c r="C16" i="47"/>
  <c r="D16" i="47"/>
  <c r="E16" i="47"/>
  <c r="F16" i="47"/>
  <c r="G16" i="47"/>
  <c r="C17" i="47"/>
  <c r="D17" i="47"/>
  <c r="E17" i="47"/>
  <c r="F17" i="47"/>
  <c r="G17" i="47"/>
  <c r="C18" i="47"/>
  <c r="D18" i="47"/>
  <c r="E18" i="47"/>
  <c r="F18" i="47"/>
  <c r="G18" i="47"/>
  <c r="C19" i="47"/>
  <c r="D19" i="47"/>
  <c r="E19" i="47"/>
  <c r="F19" i="47"/>
  <c r="G19" i="47"/>
  <c r="C20" i="47"/>
  <c r="D20" i="47"/>
  <c r="E20" i="47"/>
  <c r="F20" i="47"/>
  <c r="G20" i="47"/>
  <c r="C21" i="47"/>
  <c r="D21" i="47"/>
  <c r="E21" i="47"/>
  <c r="F21" i="47"/>
  <c r="G21" i="47"/>
  <c r="G4" i="47"/>
  <c r="F4" i="47"/>
  <c r="E4" i="47"/>
  <c r="D4" i="47"/>
  <c r="C4" i="47"/>
  <c r="A4" i="48"/>
  <c r="A4" i="49" l="1"/>
  <c r="AR17" i="43"/>
  <c r="AD17" i="43"/>
  <c r="B4" i="49"/>
  <c r="AS17" i="43" l="1"/>
  <c r="A5" i="48"/>
  <c r="AE17" i="43"/>
  <c r="A5" i="49"/>
  <c r="B5" i="48" l="1"/>
  <c r="AR18" i="43"/>
  <c r="AD18" i="43"/>
  <c r="B5" i="49"/>
  <c r="AS18" i="43" l="1"/>
  <c r="A6" i="48"/>
  <c r="AE18" i="43"/>
  <c r="A6" i="49"/>
  <c r="B6" i="48" l="1"/>
  <c r="AR19" i="43"/>
  <c r="AD19" i="43"/>
  <c r="B6" i="49"/>
  <c r="A7" i="48" l="1"/>
  <c r="AS19" i="43"/>
  <c r="A7" i="49"/>
  <c r="AE19" i="43"/>
  <c r="B7" i="48" l="1"/>
  <c r="AR20" i="43"/>
  <c r="B7" i="49"/>
  <c r="AD20" i="43"/>
  <c r="AE20" i="43" l="1"/>
  <c r="A8" i="49"/>
  <c r="AS20" i="43"/>
  <c r="A8" i="48"/>
  <c r="B8" i="48" l="1"/>
  <c r="AR21" i="43"/>
  <c r="B8" i="49"/>
  <c r="AD21" i="43"/>
  <c r="A9" i="48" l="1"/>
  <c r="AS21" i="43"/>
  <c r="AE21" i="43"/>
  <c r="A9" i="49"/>
  <c r="AR22" i="43" l="1"/>
  <c r="B9" i="48"/>
  <c r="B9" i="49"/>
  <c r="AD22" i="43"/>
  <c r="AS22" i="43" l="1"/>
  <c r="A10" i="48"/>
  <c r="AE22" i="43"/>
  <c r="A10" i="49"/>
  <c r="AR23" i="43" l="1"/>
  <c r="B10" i="48"/>
  <c r="B10" i="49"/>
  <c r="AD23" i="43"/>
  <c r="P16" i="43"/>
  <c r="A4" i="47" s="1"/>
  <c r="AS23" i="43" l="1"/>
  <c r="A11" i="48"/>
  <c r="AE23" i="43"/>
  <c r="A11" i="49"/>
  <c r="R111" i="41"/>
  <c r="I56" i="41" s="1"/>
  <c r="B11" i="48" l="1"/>
  <c r="AR24" i="43"/>
  <c r="B11" i="49"/>
  <c r="AD24" i="43"/>
  <c r="V111" i="41"/>
  <c r="A12" i="48" l="1"/>
  <c r="AS24" i="43"/>
  <c r="AE24" i="43"/>
  <c r="A12" i="49"/>
  <c r="CL42" i="68"/>
  <c r="B12" i="48" l="1"/>
  <c r="AR25" i="43"/>
  <c r="B12" i="49"/>
  <c r="AD25" i="43"/>
  <c r="G75" i="1"/>
  <c r="F75" i="1"/>
  <c r="G102" i="1"/>
  <c r="F102" i="1"/>
  <c r="G93" i="1"/>
  <c r="F93" i="1"/>
  <c r="G84" i="1"/>
  <c r="F84" i="1"/>
  <c r="CD42" i="68"/>
  <c r="CE42" i="68"/>
  <c r="CF42" i="68"/>
  <c r="CG42" i="68"/>
  <c r="CH42" i="68"/>
  <c r="CI42" i="68"/>
  <c r="CJ42" i="68"/>
  <c r="CK42" i="68"/>
  <c r="CM42" i="68"/>
  <c r="CN42" i="68"/>
  <c r="CO42" i="68"/>
  <c r="CP42" i="68"/>
  <c r="CQ42" i="68"/>
  <c r="CR42" i="68"/>
  <c r="CS42" i="68"/>
  <c r="CT42" i="68"/>
  <c r="CU42" i="68"/>
  <c r="CV42" i="68"/>
  <c r="CW42" i="68"/>
  <c r="CD43" i="68"/>
  <c r="CE43" i="68"/>
  <c r="CF43" i="68"/>
  <c r="CG43" i="68"/>
  <c r="CH43" i="68"/>
  <c r="CI43" i="68"/>
  <c r="CJ43" i="68"/>
  <c r="CK43" i="68"/>
  <c r="CL43" i="68"/>
  <c r="CM43" i="68"/>
  <c r="CN43" i="68"/>
  <c r="CO43" i="68"/>
  <c r="CP43" i="68"/>
  <c r="CQ43" i="68"/>
  <c r="CR43" i="68"/>
  <c r="CS43" i="68"/>
  <c r="CT43" i="68"/>
  <c r="CU43" i="68"/>
  <c r="CV43" i="68"/>
  <c r="CW43" i="68"/>
  <c r="BG42" i="68"/>
  <c r="BH42" i="68"/>
  <c r="BI42" i="68"/>
  <c r="BJ42" i="68"/>
  <c r="BK42" i="68"/>
  <c r="BL42" i="68"/>
  <c r="BM42" i="68"/>
  <c r="BN42" i="68"/>
  <c r="BO42" i="68"/>
  <c r="BP42" i="68"/>
  <c r="BQ42" i="68"/>
  <c r="BR42" i="68"/>
  <c r="BS42" i="68"/>
  <c r="BT42" i="68"/>
  <c r="BU42" i="68"/>
  <c r="BV42" i="68"/>
  <c r="BW42" i="68"/>
  <c r="BX42" i="68"/>
  <c r="BY42" i="68"/>
  <c r="BZ42" i="68"/>
  <c r="S55" i="43"/>
  <c r="BC52" i="43"/>
  <c r="BA55" i="43"/>
  <c r="BA52" i="43"/>
  <c r="AY55" i="43"/>
  <c r="AW55" i="43"/>
  <c r="AU55" i="43"/>
  <c r="AU52" i="43"/>
  <c r="AO52" i="43"/>
  <c r="AK55" i="43"/>
  <c r="AG55" i="43"/>
  <c r="AG52" i="43"/>
  <c r="AA55" i="43"/>
  <c r="Y52" i="43"/>
  <c r="U52" i="43"/>
  <c r="S52" i="43"/>
  <c r="M55" i="43"/>
  <c r="M52" i="43"/>
  <c r="AQ10" i="43"/>
  <c r="A1" i="48" s="1"/>
  <c r="AC10" i="43"/>
  <c r="A1" i="49" s="1"/>
  <c r="O10" i="43"/>
  <c r="A1" i="47" s="1"/>
  <c r="Q16" i="43"/>
  <c r="B16" i="43"/>
  <c r="C16" i="43" s="1"/>
  <c r="A13" i="48" l="1"/>
  <c r="AS25" i="43"/>
  <c r="A13" i="49"/>
  <c r="AE25" i="43"/>
  <c r="P17" i="43"/>
  <c r="B4" i="47"/>
  <c r="Y55" i="43"/>
  <c r="BC55" i="43"/>
  <c r="AY52" i="43"/>
  <c r="AW52" i="43"/>
  <c r="AI55" i="43"/>
  <c r="AM55" i="43"/>
  <c r="AI52" i="43"/>
  <c r="AO55" i="43"/>
  <c r="AK52" i="43"/>
  <c r="AM52" i="43"/>
  <c r="U55" i="43"/>
  <c r="W55" i="43"/>
  <c r="AA52" i="43"/>
  <c r="W52" i="43"/>
  <c r="G55" i="43"/>
  <c r="G52" i="43"/>
  <c r="I52" i="43"/>
  <c r="I55" i="43"/>
  <c r="K52" i="43"/>
  <c r="K55" i="43"/>
  <c r="AR26" i="43" l="1"/>
  <c r="B13" i="48"/>
  <c r="AD26" i="43"/>
  <c r="B13" i="49"/>
  <c r="Q17" i="43"/>
  <c r="A5" i="47"/>
  <c r="BD46" i="43"/>
  <c r="E52" i="43"/>
  <c r="AS26" i="43" l="1"/>
  <c r="A14" i="48"/>
  <c r="A14" i="49"/>
  <c r="AE26" i="43"/>
  <c r="P18" i="43"/>
  <c r="B5" i="47"/>
  <c r="J23" i="61"/>
  <c r="B2" i="61"/>
  <c r="B28" i="44"/>
  <c r="A10" i="43"/>
  <c r="B14" i="48" l="1"/>
  <c r="AR27" i="43"/>
  <c r="B14" i="49"/>
  <c r="AD27" i="43"/>
  <c r="Q18" i="43"/>
  <c r="A6" i="47"/>
  <c r="AS27" i="43" l="1"/>
  <c r="A15" i="48"/>
  <c r="A15" i="49"/>
  <c r="AE27" i="43"/>
  <c r="P19" i="43"/>
  <c r="B6" i="47"/>
  <c r="AR28" i="43" l="1"/>
  <c r="B15" i="48"/>
  <c r="B15" i="49"/>
  <c r="AD28" i="43"/>
  <c r="Q19" i="43"/>
  <c r="A7" i="47"/>
  <c r="AS28" i="43" l="1"/>
  <c r="A16" i="48"/>
  <c r="A16" i="49"/>
  <c r="AE28" i="43"/>
  <c r="A92" i="73"/>
  <c r="P20" i="43"/>
  <c r="B7" i="47"/>
  <c r="A91" i="70"/>
  <c r="D80" i="41"/>
  <c r="D70" i="41"/>
  <c r="Y42" i="68"/>
  <c r="Z42" i="68"/>
  <c r="AA42" i="68"/>
  <c r="AB42" i="68"/>
  <c r="AC42" i="68"/>
  <c r="AD42" i="68"/>
  <c r="AE42" i="68"/>
  <c r="AF42" i="68"/>
  <c r="BC42" i="68"/>
  <c r="BD42" i="68"/>
  <c r="BE42" i="68"/>
  <c r="BF42" i="68"/>
  <c r="CB42" i="68"/>
  <c r="CC42" i="68"/>
  <c r="CY42" i="68"/>
  <c r="CZ42" i="68"/>
  <c r="DA42" i="68"/>
  <c r="DB42" i="68"/>
  <c r="DC42" i="68"/>
  <c r="DD42" i="68"/>
  <c r="DE42" i="68"/>
  <c r="DF42" i="68"/>
  <c r="DH42" i="68"/>
  <c r="DK42" i="68" s="1"/>
  <c r="DI42" i="68"/>
  <c r="DL42" i="68" s="1"/>
  <c r="DJ42" i="68"/>
  <c r="DM42" i="68" s="1"/>
  <c r="DI43" i="68"/>
  <c r="DL43" i="68" s="1"/>
  <c r="DJ43" i="68"/>
  <c r="DM43" i="68" s="1"/>
  <c r="AR29" i="43" l="1"/>
  <c r="B16" i="48"/>
  <c r="AD29" i="43"/>
  <c r="B16" i="49"/>
  <c r="FX42" i="68"/>
  <c r="FV42" i="68"/>
  <c r="FR42" i="68"/>
  <c r="FP42" i="68"/>
  <c r="FN42" i="68"/>
  <c r="FL42" i="68"/>
  <c r="Q20" i="43"/>
  <c r="A8" i="47"/>
  <c r="DG42" i="68"/>
  <c r="DN42" i="68"/>
  <c r="K98" i="44"/>
  <c r="K99" i="44"/>
  <c r="K100" i="44"/>
  <c r="K101" i="44"/>
  <c r="K102" i="44"/>
  <c r="K103" i="44"/>
  <c r="K104" i="44"/>
  <c r="K105" i="44"/>
  <c r="K106" i="44"/>
  <c r="K107" i="44"/>
  <c r="K108" i="44"/>
  <c r="K109" i="44"/>
  <c r="K110" i="44"/>
  <c r="K111" i="44"/>
  <c r="K112" i="44"/>
  <c r="K113" i="44"/>
  <c r="K114" i="44"/>
  <c r="K115" i="44"/>
  <c r="K116" i="44"/>
  <c r="K117" i="44"/>
  <c r="K118" i="44"/>
  <c r="K119" i="44"/>
  <c r="K120" i="44"/>
  <c r="K121" i="44"/>
  <c r="K78" i="44"/>
  <c r="K79" i="44"/>
  <c r="K80" i="44"/>
  <c r="K81" i="44"/>
  <c r="K82" i="44"/>
  <c r="K83" i="44"/>
  <c r="K84" i="44"/>
  <c r="K85" i="44"/>
  <c r="K86" i="44"/>
  <c r="K87" i="44"/>
  <c r="K88" i="44"/>
  <c r="K89" i="44"/>
  <c r="K90" i="44"/>
  <c r="K91" i="44"/>
  <c r="K92" i="44"/>
  <c r="K93" i="44"/>
  <c r="K94" i="44"/>
  <c r="K95" i="44"/>
  <c r="K96" i="44"/>
  <c r="K97" i="44"/>
  <c r="I114" i="44"/>
  <c r="I115" i="44"/>
  <c r="I116" i="44"/>
  <c r="I117" i="44"/>
  <c r="I118" i="44"/>
  <c r="I119" i="44"/>
  <c r="I120" i="44"/>
  <c r="I121" i="44"/>
  <c r="I109" i="44"/>
  <c r="I110" i="44"/>
  <c r="I111" i="44"/>
  <c r="I112" i="44"/>
  <c r="I113" i="44"/>
  <c r="I107" i="44"/>
  <c r="I108" i="44"/>
  <c r="I105" i="44"/>
  <c r="I106" i="44"/>
  <c r="I103" i="44"/>
  <c r="I104" i="44"/>
  <c r="I102" i="44"/>
  <c r="I99" i="44"/>
  <c r="I100" i="44"/>
  <c r="I101" i="44"/>
  <c r="I95" i="44"/>
  <c r="I96" i="44"/>
  <c r="I97" i="44"/>
  <c r="I98" i="44"/>
  <c r="I91" i="44"/>
  <c r="I92" i="44"/>
  <c r="I93" i="44"/>
  <c r="I94" i="44"/>
  <c r="I86" i="44"/>
  <c r="I87" i="44"/>
  <c r="I88" i="44"/>
  <c r="I89" i="44"/>
  <c r="I90" i="44"/>
  <c r="I84" i="44"/>
  <c r="I85" i="44"/>
  <c r="I82" i="44"/>
  <c r="I83" i="44"/>
  <c r="I80" i="44"/>
  <c r="I81" i="44"/>
  <c r="I78" i="44"/>
  <c r="I79" i="44"/>
  <c r="B121" i="44"/>
  <c r="B117" i="44"/>
  <c r="B118" i="44"/>
  <c r="B119" i="44"/>
  <c r="B120" i="44"/>
  <c r="B115" i="44"/>
  <c r="B116" i="44"/>
  <c r="B112" i="44"/>
  <c r="B113" i="44"/>
  <c r="B114" i="44"/>
  <c r="B109" i="44"/>
  <c r="B110" i="44"/>
  <c r="B111" i="44"/>
  <c r="B107" i="44"/>
  <c r="B108" i="44"/>
  <c r="B105" i="44"/>
  <c r="B106" i="44"/>
  <c r="B103" i="44"/>
  <c r="B104" i="44"/>
  <c r="B102" i="44"/>
  <c r="B99" i="44"/>
  <c r="B100" i="44"/>
  <c r="B101" i="44"/>
  <c r="B93" i="44"/>
  <c r="B94" i="44"/>
  <c r="B95" i="44"/>
  <c r="B96" i="44"/>
  <c r="B97" i="44"/>
  <c r="B98" i="44"/>
  <c r="B87" i="44"/>
  <c r="B88" i="44"/>
  <c r="B89" i="44"/>
  <c r="B90" i="44"/>
  <c r="B91" i="44"/>
  <c r="B92" i="44"/>
  <c r="B82" i="44"/>
  <c r="B83" i="44"/>
  <c r="B84" i="44"/>
  <c r="B85" i="44"/>
  <c r="B86" i="44"/>
  <c r="K63" i="43"/>
  <c r="L63" i="43"/>
  <c r="M63" i="43"/>
  <c r="N63" i="43"/>
  <c r="O63" i="43"/>
  <c r="P63" i="43"/>
  <c r="Q63" i="43"/>
  <c r="R63" i="43"/>
  <c r="S63" i="43"/>
  <c r="T63" i="43"/>
  <c r="U63" i="43"/>
  <c r="V63" i="43"/>
  <c r="K64" i="43"/>
  <c r="L64" i="43"/>
  <c r="M64" i="43"/>
  <c r="N64" i="43"/>
  <c r="O64" i="43"/>
  <c r="P64" i="43"/>
  <c r="Q64" i="43"/>
  <c r="R64" i="43"/>
  <c r="S64" i="43"/>
  <c r="T64" i="43"/>
  <c r="U64" i="43"/>
  <c r="V64" i="43"/>
  <c r="K65" i="43"/>
  <c r="L65" i="43"/>
  <c r="M65" i="43"/>
  <c r="N65" i="43"/>
  <c r="O65" i="43"/>
  <c r="P65" i="43"/>
  <c r="Q65" i="43"/>
  <c r="R65" i="43"/>
  <c r="S65" i="43"/>
  <c r="T65" i="43"/>
  <c r="U65" i="43"/>
  <c r="V65" i="43"/>
  <c r="K66" i="43"/>
  <c r="L66" i="43"/>
  <c r="M66" i="43"/>
  <c r="N66" i="43"/>
  <c r="O66" i="43"/>
  <c r="P66" i="43"/>
  <c r="Q66" i="43"/>
  <c r="R66" i="43"/>
  <c r="S66" i="43"/>
  <c r="T66" i="43"/>
  <c r="U66" i="43"/>
  <c r="V66" i="43"/>
  <c r="K67" i="43"/>
  <c r="L67" i="43"/>
  <c r="M67" i="43"/>
  <c r="N67" i="43"/>
  <c r="O67" i="43"/>
  <c r="P67" i="43"/>
  <c r="Q67" i="43"/>
  <c r="R67" i="43"/>
  <c r="S67" i="43"/>
  <c r="T67" i="43"/>
  <c r="U67" i="43"/>
  <c r="V67" i="43"/>
  <c r="K68" i="43"/>
  <c r="L68" i="43"/>
  <c r="M68" i="43"/>
  <c r="N68" i="43"/>
  <c r="O68" i="43"/>
  <c r="P68" i="43"/>
  <c r="Q68" i="43"/>
  <c r="R68" i="43"/>
  <c r="S68" i="43"/>
  <c r="T68" i="43"/>
  <c r="U68" i="43"/>
  <c r="V68" i="43"/>
  <c r="K69" i="43"/>
  <c r="L69" i="43"/>
  <c r="M69" i="43"/>
  <c r="N69" i="43"/>
  <c r="O69" i="43"/>
  <c r="P69" i="43"/>
  <c r="Q69" i="43"/>
  <c r="R69" i="43"/>
  <c r="S69" i="43"/>
  <c r="T69" i="43"/>
  <c r="U69" i="43"/>
  <c r="V69" i="43"/>
  <c r="K70" i="43"/>
  <c r="L70" i="43"/>
  <c r="M70" i="43"/>
  <c r="N70" i="43"/>
  <c r="O70" i="43"/>
  <c r="P70" i="43"/>
  <c r="Q70" i="43"/>
  <c r="R70" i="43"/>
  <c r="S70" i="43"/>
  <c r="T70" i="43"/>
  <c r="U70" i="43"/>
  <c r="V70" i="43"/>
  <c r="K71" i="43"/>
  <c r="L71" i="43"/>
  <c r="M71" i="43"/>
  <c r="N71" i="43"/>
  <c r="O71" i="43"/>
  <c r="P71" i="43"/>
  <c r="Q71" i="43"/>
  <c r="R71" i="43"/>
  <c r="S71" i="43"/>
  <c r="T71" i="43"/>
  <c r="U71" i="43"/>
  <c r="V71" i="43"/>
  <c r="K72" i="43"/>
  <c r="L72" i="43"/>
  <c r="M72" i="43"/>
  <c r="N72" i="43"/>
  <c r="O72" i="43"/>
  <c r="P72" i="43"/>
  <c r="Q72" i="43"/>
  <c r="R72" i="43"/>
  <c r="S72" i="43"/>
  <c r="T72" i="43"/>
  <c r="U72" i="43"/>
  <c r="V72" i="43"/>
  <c r="K73" i="43"/>
  <c r="L73" i="43"/>
  <c r="M73" i="43"/>
  <c r="N73" i="43"/>
  <c r="O73" i="43"/>
  <c r="P73" i="43"/>
  <c r="Q73" i="43"/>
  <c r="R73" i="43"/>
  <c r="S73" i="43"/>
  <c r="T73" i="43"/>
  <c r="U73" i="43"/>
  <c r="V73" i="43"/>
  <c r="K74" i="43"/>
  <c r="L74" i="43"/>
  <c r="M74" i="43"/>
  <c r="N74" i="43"/>
  <c r="O74" i="43"/>
  <c r="P74" i="43"/>
  <c r="Q74" i="43"/>
  <c r="R74" i="43"/>
  <c r="S74" i="43"/>
  <c r="T74" i="43"/>
  <c r="U74" i="43"/>
  <c r="V74" i="43"/>
  <c r="K75" i="43"/>
  <c r="L75" i="43"/>
  <c r="M75" i="43"/>
  <c r="N75" i="43"/>
  <c r="O75" i="43"/>
  <c r="P75" i="43"/>
  <c r="Q75" i="43"/>
  <c r="R75" i="43"/>
  <c r="S75" i="43"/>
  <c r="T75" i="43"/>
  <c r="U75" i="43"/>
  <c r="V75" i="43"/>
  <c r="K76" i="43"/>
  <c r="L76" i="43"/>
  <c r="M76" i="43"/>
  <c r="N76" i="43"/>
  <c r="O76" i="43"/>
  <c r="P76" i="43"/>
  <c r="Q76" i="43"/>
  <c r="R76" i="43"/>
  <c r="S76" i="43"/>
  <c r="T76" i="43"/>
  <c r="U76" i="43"/>
  <c r="V76" i="43"/>
  <c r="K77" i="43"/>
  <c r="L77" i="43"/>
  <c r="M77" i="43"/>
  <c r="N77" i="43"/>
  <c r="O77" i="43"/>
  <c r="P77" i="43"/>
  <c r="Q77" i="43"/>
  <c r="R77" i="43"/>
  <c r="S77" i="43"/>
  <c r="T77" i="43"/>
  <c r="U77" i="43"/>
  <c r="V77" i="43"/>
  <c r="K78" i="43"/>
  <c r="L78" i="43"/>
  <c r="M78" i="43"/>
  <c r="N78" i="43"/>
  <c r="O78" i="43"/>
  <c r="P78" i="43"/>
  <c r="Q78" i="43"/>
  <c r="R78" i="43"/>
  <c r="S78" i="43"/>
  <c r="T78" i="43"/>
  <c r="U78" i="43"/>
  <c r="V78" i="43"/>
  <c r="K79" i="43"/>
  <c r="L79" i="43"/>
  <c r="M79" i="43"/>
  <c r="N79" i="43"/>
  <c r="O79" i="43"/>
  <c r="P79" i="43"/>
  <c r="Q79" i="43"/>
  <c r="R79" i="43"/>
  <c r="S79" i="43"/>
  <c r="T79" i="43"/>
  <c r="U79" i="43"/>
  <c r="V79" i="43"/>
  <c r="K80" i="43"/>
  <c r="L80" i="43"/>
  <c r="M80" i="43"/>
  <c r="N80" i="43"/>
  <c r="O80" i="43"/>
  <c r="P80" i="43"/>
  <c r="Q80" i="43"/>
  <c r="R80" i="43"/>
  <c r="S80" i="43"/>
  <c r="T80" i="43"/>
  <c r="U80" i="43"/>
  <c r="V80" i="43"/>
  <c r="K81" i="43"/>
  <c r="L81" i="43"/>
  <c r="M81" i="43"/>
  <c r="N81" i="43"/>
  <c r="O81" i="43"/>
  <c r="P81" i="43"/>
  <c r="Q81" i="43"/>
  <c r="R81" i="43"/>
  <c r="S81" i="43"/>
  <c r="T81" i="43"/>
  <c r="U81" i="43"/>
  <c r="V81" i="43"/>
  <c r="K82" i="43"/>
  <c r="L82" i="43"/>
  <c r="M82" i="43"/>
  <c r="N82" i="43"/>
  <c r="O82" i="43"/>
  <c r="P82" i="43"/>
  <c r="Q82" i="43"/>
  <c r="R82" i="43"/>
  <c r="S82" i="43"/>
  <c r="T82" i="43"/>
  <c r="U82" i="43"/>
  <c r="V82" i="43"/>
  <c r="K83" i="43"/>
  <c r="L83" i="43"/>
  <c r="M83" i="43"/>
  <c r="N83" i="43"/>
  <c r="O83" i="43"/>
  <c r="P83" i="43"/>
  <c r="Q83" i="43"/>
  <c r="R83" i="43"/>
  <c r="S83" i="43"/>
  <c r="T83" i="43"/>
  <c r="U83" i="43"/>
  <c r="V83" i="43"/>
  <c r="K84" i="43"/>
  <c r="L84" i="43"/>
  <c r="M84" i="43"/>
  <c r="N84" i="43"/>
  <c r="O84" i="43"/>
  <c r="P84" i="43"/>
  <c r="Q84" i="43"/>
  <c r="R84" i="43"/>
  <c r="S84" i="43"/>
  <c r="T84" i="43"/>
  <c r="U84" i="43"/>
  <c r="V84" i="43"/>
  <c r="K85" i="43"/>
  <c r="L85" i="43"/>
  <c r="M85" i="43"/>
  <c r="N85" i="43"/>
  <c r="O85" i="43"/>
  <c r="P85" i="43"/>
  <c r="Q85" i="43"/>
  <c r="R85" i="43"/>
  <c r="S85" i="43"/>
  <c r="T85" i="43"/>
  <c r="U85" i="43"/>
  <c r="V85" i="43"/>
  <c r="K86" i="43"/>
  <c r="L86" i="43"/>
  <c r="M86" i="43"/>
  <c r="N86" i="43"/>
  <c r="O86" i="43"/>
  <c r="P86" i="43"/>
  <c r="Q86" i="43"/>
  <c r="R86" i="43"/>
  <c r="S86" i="43"/>
  <c r="T86" i="43"/>
  <c r="U86" i="43"/>
  <c r="V86" i="43"/>
  <c r="K87" i="43"/>
  <c r="L87" i="43"/>
  <c r="M87" i="43"/>
  <c r="N87" i="43"/>
  <c r="O87" i="43"/>
  <c r="P87" i="43"/>
  <c r="Q87" i="43"/>
  <c r="R87" i="43"/>
  <c r="S87" i="43"/>
  <c r="T87" i="43"/>
  <c r="U87" i="43"/>
  <c r="V87" i="43"/>
  <c r="K88" i="43"/>
  <c r="L88" i="43"/>
  <c r="M88" i="43"/>
  <c r="N88" i="43"/>
  <c r="O88" i="43"/>
  <c r="P88" i="43"/>
  <c r="Q88" i="43"/>
  <c r="R88" i="43"/>
  <c r="S88" i="43"/>
  <c r="T88" i="43"/>
  <c r="U88" i="43"/>
  <c r="V88" i="43"/>
  <c r="K89" i="43"/>
  <c r="L89" i="43"/>
  <c r="M89" i="43"/>
  <c r="N89" i="43"/>
  <c r="O89" i="43"/>
  <c r="P89" i="43"/>
  <c r="Q89" i="43"/>
  <c r="R89" i="43"/>
  <c r="S89" i="43"/>
  <c r="T89" i="43"/>
  <c r="U89" i="43"/>
  <c r="V89" i="43"/>
  <c r="K90" i="43"/>
  <c r="L90" i="43"/>
  <c r="M90" i="43"/>
  <c r="N90" i="43"/>
  <c r="O90" i="43"/>
  <c r="P90" i="43"/>
  <c r="Q90" i="43"/>
  <c r="R90" i="43"/>
  <c r="S90" i="43"/>
  <c r="T90" i="43"/>
  <c r="U90" i="43"/>
  <c r="V90" i="43"/>
  <c r="K91" i="43"/>
  <c r="L91" i="43"/>
  <c r="M91" i="43"/>
  <c r="N91" i="43"/>
  <c r="O91" i="43"/>
  <c r="P91" i="43"/>
  <c r="Q91" i="43"/>
  <c r="R91" i="43"/>
  <c r="S91" i="43"/>
  <c r="T91" i="43"/>
  <c r="U91" i="43"/>
  <c r="V91" i="43"/>
  <c r="K92" i="43"/>
  <c r="L92" i="43"/>
  <c r="M92" i="43"/>
  <c r="N92" i="43"/>
  <c r="O92" i="43"/>
  <c r="P92" i="43"/>
  <c r="Q92" i="43"/>
  <c r="R92" i="43"/>
  <c r="S92" i="43"/>
  <c r="T92" i="43"/>
  <c r="U92" i="43"/>
  <c r="V92" i="43"/>
  <c r="K93" i="43"/>
  <c r="L93" i="43"/>
  <c r="M93" i="43"/>
  <c r="N93" i="43"/>
  <c r="O93" i="43"/>
  <c r="P93" i="43"/>
  <c r="Q93" i="43"/>
  <c r="R93" i="43"/>
  <c r="S93" i="43"/>
  <c r="T93" i="43"/>
  <c r="U93" i="43"/>
  <c r="V93" i="43"/>
  <c r="K94" i="43"/>
  <c r="L94" i="43"/>
  <c r="M94" i="43"/>
  <c r="N94" i="43"/>
  <c r="O94" i="43"/>
  <c r="P94" i="43"/>
  <c r="Q94" i="43"/>
  <c r="R94" i="43"/>
  <c r="S94" i="43"/>
  <c r="T94" i="43"/>
  <c r="U94" i="43"/>
  <c r="V94" i="43"/>
  <c r="K95" i="43"/>
  <c r="L95" i="43"/>
  <c r="M95" i="43"/>
  <c r="N95" i="43"/>
  <c r="O95" i="43"/>
  <c r="P95" i="43"/>
  <c r="Q95" i="43"/>
  <c r="R95" i="43"/>
  <c r="S95" i="43"/>
  <c r="T95" i="43"/>
  <c r="U95" i="43"/>
  <c r="V95" i="43"/>
  <c r="K96" i="43"/>
  <c r="L96" i="43"/>
  <c r="M96" i="43"/>
  <c r="N96" i="43"/>
  <c r="O96" i="43"/>
  <c r="P96" i="43"/>
  <c r="Q96" i="43"/>
  <c r="R96" i="43"/>
  <c r="S96" i="43"/>
  <c r="T96" i="43"/>
  <c r="U96" i="43"/>
  <c r="V96" i="43"/>
  <c r="K97" i="43"/>
  <c r="L97" i="43"/>
  <c r="M97" i="43"/>
  <c r="N97" i="43"/>
  <c r="O97" i="43"/>
  <c r="P97" i="43"/>
  <c r="Q97" i="43"/>
  <c r="R97" i="43"/>
  <c r="S97" i="43"/>
  <c r="T97" i="43"/>
  <c r="U97" i="43"/>
  <c r="V97" i="43"/>
  <c r="K98" i="43"/>
  <c r="L98" i="43"/>
  <c r="M98" i="43"/>
  <c r="N98" i="43"/>
  <c r="O98" i="43"/>
  <c r="P98" i="43"/>
  <c r="Q98" i="43"/>
  <c r="R98" i="43"/>
  <c r="S98" i="43"/>
  <c r="T98" i="43"/>
  <c r="U98" i="43"/>
  <c r="V98" i="43"/>
  <c r="K99" i="43"/>
  <c r="L99" i="43"/>
  <c r="M99" i="43"/>
  <c r="N99" i="43"/>
  <c r="O99" i="43"/>
  <c r="P99" i="43"/>
  <c r="Q99" i="43"/>
  <c r="R99" i="43"/>
  <c r="S99" i="43"/>
  <c r="T99" i="43"/>
  <c r="U99" i="43"/>
  <c r="V99" i="43"/>
  <c r="K100" i="43"/>
  <c r="L100" i="43"/>
  <c r="M100" i="43"/>
  <c r="N100" i="43"/>
  <c r="O100" i="43"/>
  <c r="P100" i="43"/>
  <c r="Q100" i="43"/>
  <c r="R100" i="43"/>
  <c r="S100" i="43"/>
  <c r="T100" i="43"/>
  <c r="U100" i="43"/>
  <c r="V100" i="43"/>
  <c r="K101" i="43"/>
  <c r="L101" i="43"/>
  <c r="M101" i="43"/>
  <c r="N101" i="43"/>
  <c r="O101" i="43"/>
  <c r="P101" i="43"/>
  <c r="Q101" i="43"/>
  <c r="R101" i="43"/>
  <c r="S101" i="43"/>
  <c r="T101" i="43"/>
  <c r="U101" i="43"/>
  <c r="V101" i="43"/>
  <c r="K102" i="43"/>
  <c r="L102" i="43"/>
  <c r="M102" i="43"/>
  <c r="N102" i="43"/>
  <c r="O102" i="43"/>
  <c r="P102" i="43"/>
  <c r="Q102" i="43"/>
  <c r="R102" i="43"/>
  <c r="S102" i="43"/>
  <c r="T102" i="43"/>
  <c r="U102" i="43"/>
  <c r="V102" i="43"/>
  <c r="K103" i="43"/>
  <c r="L103" i="43"/>
  <c r="M103" i="43"/>
  <c r="N103" i="43"/>
  <c r="O103" i="43"/>
  <c r="P103" i="43"/>
  <c r="Q103" i="43"/>
  <c r="R103" i="43"/>
  <c r="S103" i="43"/>
  <c r="T103" i="43"/>
  <c r="U103" i="43"/>
  <c r="V103" i="43"/>
  <c r="K104" i="43"/>
  <c r="L104" i="43"/>
  <c r="M104" i="43"/>
  <c r="N104" i="43"/>
  <c r="O104" i="43"/>
  <c r="P104" i="43"/>
  <c r="Q104" i="43"/>
  <c r="R104" i="43"/>
  <c r="S104" i="43"/>
  <c r="T104" i="43"/>
  <c r="U104" i="43"/>
  <c r="V104" i="43"/>
  <c r="K105" i="43"/>
  <c r="L105" i="43"/>
  <c r="M105" i="43"/>
  <c r="N105" i="43"/>
  <c r="O105" i="43"/>
  <c r="P105" i="43"/>
  <c r="Q105" i="43"/>
  <c r="R105" i="43"/>
  <c r="S105" i="43"/>
  <c r="T105" i="43"/>
  <c r="U105" i="43"/>
  <c r="V105" i="43"/>
  <c r="K106" i="43"/>
  <c r="L106" i="43"/>
  <c r="M106" i="43"/>
  <c r="N106" i="43"/>
  <c r="O106" i="43"/>
  <c r="P106" i="43"/>
  <c r="Q106" i="43"/>
  <c r="R106" i="43"/>
  <c r="S106" i="43"/>
  <c r="T106" i="43"/>
  <c r="U106" i="43"/>
  <c r="V106" i="43"/>
  <c r="I22" i="50"/>
  <c r="J21" i="50"/>
  <c r="J58" i="50" s="1"/>
  <c r="J20" i="50"/>
  <c r="J57" i="50" s="1"/>
  <c r="J19" i="50"/>
  <c r="J56" i="50" s="1"/>
  <c r="J18" i="50"/>
  <c r="J49" i="50" s="1"/>
  <c r="J17" i="50"/>
  <c r="J48" i="50" s="1"/>
  <c r="J16" i="50"/>
  <c r="J15" i="50"/>
  <c r="J40" i="50" s="1"/>
  <c r="J14" i="50"/>
  <c r="J39" i="50" s="1"/>
  <c r="J13" i="50"/>
  <c r="J38" i="50" s="1"/>
  <c r="J12" i="50"/>
  <c r="J31" i="50" s="1"/>
  <c r="J11" i="50"/>
  <c r="J30" i="50" s="1"/>
  <c r="J10" i="50"/>
  <c r="I67" i="71"/>
  <c r="I58" i="72" s="1"/>
  <c r="H67" i="67"/>
  <c r="H57" i="68" s="1"/>
  <c r="I67" i="41"/>
  <c r="I19" i="50"/>
  <c r="I56" i="50" s="1"/>
  <c r="I36" i="50"/>
  <c r="I45" i="50" s="1"/>
  <c r="I54" i="50" s="1"/>
  <c r="K37" i="50"/>
  <c r="K46" i="50" s="1"/>
  <c r="K55" i="50" s="1"/>
  <c r="J37" i="50"/>
  <c r="J46" i="50" s="1"/>
  <c r="J55" i="50" s="1"/>
  <c r="K28" i="50"/>
  <c r="J28" i="50"/>
  <c r="I28" i="50"/>
  <c r="I37" i="50" s="1"/>
  <c r="I46" i="50" s="1"/>
  <c r="I55" i="50" s="1"/>
  <c r="I10" i="50"/>
  <c r="I29" i="50" s="1"/>
  <c r="BR45" i="71"/>
  <c r="J32" i="61"/>
  <c r="R43" i="68"/>
  <c r="B17" i="43"/>
  <c r="C17" i="43" s="1"/>
  <c r="B18" i="43" s="1"/>
  <c r="C18" i="43" s="1"/>
  <c r="B19" i="43" s="1"/>
  <c r="C19" i="43" s="1"/>
  <c r="B20" i="43" s="1"/>
  <c r="C20" i="43" s="1"/>
  <c r="B21" i="43" s="1"/>
  <c r="C21" i="43" s="1"/>
  <c r="B22" i="43" s="1"/>
  <c r="C22" i="43" s="1"/>
  <c r="B23" i="43" s="1"/>
  <c r="C23" i="43" s="1"/>
  <c r="B24" i="43" s="1"/>
  <c r="C24" i="43" s="1"/>
  <c r="B25" i="43" s="1"/>
  <c r="C25" i="43" s="1"/>
  <c r="B26" i="43" s="1"/>
  <c r="C26" i="43" s="1"/>
  <c r="B27" i="43" s="1"/>
  <c r="C27" i="43" s="1"/>
  <c r="B28" i="43" s="1"/>
  <c r="C28" i="43" s="1"/>
  <c r="B29" i="43" s="1"/>
  <c r="C29" i="43" s="1"/>
  <c r="B30" i="43" s="1"/>
  <c r="C30" i="43" s="1"/>
  <c r="B31" i="43" s="1"/>
  <c r="C31" i="43" s="1"/>
  <c r="B32" i="43" s="1"/>
  <c r="C32" i="43" s="1"/>
  <c r="B33" i="43" s="1"/>
  <c r="C33" i="43" s="1"/>
  <c r="B34" i="43" s="1"/>
  <c r="A22" i="46" l="1"/>
  <c r="C34" i="43"/>
  <c r="B22" i="46" s="1"/>
  <c r="A17" i="48"/>
  <c r="AS29" i="43"/>
  <c r="A17" i="49"/>
  <c r="AE29" i="43"/>
  <c r="P21" i="43"/>
  <c r="B8" i="47"/>
  <c r="K10" i="50"/>
  <c r="K29" i="50" s="1"/>
  <c r="J29" i="50"/>
  <c r="K19" i="50"/>
  <c r="J47" i="50"/>
  <c r="DJ44" i="73"/>
  <c r="DM44" i="73" s="1"/>
  <c r="DI44" i="73"/>
  <c r="DL44" i="73" s="1"/>
  <c r="DH44" i="73"/>
  <c r="DK44" i="73" s="1"/>
  <c r="DJ43" i="73"/>
  <c r="DM43" i="73" s="1"/>
  <c r="DI43" i="73"/>
  <c r="DL43" i="73" s="1"/>
  <c r="DH43" i="73"/>
  <c r="DK43" i="73" s="1"/>
  <c r="DN43" i="73" s="1"/>
  <c r="AC32" i="25" s="1"/>
  <c r="DJ42" i="73"/>
  <c r="DM42" i="73" s="1"/>
  <c r="DI42" i="73"/>
  <c r="DL42" i="73" s="1"/>
  <c r="DH42" i="73"/>
  <c r="DK42" i="73" s="1"/>
  <c r="DJ41" i="73"/>
  <c r="DM41" i="73" s="1"/>
  <c r="DI41" i="73"/>
  <c r="DL41" i="73" s="1"/>
  <c r="DH41" i="73"/>
  <c r="DK41" i="73" s="1"/>
  <c r="DJ40" i="73"/>
  <c r="DM40" i="73" s="1"/>
  <c r="DI40" i="73"/>
  <c r="DL40" i="73" s="1"/>
  <c r="DH40" i="73"/>
  <c r="DK40" i="73" s="1"/>
  <c r="DJ39" i="73"/>
  <c r="DM39" i="73" s="1"/>
  <c r="DI39" i="73"/>
  <c r="DL39" i="73" s="1"/>
  <c r="DH39" i="73"/>
  <c r="DK39" i="73" s="1"/>
  <c r="DJ38" i="73"/>
  <c r="DM38" i="73" s="1"/>
  <c r="DI38" i="73"/>
  <c r="DL38" i="73" s="1"/>
  <c r="DH38" i="73"/>
  <c r="DK38" i="73" s="1"/>
  <c r="DJ37" i="73"/>
  <c r="DM37" i="73" s="1"/>
  <c r="DI37" i="73"/>
  <c r="DL37" i="73" s="1"/>
  <c r="DH37" i="73"/>
  <c r="DK37" i="73" s="1"/>
  <c r="DJ36" i="73"/>
  <c r="DM36" i="73" s="1"/>
  <c r="DI36" i="73"/>
  <c r="DL36" i="73" s="1"/>
  <c r="DH36" i="73"/>
  <c r="DK36" i="73" s="1"/>
  <c r="DJ35" i="73"/>
  <c r="DM35" i="73" s="1"/>
  <c r="DI35" i="73"/>
  <c r="DL35" i="73" s="1"/>
  <c r="DH35" i="73"/>
  <c r="DK35" i="73" s="1"/>
  <c r="DN35" i="73" s="1"/>
  <c r="AC24" i="25" s="1"/>
  <c r="DJ34" i="73"/>
  <c r="DM34" i="73" s="1"/>
  <c r="DI34" i="73"/>
  <c r="DL34" i="73" s="1"/>
  <c r="DH34" i="73"/>
  <c r="DK34" i="73" s="1"/>
  <c r="DJ33" i="73"/>
  <c r="DM33" i="73" s="1"/>
  <c r="DI33" i="73"/>
  <c r="DL33" i="73" s="1"/>
  <c r="DH33" i="73"/>
  <c r="DK33" i="73" s="1"/>
  <c r="DJ32" i="73"/>
  <c r="DM32" i="73" s="1"/>
  <c r="DI32" i="73"/>
  <c r="DL32" i="73" s="1"/>
  <c r="DH32" i="73"/>
  <c r="DK32" i="73" s="1"/>
  <c r="DJ31" i="73"/>
  <c r="DM31" i="73" s="1"/>
  <c r="DI31" i="73"/>
  <c r="DL31" i="73" s="1"/>
  <c r="DH31" i="73"/>
  <c r="DK31" i="73" s="1"/>
  <c r="DN31" i="73" s="1"/>
  <c r="AC20" i="25" s="1"/>
  <c r="DJ30" i="73"/>
  <c r="DM30" i="73" s="1"/>
  <c r="DI30" i="73"/>
  <c r="DL30" i="73" s="1"/>
  <c r="DH30" i="73"/>
  <c r="DK30" i="73" s="1"/>
  <c r="DJ29" i="73"/>
  <c r="DM29" i="73" s="1"/>
  <c r="DI29" i="73"/>
  <c r="DL29" i="73" s="1"/>
  <c r="DH29" i="73"/>
  <c r="DK29" i="73" s="1"/>
  <c r="DJ28" i="73"/>
  <c r="DM28" i="73" s="1"/>
  <c r="DI28" i="73"/>
  <c r="DL28" i="73" s="1"/>
  <c r="DH28" i="73"/>
  <c r="DK28" i="73" s="1"/>
  <c r="DJ27" i="73"/>
  <c r="DM27" i="73" s="1"/>
  <c r="DI27" i="73"/>
  <c r="DL27" i="73" s="1"/>
  <c r="DH27" i="73"/>
  <c r="DK27" i="73" s="1"/>
  <c r="DJ26" i="73"/>
  <c r="DM26" i="73" s="1"/>
  <c r="DI26" i="73"/>
  <c r="DL26" i="73" s="1"/>
  <c r="DH26" i="73"/>
  <c r="DK26" i="73" s="1"/>
  <c r="DJ25" i="73"/>
  <c r="DM25" i="73" s="1"/>
  <c r="DI25" i="73"/>
  <c r="DL25" i="73" s="1"/>
  <c r="DH25" i="73"/>
  <c r="DK25" i="73" s="1"/>
  <c r="DJ24" i="73"/>
  <c r="DM24" i="73" s="1"/>
  <c r="DI24" i="73"/>
  <c r="DL24" i="73" s="1"/>
  <c r="DH24" i="73"/>
  <c r="DK24" i="73" s="1"/>
  <c r="DJ23" i="73"/>
  <c r="DM23" i="73" s="1"/>
  <c r="DI23" i="73"/>
  <c r="DL23" i="73" s="1"/>
  <c r="DH23" i="73"/>
  <c r="DK23" i="73" s="1"/>
  <c r="DJ22" i="73"/>
  <c r="DM22" i="73" s="1"/>
  <c r="DI22" i="73"/>
  <c r="DL22" i="73" s="1"/>
  <c r="DH22" i="73"/>
  <c r="DK22" i="73" s="1"/>
  <c r="DN22" i="73" s="1"/>
  <c r="AC11" i="25" s="1"/>
  <c r="DJ21" i="73"/>
  <c r="DM21" i="73" s="1"/>
  <c r="DI21" i="73"/>
  <c r="DL21" i="73" s="1"/>
  <c r="DH21" i="73"/>
  <c r="DK21" i="73" s="1"/>
  <c r="DJ20" i="73"/>
  <c r="DM20" i="73" s="1"/>
  <c r="DI20" i="73"/>
  <c r="DL20" i="73" s="1"/>
  <c r="DH20" i="73"/>
  <c r="DK20" i="73" s="1"/>
  <c r="DJ19" i="73"/>
  <c r="DM19" i="73" s="1"/>
  <c r="DI19" i="73"/>
  <c r="DL19" i="73" s="1"/>
  <c r="DH19" i="73"/>
  <c r="DK19" i="73" s="1"/>
  <c r="DL18" i="73"/>
  <c r="DJ18" i="73"/>
  <c r="DM18" i="73" s="1"/>
  <c r="DI18" i="73"/>
  <c r="DH18" i="73"/>
  <c r="DK18" i="73" s="1"/>
  <c r="DJ17" i="73"/>
  <c r="DM17" i="73" s="1"/>
  <c r="DI17" i="73"/>
  <c r="DL17" i="73" s="1"/>
  <c r="DH17" i="73"/>
  <c r="DK17" i="73" s="1"/>
  <c r="DJ16" i="73"/>
  <c r="DM16" i="73" s="1"/>
  <c r="DI16" i="73"/>
  <c r="DL16" i="73" s="1"/>
  <c r="DH16" i="73"/>
  <c r="DK16" i="73" s="1"/>
  <c r="DJ15" i="73"/>
  <c r="DM15" i="73" s="1"/>
  <c r="DI15" i="73"/>
  <c r="DL15" i="73" s="1"/>
  <c r="DH15" i="73"/>
  <c r="DK15" i="73" s="1"/>
  <c r="DJ14" i="73"/>
  <c r="DM14" i="73" s="1"/>
  <c r="DI14" i="73"/>
  <c r="DL14" i="73" s="1"/>
  <c r="DH14" i="73"/>
  <c r="DK14" i="73" s="1"/>
  <c r="DJ43" i="72"/>
  <c r="DM43" i="72" s="1"/>
  <c r="DI43" i="72"/>
  <c r="DL43" i="72" s="1"/>
  <c r="DH43" i="72"/>
  <c r="DK43" i="72" s="1"/>
  <c r="DN43" i="72" s="1"/>
  <c r="X32" i="25" s="1"/>
  <c r="DJ42" i="72"/>
  <c r="DM42" i="72" s="1"/>
  <c r="DI42" i="72"/>
  <c r="DL42" i="72" s="1"/>
  <c r="DH42" i="72"/>
  <c r="DK42" i="72" s="1"/>
  <c r="DJ41" i="72"/>
  <c r="DM41" i="72" s="1"/>
  <c r="DI41" i="72"/>
  <c r="DL41" i="72" s="1"/>
  <c r="DH41" i="72"/>
  <c r="DK41" i="72" s="1"/>
  <c r="DJ40" i="72"/>
  <c r="DM40" i="72" s="1"/>
  <c r="DI40" i="72"/>
  <c r="DL40" i="72" s="1"/>
  <c r="DH40" i="72"/>
  <c r="DK40" i="72" s="1"/>
  <c r="DJ39" i="72"/>
  <c r="DM39" i="72" s="1"/>
  <c r="DI39" i="72"/>
  <c r="DL39" i="72" s="1"/>
  <c r="DH39" i="72"/>
  <c r="DK39" i="72" s="1"/>
  <c r="DJ38" i="72"/>
  <c r="DM38" i="72" s="1"/>
  <c r="DI38" i="72"/>
  <c r="DL38" i="72" s="1"/>
  <c r="DH38" i="72"/>
  <c r="DK38" i="72" s="1"/>
  <c r="DJ37" i="72"/>
  <c r="DM37" i="72" s="1"/>
  <c r="DI37" i="72"/>
  <c r="DL37" i="72" s="1"/>
  <c r="DH37" i="72"/>
  <c r="DK37" i="72" s="1"/>
  <c r="DJ36" i="72"/>
  <c r="DM36" i="72" s="1"/>
  <c r="DI36" i="72"/>
  <c r="DL36" i="72" s="1"/>
  <c r="DH36" i="72"/>
  <c r="DK36" i="72" s="1"/>
  <c r="DJ35" i="72"/>
  <c r="DM35" i="72" s="1"/>
  <c r="DI35" i="72"/>
  <c r="DL35" i="72" s="1"/>
  <c r="DH35" i="72"/>
  <c r="DK35" i="72" s="1"/>
  <c r="DJ34" i="72"/>
  <c r="DM34" i="72" s="1"/>
  <c r="DI34" i="72"/>
  <c r="DL34" i="72" s="1"/>
  <c r="DH34" i="72"/>
  <c r="DK34" i="72" s="1"/>
  <c r="DJ33" i="72"/>
  <c r="DM33" i="72" s="1"/>
  <c r="DI33" i="72"/>
  <c r="DL33" i="72" s="1"/>
  <c r="DH33" i="72"/>
  <c r="DK33" i="72" s="1"/>
  <c r="DJ32" i="72"/>
  <c r="DM32" i="72" s="1"/>
  <c r="DI32" i="72"/>
  <c r="DL32" i="72" s="1"/>
  <c r="DH32" i="72"/>
  <c r="DK32" i="72" s="1"/>
  <c r="DJ31" i="72"/>
  <c r="DM31" i="72" s="1"/>
  <c r="DI31" i="72"/>
  <c r="DL31" i="72" s="1"/>
  <c r="DH31" i="72"/>
  <c r="DK31" i="72" s="1"/>
  <c r="DJ30" i="72"/>
  <c r="DM30" i="72" s="1"/>
  <c r="DI30" i="72"/>
  <c r="DL30" i="72" s="1"/>
  <c r="DH30" i="72"/>
  <c r="DK30" i="72" s="1"/>
  <c r="DJ29" i="72"/>
  <c r="DM29" i="72" s="1"/>
  <c r="DI29" i="72"/>
  <c r="DL29" i="72" s="1"/>
  <c r="DH29" i="72"/>
  <c r="DK29" i="72" s="1"/>
  <c r="DJ28" i="72"/>
  <c r="DM28" i="72" s="1"/>
  <c r="DI28" i="72"/>
  <c r="DL28" i="72" s="1"/>
  <c r="DH28" i="72"/>
  <c r="DK28" i="72" s="1"/>
  <c r="DJ27" i="72"/>
  <c r="DM27" i="72" s="1"/>
  <c r="DI27" i="72"/>
  <c r="DL27" i="72" s="1"/>
  <c r="DH27" i="72"/>
  <c r="DK27" i="72" s="1"/>
  <c r="DJ26" i="72"/>
  <c r="DM26" i="72" s="1"/>
  <c r="DI26" i="72"/>
  <c r="DL26" i="72" s="1"/>
  <c r="DH26" i="72"/>
  <c r="DK26" i="72" s="1"/>
  <c r="DJ25" i="72"/>
  <c r="DM25" i="72" s="1"/>
  <c r="DI25" i="72"/>
  <c r="DL25" i="72" s="1"/>
  <c r="DH25" i="72"/>
  <c r="DK25" i="72" s="1"/>
  <c r="DJ24" i="72"/>
  <c r="DM24" i="72" s="1"/>
  <c r="DI24" i="72"/>
  <c r="DL24" i="72" s="1"/>
  <c r="DH24" i="72"/>
  <c r="DK24" i="72" s="1"/>
  <c r="DJ23" i="72"/>
  <c r="DM23" i="72" s="1"/>
  <c r="DI23" i="72"/>
  <c r="DL23" i="72" s="1"/>
  <c r="DH23" i="72"/>
  <c r="DK23" i="72" s="1"/>
  <c r="DJ22" i="72"/>
  <c r="DM22" i="72" s="1"/>
  <c r="DI22" i="72"/>
  <c r="DL22" i="72" s="1"/>
  <c r="DH22" i="72"/>
  <c r="DK22" i="72" s="1"/>
  <c r="DJ21" i="72"/>
  <c r="DM21" i="72" s="1"/>
  <c r="DI21" i="72"/>
  <c r="DL21" i="72" s="1"/>
  <c r="DH21" i="72"/>
  <c r="DK21" i="72" s="1"/>
  <c r="DJ20" i="72"/>
  <c r="DM20" i="72" s="1"/>
  <c r="DI20" i="72"/>
  <c r="DL20" i="72" s="1"/>
  <c r="DH20" i="72"/>
  <c r="DK20" i="72" s="1"/>
  <c r="DJ19" i="72"/>
  <c r="DM19" i="72" s="1"/>
  <c r="DI19" i="72"/>
  <c r="DL19" i="72" s="1"/>
  <c r="DH19" i="72"/>
  <c r="DK19" i="72" s="1"/>
  <c r="DJ18" i="72"/>
  <c r="DM18" i="72" s="1"/>
  <c r="DI18" i="72"/>
  <c r="DL18" i="72" s="1"/>
  <c r="DH18" i="72"/>
  <c r="DK18" i="72" s="1"/>
  <c r="DJ17" i="72"/>
  <c r="DM17" i="72" s="1"/>
  <c r="DI17" i="72"/>
  <c r="DL17" i="72" s="1"/>
  <c r="DH17" i="72"/>
  <c r="DK17" i="72" s="1"/>
  <c r="DJ16" i="72"/>
  <c r="DM16" i="72" s="1"/>
  <c r="DI16" i="72"/>
  <c r="DL16" i="72" s="1"/>
  <c r="DH16" i="72"/>
  <c r="DK16" i="72" s="1"/>
  <c r="DJ15" i="72"/>
  <c r="DM15" i="72" s="1"/>
  <c r="DI15" i="72"/>
  <c r="DL15" i="72" s="1"/>
  <c r="DH15" i="72"/>
  <c r="DK15" i="72" s="1"/>
  <c r="DJ14" i="72"/>
  <c r="DM14" i="72" s="1"/>
  <c r="DI14" i="72"/>
  <c r="DL14" i="72" s="1"/>
  <c r="DH14" i="72"/>
  <c r="DK14" i="72" s="1"/>
  <c r="DJ44" i="71"/>
  <c r="DM44" i="71" s="1"/>
  <c r="DI44" i="71"/>
  <c r="DL44" i="71" s="1"/>
  <c r="DH44" i="71"/>
  <c r="DK44" i="71" s="1"/>
  <c r="DJ43" i="71"/>
  <c r="DM43" i="71" s="1"/>
  <c r="DI43" i="71"/>
  <c r="DL43" i="71" s="1"/>
  <c r="DH43" i="71"/>
  <c r="DK43" i="71" s="1"/>
  <c r="DJ42" i="71"/>
  <c r="DM42" i="71" s="1"/>
  <c r="DI42" i="71"/>
  <c r="DL42" i="71" s="1"/>
  <c r="DH42" i="71"/>
  <c r="DK42" i="71" s="1"/>
  <c r="DJ41" i="71"/>
  <c r="DM41" i="71" s="1"/>
  <c r="DI41" i="71"/>
  <c r="DL41" i="71" s="1"/>
  <c r="DH41" i="71"/>
  <c r="DK41" i="71" s="1"/>
  <c r="DJ40" i="71"/>
  <c r="DM40" i="71" s="1"/>
  <c r="DI40" i="71"/>
  <c r="DL40" i="71" s="1"/>
  <c r="DH40" i="71"/>
  <c r="DK40" i="71" s="1"/>
  <c r="DJ39" i="71"/>
  <c r="DM39" i="71" s="1"/>
  <c r="DI39" i="71"/>
  <c r="DL39" i="71" s="1"/>
  <c r="DH39" i="71"/>
  <c r="DK39" i="71" s="1"/>
  <c r="DJ38" i="71"/>
  <c r="DM38" i="71" s="1"/>
  <c r="DI38" i="71"/>
  <c r="DL38" i="71" s="1"/>
  <c r="DH38" i="71"/>
  <c r="DK38" i="71" s="1"/>
  <c r="DJ37" i="71"/>
  <c r="DM37" i="71" s="1"/>
  <c r="DI37" i="71"/>
  <c r="DL37" i="71" s="1"/>
  <c r="DH37" i="71"/>
  <c r="DK37" i="71" s="1"/>
  <c r="DJ36" i="71"/>
  <c r="DM36" i="71" s="1"/>
  <c r="DI36" i="71"/>
  <c r="DL36" i="71" s="1"/>
  <c r="DH36" i="71"/>
  <c r="DK36" i="71" s="1"/>
  <c r="DJ35" i="71"/>
  <c r="DM35" i="71" s="1"/>
  <c r="DI35" i="71"/>
  <c r="DL35" i="71" s="1"/>
  <c r="DH35" i="71"/>
  <c r="DK35" i="71" s="1"/>
  <c r="DJ34" i="71"/>
  <c r="DM34" i="71" s="1"/>
  <c r="DI34" i="71"/>
  <c r="DL34" i="71" s="1"/>
  <c r="DH34" i="71"/>
  <c r="DK34" i="71" s="1"/>
  <c r="DJ33" i="71"/>
  <c r="DM33" i="71" s="1"/>
  <c r="DI33" i="71"/>
  <c r="DL33" i="71" s="1"/>
  <c r="DH33" i="71"/>
  <c r="DK33" i="71" s="1"/>
  <c r="DJ32" i="71"/>
  <c r="DM32" i="71" s="1"/>
  <c r="DI32" i="71"/>
  <c r="DL32" i="71" s="1"/>
  <c r="DH32" i="71"/>
  <c r="DK32" i="71" s="1"/>
  <c r="DJ31" i="71"/>
  <c r="DM31" i="71" s="1"/>
  <c r="DI31" i="71"/>
  <c r="DL31" i="71" s="1"/>
  <c r="DH31" i="71"/>
  <c r="DK31" i="71" s="1"/>
  <c r="DN31" i="71" s="1"/>
  <c r="S20" i="25" s="1"/>
  <c r="DJ30" i="71"/>
  <c r="DM30" i="71" s="1"/>
  <c r="DI30" i="71"/>
  <c r="DL30" i="71" s="1"/>
  <c r="DH30" i="71"/>
  <c r="DK30" i="71" s="1"/>
  <c r="DJ29" i="71"/>
  <c r="DM29" i="71" s="1"/>
  <c r="DI29" i="71"/>
  <c r="DL29" i="71" s="1"/>
  <c r="DH29" i="71"/>
  <c r="DK29" i="71" s="1"/>
  <c r="DJ28" i="71"/>
  <c r="DM28" i="71" s="1"/>
  <c r="DI28" i="71"/>
  <c r="DL28" i="71" s="1"/>
  <c r="DH28" i="71"/>
  <c r="DK28" i="71" s="1"/>
  <c r="DJ27" i="71"/>
  <c r="DM27" i="71" s="1"/>
  <c r="DI27" i="71"/>
  <c r="DL27" i="71" s="1"/>
  <c r="DH27" i="71"/>
  <c r="DK27" i="71" s="1"/>
  <c r="DJ26" i="71"/>
  <c r="DM26" i="71" s="1"/>
  <c r="DI26" i="71"/>
  <c r="DL26" i="71" s="1"/>
  <c r="DH26" i="71"/>
  <c r="DK26" i="71" s="1"/>
  <c r="DM25" i="71"/>
  <c r="DJ25" i="71"/>
  <c r="DI25" i="71"/>
  <c r="DL25" i="71" s="1"/>
  <c r="DH25" i="71"/>
  <c r="DK25" i="71" s="1"/>
  <c r="DJ24" i="71"/>
  <c r="DM24" i="71" s="1"/>
  <c r="DI24" i="71"/>
  <c r="DL24" i="71" s="1"/>
  <c r="DH24" i="71"/>
  <c r="DK24" i="71" s="1"/>
  <c r="DJ23" i="71"/>
  <c r="DM23" i="71" s="1"/>
  <c r="DI23" i="71"/>
  <c r="DL23" i="71" s="1"/>
  <c r="DH23" i="71"/>
  <c r="DK23" i="71" s="1"/>
  <c r="DJ22" i="71"/>
  <c r="DM22" i="71" s="1"/>
  <c r="DI22" i="71"/>
  <c r="DL22" i="71" s="1"/>
  <c r="DH22" i="71"/>
  <c r="DK22" i="71" s="1"/>
  <c r="DJ21" i="71"/>
  <c r="DM21" i="71" s="1"/>
  <c r="DI21" i="71"/>
  <c r="DL21" i="71" s="1"/>
  <c r="DH21" i="71"/>
  <c r="DK21" i="71" s="1"/>
  <c r="DJ20" i="71"/>
  <c r="DM20" i="71" s="1"/>
  <c r="DI20" i="71"/>
  <c r="DL20" i="71" s="1"/>
  <c r="DH20" i="71"/>
  <c r="DK20" i="71" s="1"/>
  <c r="DJ19" i="71"/>
  <c r="DM19" i="71" s="1"/>
  <c r="DI19" i="71"/>
  <c r="DL19" i="71" s="1"/>
  <c r="DH19" i="71"/>
  <c r="DK19" i="71" s="1"/>
  <c r="DJ18" i="71"/>
  <c r="DM18" i="71" s="1"/>
  <c r="DI18" i="71"/>
  <c r="DL18" i="71" s="1"/>
  <c r="DH18" i="71"/>
  <c r="DK18" i="71" s="1"/>
  <c r="DJ17" i="71"/>
  <c r="DM17" i="71" s="1"/>
  <c r="DI17" i="71"/>
  <c r="DL17" i="71" s="1"/>
  <c r="DH17" i="71"/>
  <c r="DK17" i="71" s="1"/>
  <c r="DJ16" i="71"/>
  <c r="DM16" i="71" s="1"/>
  <c r="DI16" i="71"/>
  <c r="DL16" i="71" s="1"/>
  <c r="DH16" i="71"/>
  <c r="DK16" i="71" s="1"/>
  <c r="DJ15" i="71"/>
  <c r="DM15" i="71" s="1"/>
  <c r="DI15" i="71"/>
  <c r="DL15" i="71" s="1"/>
  <c r="DH15" i="71"/>
  <c r="DK15" i="71" s="1"/>
  <c r="DJ14" i="71"/>
  <c r="DM14" i="71" s="1"/>
  <c r="DI14" i="71"/>
  <c r="DL14" i="71" s="1"/>
  <c r="DH14" i="71"/>
  <c r="DK14" i="71" s="1"/>
  <c r="DJ43" i="70"/>
  <c r="DM43" i="70" s="1"/>
  <c r="DI43" i="70"/>
  <c r="DL43" i="70" s="1"/>
  <c r="DH43" i="70"/>
  <c r="DK43" i="70" s="1"/>
  <c r="DJ42" i="70"/>
  <c r="DM42" i="70" s="1"/>
  <c r="DI42" i="70"/>
  <c r="DL42" i="70" s="1"/>
  <c r="DH42" i="70"/>
  <c r="DK42" i="70" s="1"/>
  <c r="DJ41" i="70"/>
  <c r="DM41" i="70" s="1"/>
  <c r="DI41" i="70"/>
  <c r="DL41" i="70" s="1"/>
  <c r="DH41" i="70"/>
  <c r="DK41" i="70" s="1"/>
  <c r="DJ40" i="70"/>
  <c r="DM40" i="70" s="1"/>
  <c r="DI40" i="70"/>
  <c r="DL40" i="70" s="1"/>
  <c r="DH40" i="70"/>
  <c r="DK40" i="70" s="1"/>
  <c r="DJ39" i="70"/>
  <c r="DM39" i="70" s="1"/>
  <c r="DI39" i="70"/>
  <c r="DL39" i="70" s="1"/>
  <c r="DH39" i="70"/>
  <c r="DK39" i="70" s="1"/>
  <c r="DJ38" i="70"/>
  <c r="DM38" i="70" s="1"/>
  <c r="DI38" i="70"/>
  <c r="DL38" i="70" s="1"/>
  <c r="DH38" i="70"/>
  <c r="DK38" i="70" s="1"/>
  <c r="DJ37" i="70"/>
  <c r="DM37" i="70" s="1"/>
  <c r="DI37" i="70"/>
  <c r="DL37" i="70" s="1"/>
  <c r="DH37" i="70"/>
  <c r="DK37" i="70" s="1"/>
  <c r="DJ36" i="70"/>
  <c r="DM36" i="70" s="1"/>
  <c r="DI36" i="70"/>
  <c r="DL36" i="70" s="1"/>
  <c r="DH36" i="70"/>
  <c r="DK36" i="70" s="1"/>
  <c r="DJ35" i="70"/>
  <c r="DM35" i="70" s="1"/>
  <c r="DI35" i="70"/>
  <c r="DL35" i="70" s="1"/>
  <c r="DH35" i="70"/>
  <c r="DK35" i="70" s="1"/>
  <c r="DJ34" i="70"/>
  <c r="DM34" i="70" s="1"/>
  <c r="DI34" i="70"/>
  <c r="DL34" i="70" s="1"/>
  <c r="DH34" i="70"/>
  <c r="DK34" i="70" s="1"/>
  <c r="DJ33" i="70"/>
  <c r="DM33" i="70" s="1"/>
  <c r="DI33" i="70"/>
  <c r="DL33" i="70" s="1"/>
  <c r="DH33" i="70"/>
  <c r="DK33" i="70" s="1"/>
  <c r="DJ32" i="70"/>
  <c r="DM32" i="70" s="1"/>
  <c r="DI32" i="70"/>
  <c r="DL32" i="70" s="1"/>
  <c r="DH32" i="70"/>
  <c r="DK32" i="70" s="1"/>
  <c r="DJ31" i="70"/>
  <c r="DM31" i="70" s="1"/>
  <c r="DI31" i="70"/>
  <c r="DL31" i="70" s="1"/>
  <c r="DH31" i="70"/>
  <c r="DK31" i="70" s="1"/>
  <c r="DJ30" i="70"/>
  <c r="DM30" i="70" s="1"/>
  <c r="DI30" i="70"/>
  <c r="DL30" i="70" s="1"/>
  <c r="DH30" i="70"/>
  <c r="DK30" i="70" s="1"/>
  <c r="DJ29" i="70"/>
  <c r="DM29" i="70" s="1"/>
  <c r="DI29" i="70"/>
  <c r="DL29" i="70" s="1"/>
  <c r="DH29" i="70"/>
  <c r="DK29" i="70" s="1"/>
  <c r="DJ28" i="70"/>
  <c r="DM28" i="70" s="1"/>
  <c r="DI28" i="70"/>
  <c r="DL28" i="70" s="1"/>
  <c r="DH28" i="70"/>
  <c r="DK28" i="70" s="1"/>
  <c r="DJ27" i="70"/>
  <c r="DM27" i="70" s="1"/>
  <c r="DI27" i="70"/>
  <c r="DL27" i="70" s="1"/>
  <c r="DH27" i="70"/>
  <c r="DK27" i="70" s="1"/>
  <c r="DJ26" i="70"/>
  <c r="DM26" i="70" s="1"/>
  <c r="DI26" i="70"/>
  <c r="DL26" i="70" s="1"/>
  <c r="DH26" i="70"/>
  <c r="DK26" i="70" s="1"/>
  <c r="DJ25" i="70"/>
  <c r="DM25" i="70" s="1"/>
  <c r="DI25" i="70"/>
  <c r="DL25" i="70" s="1"/>
  <c r="DH25" i="70"/>
  <c r="DK25" i="70" s="1"/>
  <c r="DJ24" i="70"/>
  <c r="DM24" i="70" s="1"/>
  <c r="DI24" i="70"/>
  <c r="DL24" i="70" s="1"/>
  <c r="DH24" i="70"/>
  <c r="DK24" i="70" s="1"/>
  <c r="DJ23" i="70"/>
  <c r="DM23" i="70" s="1"/>
  <c r="DI23" i="70"/>
  <c r="DL23" i="70" s="1"/>
  <c r="DH23" i="70"/>
  <c r="DK23" i="70" s="1"/>
  <c r="DJ22" i="70"/>
  <c r="DM22" i="70" s="1"/>
  <c r="DI22" i="70"/>
  <c r="DL22" i="70" s="1"/>
  <c r="DH22" i="70"/>
  <c r="DK22" i="70" s="1"/>
  <c r="DJ21" i="70"/>
  <c r="DM21" i="70" s="1"/>
  <c r="DI21" i="70"/>
  <c r="DL21" i="70" s="1"/>
  <c r="DH21" i="70"/>
  <c r="DK21" i="70" s="1"/>
  <c r="DJ20" i="70"/>
  <c r="DM20" i="70" s="1"/>
  <c r="DI20" i="70"/>
  <c r="DL20" i="70" s="1"/>
  <c r="DH20" i="70"/>
  <c r="DK20" i="70" s="1"/>
  <c r="DJ19" i="70"/>
  <c r="DM19" i="70" s="1"/>
  <c r="DI19" i="70"/>
  <c r="DL19" i="70" s="1"/>
  <c r="DH19" i="70"/>
  <c r="DK19" i="70" s="1"/>
  <c r="DJ18" i="70"/>
  <c r="DM18" i="70" s="1"/>
  <c r="DI18" i="70"/>
  <c r="DL18" i="70" s="1"/>
  <c r="DH18" i="70"/>
  <c r="DK18" i="70" s="1"/>
  <c r="DJ17" i="70"/>
  <c r="DM17" i="70" s="1"/>
  <c r="DI17" i="70"/>
  <c r="DL17" i="70" s="1"/>
  <c r="DH17" i="70"/>
  <c r="DK17" i="70" s="1"/>
  <c r="DJ16" i="70"/>
  <c r="DM16" i="70" s="1"/>
  <c r="DI16" i="70"/>
  <c r="DL16" i="70" s="1"/>
  <c r="DH16" i="70"/>
  <c r="DK16" i="70" s="1"/>
  <c r="DJ15" i="70"/>
  <c r="DM15" i="70" s="1"/>
  <c r="DI15" i="70"/>
  <c r="DL15" i="70" s="1"/>
  <c r="DH15" i="70"/>
  <c r="DK15" i="70" s="1"/>
  <c r="DJ14" i="70"/>
  <c r="DM14" i="70" s="1"/>
  <c r="DI14" i="70"/>
  <c r="DL14" i="70" s="1"/>
  <c r="DH14" i="70"/>
  <c r="DK14" i="70" s="1"/>
  <c r="DJ44" i="69"/>
  <c r="DM44" i="69" s="1"/>
  <c r="DI44" i="69"/>
  <c r="DL44" i="69" s="1"/>
  <c r="DH44" i="69"/>
  <c r="DK44" i="69" s="1"/>
  <c r="DJ43" i="69"/>
  <c r="DM43" i="69" s="1"/>
  <c r="DI43" i="69"/>
  <c r="DL43" i="69" s="1"/>
  <c r="DH43" i="69"/>
  <c r="DK43" i="69" s="1"/>
  <c r="DN43" i="69" s="1"/>
  <c r="I32" i="25" s="1"/>
  <c r="DJ42" i="69"/>
  <c r="DM42" i="69" s="1"/>
  <c r="DI42" i="69"/>
  <c r="DL42" i="69" s="1"/>
  <c r="DH42" i="69"/>
  <c r="DK42" i="69" s="1"/>
  <c r="DJ41" i="69"/>
  <c r="DM41" i="69" s="1"/>
  <c r="DI41" i="69"/>
  <c r="DL41" i="69" s="1"/>
  <c r="DH41" i="69"/>
  <c r="DK41" i="69" s="1"/>
  <c r="DK40" i="69"/>
  <c r="DJ40" i="69"/>
  <c r="DM40" i="69" s="1"/>
  <c r="DI40" i="69"/>
  <c r="DL40" i="69" s="1"/>
  <c r="DH40" i="69"/>
  <c r="DJ39" i="69"/>
  <c r="DM39" i="69" s="1"/>
  <c r="DI39" i="69"/>
  <c r="DL39" i="69" s="1"/>
  <c r="DH39" i="69"/>
  <c r="DK39" i="69" s="1"/>
  <c r="DJ38" i="69"/>
  <c r="DM38" i="69" s="1"/>
  <c r="DI38" i="69"/>
  <c r="DL38" i="69" s="1"/>
  <c r="DH38" i="69"/>
  <c r="DK38" i="69" s="1"/>
  <c r="DJ37" i="69"/>
  <c r="DM37" i="69" s="1"/>
  <c r="DI37" i="69"/>
  <c r="DL37" i="69" s="1"/>
  <c r="DH37" i="69"/>
  <c r="DK37" i="69" s="1"/>
  <c r="DJ36" i="69"/>
  <c r="DM36" i="69" s="1"/>
  <c r="DI36" i="69"/>
  <c r="DL36" i="69" s="1"/>
  <c r="DH36" i="69"/>
  <c r="DK36" i="69" s="1"/>
  <c r="DJ35" i="69"/>
  <c r="DM35" i="69" s="1"/>
  <c r="DI35" i="69"/>
  <c r="DL35" i="69" s="1"/>
  <c r="DH35" i="69"/>
  <c r="DK35" i="69" s="1"/>
  <c r="DJ34" i="69"/>
  <c r="DM34" i="69" s="1"/>
  <c r="DI34" i="69"/>
  <c r="DL34" i="69" s="1"/>
  <c r="DH34" i="69"/>
  <c r="DK34" i="69" s="1"/>
  <c r="DJ33" i="69"/>
  <c r="DM33" i="69" s="1"/>
  <c r="DI33" i="69"/>
  <c r="DL33" i="69" s="1"/>
  <c r="DH33" i="69"/>
  <c r="DK33" i="69" s="1"/>
  <c r="DJ32" i="69"/>
  <c r="DM32" i="69" s="1"/>
  <c r="DI32" i="69"/>
  <c r="DL32" i="69" s="1"/>
  <c r="DH32" i="69"/>
  <c r="DK32" i="69" s="1"/>
  <c r="DJ31" i="69"/>
  <c r="DM31" i="69" s="1"/>
  <c r="DI31" i="69"/>
  <c r="DL31" i="69" s="1"/>
  <c r="DH31" i="69"/>
  <c r="DK31" i="69" s="1"/>
  <c r="DJ30" i="69"/>
  <c r="DM30" i="69" s="1"/>
  <c r="DI30" i="69"/>
  <c r="DL30" i="69" s="1"/>
  <c r="DH30" i="69"/>
  <c r="DK30" i="69" s="1"/>
  <c r="DJ29" i="69"/>
  <c r="DM29" i="69" s="1"/>
  <c r="DI29" i="69"/>
  <c r="DL29" i="69" s="1"/>
  <c r="DH29" i="69"/>
  <c r="DK29" i="69" s="1"/>
  <c r="DJ28" i="69"/>
  <c r="DM28" i="69" s="1"/>
  <c r="DI28" i="69"/>
  <c r="DL28" i="69" s="1"/>
  <c r="DH28" i="69"/>
  <c r="DK28" i="69" s="1"/>
  <c r="DJ27" i="69"/>
  <c r="DM27" i="69" s="1"/>
  <c r="DI27" i="69"/>
  <c r="DL27" i="69" s="1"/>
  <c r="DH27" i="69"/>
  <c r="DK27" i="69" s="1"/>
  <c r="DJ26" i="69"/>
  <c r="DM26" i="69" s="1"/>
  <c r="DI26" i="69"/>
  <c r="DL26" i="69" s="1"/>
  <c r="DH26" i="69"/>
  <c r="DK26" i="69" s="1"/>
  <c r="DJ25" i="69"/>
  <c r="DM25" i="69" s="1"/>
  <c r="DI25" i="69"/>
  <c r="DL25" i="69" s="1"/>
  <c r="DH25" i="69"/>
  <c r="DK25" i="69" s="1"/>
  <c r="DJ24" i="69"/>
  <c r="DM24" i="69" s="1"/>
  <c r="DI24" i="69"/>
  <c r="DL24" i="69" s="1"/>
  <c r="DH24" i="69"/>
  <c r="DK24" i="69" s="1"/>
  <c r="DL23" i="69"/>
  <c r="DJ23" i="69"/>
  <c r="DM23" i="69" s="1"/>
  <c r="DI23" i="69"/>
  <c r="DH23" i="69"/>
  <c r="DK23" i="69" s="1"/>
  <c r="DJ22" i="69"/>
  <c r="DM22" i="69" s="1"/>
  <c r="DI22" i="69"/>
  <c r="DL22" i="69" s="1"/>
  <c r="DH22" i="69"/>
  <c r="DK22" i="69" s="1"/>
  <c r="DJ21" i="69"/>
  <c r="DM21" i="69" s="1"/>
  <c r="DI21" i="69"/>
  <c r="DL21" i="69" s="1"/>
  <c r="DH21" i="69"/>
  <c r="DK21" i="69" s="1"/>
  <c r="DJ20" i="69"/>
  <c r="DM20" i="69" s="1"/>
  <c r="DI20" i="69"/>
  <c r="DL20" i="69" s="1"/>
  <c r="DH20" i="69"/>
  <c r="DK20" i="69" s="1"/>
  <c r="DJ19" i="69"/>
  <c r="DM19" i="69" s="1"/>
  <c r="DI19" i="69"/>
  <c r="DL19" i="69" s="1"/>
  <c r="DH19" i="69"/>
  <c r="DK19" i="69" s="1"/>
  <c r="DJ18" i="69"/>
  <c r="DM18" i="69" s="1"/>
  <c r="DI18" i="69"/>
  <c r="DL18" i="69" s="1"/>
  <c r="DH18" i="69"/>
  <c r="DK18" i="69" s="1"/>
  <c r="DJ17" i="69"/>
  <c r="DM17" i="69" s="1"/>
  <c r="DI17" i="69"/>
  <c r="DL17" i="69" s="1"/>
  <c r="DH17" i="69"/>
  <c r="DK17" i="69" s="1"/>
  <c r="DJ16" i="69"/>
  <c r="DM16" i="69" s="1"/>
  <c r="DI16" i="69"/>
  <c r="DL16" i="69" s="1"/>
  <c r="DH16" i="69"/>
  <c r="DK16" i="69" s="1"/>
  <c r="DJ15" i="69"/>
  <c r="DM15" i="69" s="1"/>
  <c r="DI15" i="69"/>
  <c r="DL15" i="69" s="1"/>
  <c r="DH15" i="69"/>
  <c r="DK15" i="69" s="1"/>
  <c r="DJ14" i="69"/>
  <c r="DM14" i="69" s="1"/>
  <c r="DI14" i="69"/>
  <c r="DL14" i="69" s="1"/>
  <c r="DH14" i="69"/>
  <c r="DK14" i="69" s="1"/>
  <c r="DN14" i="69" s="1"/>
  <c r="I3" i="25" s="1"/>
  <c r="DM44" i="68"/>
  <c r="DL44" i="68"/>
  <c r="DH44" i="68"/>
  <c r="DK44" i="68" s="1"/>
  <c r="DH43" i="68"/>
  <c r="DK43" i="68" s="1"/>
  <c r="DN43" i="68" s="1"/>
  <c r="DJ41" i="68"/>
  <c r="DM41" i="68" s="1"/>
  <c r="DI41" i="68"/>
  <c r="DL41" i="68" s="1"/>
  <c r="DH41" i="68"/>
  <c r="DK41" i="68" s="1"/>
  <c r="DJ40" i="68"/>
  <c r="DM40" i="68" s="1"/>
  <c r="DI40" i="68"/>
  <c r="DL40" i="68" s="1"/>
  <c r="DH40" i="68"/>
  <c r="DK40" i="68" s="1"/>
  <c r="DJ39" i="68"/>
  <c r="DM39" i="68" s="1"/>
  <c r="DI39" i="68"/>
  <c r="DL39" i="68" s="1"/>
  <c r="DH39" i="68"/>
  <c r="DK39" i="68" s="1"/>
  <c r="DJ38" i="68"/>
  <c r="DM38" i="68" s="1"/>
  <c r="DI38" i="68"/>
  <c r="DL38" i="68" s="1"/>
  <c r="DH38" i="68"/>
  <c r="DK38" i="68" s="1"/>
  <c r="DJ37" i="68"/>
  <c r="DM37" i="68" s="1"/>
  <c r="DI37" i="68"/>
  <c r="DL37" i="68" s="1"/>
  <c r="DH37" i="68"/>
  <c r="DK37" i="68" s="1"/>
  <c r="DJ36" i="68"/>
  <c r="DM36" i="68" s="1"/>
  <c r="DI36" i="68"/>
  <c r="DL36" i="68" s="1"/>
  <c r="DH36" i="68"/>
  <c r="DK36" i="68" s="1"/>
  <c r="DJ35" i="68"/>
  <c r="DM35" i="68" s="1"/>
  <c r="DI35" i="68"/>
  <c r="DL35" i="68" s="1"/>
  <c r="DH35" i="68"/>
  <c r="DK35" i="68" s="1"/>
  <c r="DJ34" i="68"/>
  <c r="DM34" i="68" s="1"/>
  <c r="DI34" i="68"/>
  <c r="DL34" i="68" s="1"/>
  <c r="DH34" i="68"/>
  <c r="DK34" i="68" s="1"/>
  <c r="DJ33" i="68"/>
  <c r="DM33" i="68" s="1"/>
  <c r="DI33" i="68"/>
  <c r="DL33" i="68" s="1"/>
  <c r="DH33" i="68"/>
  <c r="DK33" i="68" s="1"/>
  <c r="DJ32" i="68"/>
  <c r="DM32" i="68" s="1"/>
  <c r="DI32" i="68"/>
  <c r="DL32" i="68" s="1"/>
  <c r="DH32" i="68"/>
  <c r="DK32" i="68" s="1"/>
  <c r="DJ31" i="68"/>
  <c r="DM31" i="68" s="1"/>
  <c r="DI31" i="68"/>
  <c r="DL31" i="68" s="1"/>
  <c r="DH31" i="68"/>
  <c r="DK31" i="68" s="1"/>
  <c r="DJ30" i="68"/>
  <c r="DM30" i="68" s="1"/>
  <c r="DI30" i="68"/>
  <c r="DL30" i="68" s="1"/>
  <c r="DH30" i="68"/>
  <c r="DK30" i="68" s="1"/>
  <c r="DJ29" i="68"/>
  <c r="DM29" i="68" s="1"/>
  <c r="DI29" i="68"/>
  <c r="DL29" i="68" s="1"/>
  <c r="DH29" i="68"/>
  <c r="DK29" i="68" s="1"/>
  <c r="DJ28" i="68"/>
  <c r="DM28" i="68" s="1"/>
  <c r="DI28" i="68"/>
  <c r="DL28" i="68" s="1"/>
  <c r="DH28" i="68"/>
  <c r="DK28" i="68" s="1"/>
  <c r="DJ27" i="68"/>
  <c r="DM27" i="68" s="1"/>
  <c r="DI27" i="68"/>
  <c r="DL27" i="68" s="1"/>
  <c r="DH27" i="68"/>
  <c r="DK27" i="68" s="1"/>
  <c r="DJ26" i="68"/>
  <c r="DM26" i="68" s="1"/>
  <c r="DI26" i="68"/>
  <c r="DL26" i="68" s="1"/>
  <c r="DH26" i="68"/>
  <c r="DK26" i="68" s="1"/>
  <c r="DJ25" i="68"/>
  <c r="DM25" i="68" s="1"/>
  <c r="DI25" i="68"/>
  <c r="DL25" i="68" s="1"/>
  <c r="DH25" i="68"/>
  <c r="DK25" i="68" s="1"/>
  <c r="DJ24" i="68"/>
  <c r="DM24" i="68" s="1"/>
  <c r="DI24" i="68"/>
  <c r="DL24" i="68" s="1"/>
  <c r="DH24" i="68"/>
  <c r="DK24" i="68" s="1"/>
  <c r="DJ23" i="68"/>
  <c r="DM23" i="68" s="1"/>
  <c r="DI23" i="68"/>
  <c r="DL23" i="68" s="1"/>
  <c r="DH23" i="68"/>
  <c r="DK23" i="68" s="1"/>
  <c r="DJ22" i="68"/>
  <c r="DM22" i="68" s="1"/>
  <c r="DI22" i="68"/>
  <c r="DL22" i="68" s="1"/>
  <c r="DH22" i="68"/>
  <c r="DK22" i="68" s="1"/>
  <c r="DJ21" i="68"/>
  <c r="DM21" i="68" s="1"/>
  <c r="DI21" i="68"/>
  <c r="DL21" i="68" s="1"/>
  <c r="DH21" i="68"/>
  <c r="DK21" i="68" s="1"/>
  <c r="DJ20" i="68"/>
  <c r="DM20" i="68" s="1"/>
  <c r="DI20" i="68"/>
  <c r="DL20" i="68" s="1"/>
  <c r="DH20" i="68"/>
  <c r="DK20" i="68" s="1"/>
  <c r="DJ19" i="68"/>
  <c r="DM19" i="68" s="1"/>
  <c r="DI19" i="68"/>
  <c r="DL19" i="68" s="1"/>
  <c r="DH19" i="68"/>
  <c r="DK19" i="68" s="1"/>
  <c r="DJ18" i="68"/>
  <c r="DM18" i="68" s="1"/>
  <c r="DI18" i="68"/>
  <c r="DL18" i="68" s="1"/>
  <c r="DH18" i="68"/>
  <c r="DK18" i="68" s="1"/>
  <c r="DJ17" i="68"/>
  <c r="DM17" i="68" s="1"/>
  <c r="DI17" i="68"/>
  <c r="DL17" i="68" s="1"/>
  <c r="DH17" i="68"/>
  <c r="DK17" i="68" s="1"/>
  <c r="DJ16" i="68"/>
  <c r="DM16" i="68" s="1"/>
  <c r="DI16" i="68"/>
  <c r="DL16" i="68" s="1"/>
  <c r="DH16" i="68"/>
  <c r="DK16" i="68" s="1"/>
  <c r="DJ15" i="68"/>
  <c r="DM15" i="68" s="1"/>
  <c r="DI15" i="68"/>
  <c r="DL15" i="68" s="1"/>
  <c r="DH15" i="68"/>
  <c r="DK15" i="68" s="1"/>
  <c r="DJ14" i="68"/>
  <c r="DM14" i="68" s="1"/>
  <c r="DI14" i="68"/>
  <c r="DL14" i="68" s="1"/>
  <c r="DH14" i="68"/>
  <c r="DK14" i="68" s="1"/>
  <c r="DJ44" i="67"/>
  <c r="DM44" i="67" s="1"/>
  <c r="DI44" i="67"/>
  <c r="DL44" i="67" s="1"/>
  <c r="DH44" i="67"/>
  <c r="DK44" i="67" s="1"/>
  <c r="DJ43" i="67"/>
  <c r="DM43" i="67" s="1"/>
  <c r="DI43" i="67"/>
  <c r="DL43" i="67" s="1"/>
  <c r="DH43" i="67"/>
  <c r="DK43" i="67" s="1"/>
  <c r="DJ42" i="67"/>
  <c r="DM42" i="67" s="1"/>
  <c r="DI42" i="67"/>
  <c r="DL42" i="67" s="1"/>
  <c r="DH42" i="67"/>
  <c r="DK42" i="67" s="1"/>
  <c r="DJ41" i="67"/>
  <c r="DM41" i="67" s="1"/>
  <c r="DI41" i="67"/>
  <c r="DL41" i="67" s="1"/>
  <c r="DH41" i="67"/>
  <c r="DK41" i="67" s="1"/>
  <c r="DJ40" i="67"/>
  <c r="DM40" i="67" s="1"/>
  <c r="DI40" i="67"/>
  <c r="DL40" i="67" s="1"/>
  <c r="DH40" i="67"/>
  <c r="DK40" i="67" s="1"/>
  <c r="DJ39" i="67"/>
  <c r="DM39" i="67" s="1"/>
  <c r="DI39" i="67"/>
  <c r="DL39" i="67" s="1"/>
  <c r="DH39" i="67"/>
  <c r="DK39" i="67" s="1"/>
  <c r="DJ38" i="67"/>
  <c r="DM38" i="67" s="1"/>
  <c r="DI38" i="67"/>
  <c r="DL38" i="67" s="1"/>
  <c r="DH38" i="67"/>
  <c r="DK38" i="67" s="1"/>
  <c r="DJ37" i="67"/>
  <c r="DM37" i="67" s="1"/>
  <c r="DI37" i="67"/>
  <c r="DL37" i="67" s="1"/>
  <c r="DH37" i="67"/>
  <c r="DK37" i="67" s="1"/>
  <c r="DJ36" i="67"/>
  <c r="DM36" i="67" s="1"/>
  <c r="DI36" i="67"/>
  <c r="DL36" i="67" s="1"/>
  <c r="DH36" i="67"/>
  <c r="DK36" i="67" s="1"/>
  <c r="DJ35" i="67"/>
  <c r="DM35" i="67" s="1"/>
  <c r="DI35" i="67"/>
  <c r="DL35" i="67" s="1"/>
  <c r="DH35" i="67"/>
  <c r="DK35" i="67" s="1"/>
  <c r="DJ34" i="67"/>
  <c r="DM34" i="67" s="1"/>
  <c r="DI34" i="67"/>
  <c r="DL34" i="67" s="1"/>
  <c r="DH34" i="67"/>
  <c r="DK34" i="67" s="1"/>
  <c r="DJ33" i="67"/>
  <c r="DM33" i="67" s="1"/>
  <c r="DI33" i="67"/>
  <c r="DL33" i="67" s="1"/>
  <c r="DH33" i="67"/>
  <c r="DK33" i="67" s="1"/>
  <c r="DJ32" i="67"/>
  <c r="DM32" i="67" s="1"/>
  <c r="DI32" i="67"/>
  <c r="DL32" i="67" s="1"/>
  <c r="DH32" i="67"/>
  <c r="DK32" i="67" s="1"/>
  <c r="DJ31" i="67"/>
  <c r="DM31" i="67" s="1"/>
  <c r="DI31" i="67"/>
  <c r="DL31" i="67" s="1"/>
  <c r="DH31" i="67"/>
  <c r="DK31" i="67" s="1"/>
  <c r="DK30" i="67"/>
  <c r="DJ30" i="67"/>
  <c r="DM30" i="67" s="1"/>
  <c r="DI30" i="67"/>
  <c r="DL30" i="67" s="1"/>
  <c r="DH30" i="67"/>
  <c r="DJ29" i="67"/>
  <c r="DM29" i="67" s="1"/>
  <c r="DI29" i="67"/>
  <c r="DL29" i="67" s="1"/>
  <c r="DH29" i="67"/>
  <c r="DK29" i="67" s="1"/>
  <c r="DJ28" i="67"/>
  <c r="DM28" i="67" s="1"/>
  <c r="DI28" i="67"/>
  <c r="DL28" i="67" s="1"/>
  <c r="DH28" i="67"/>
  <c r="DK28" i="67" s="1"/>
  <c r="DJ27" i="67"/>
  <c r="DM27" i="67" s="1"/>
  <c r="DI27" i="67"/>
  <c r="DL27" i="67" s="1"/>
  <c r="DH27" i="67"/>
  <c r="DK27" i="67" s="1"/>
  <c r="DJ26" i="67"/>
  <c r="DM26" i="67" s="1"/>
  <c r="DI26" i="67"/>
  <c r="DL26" i="67" s="1"/>
  <c r="DH26" i="67"/>
  <c r="DK26" i="67" s="1"/>
  <c r="DM25" i="67"/>
  <c r="DJ25" i="67"/>
  <c r="DI25" i="67"/>
  <c r="DL25" i="67" s="1"/>
  <c r="DH25" i="67"/>
  <c r="DK25" i="67" s="1"/>
  <c r="DJ24" i="67"/>
  <c r="DM24" i="67" s="1"/>
  <c r="DI24" i="67"/>
  <c r="DL24" i="67" s="1"/>
  <c r="DH24" i="67"/>
  <c r="DK24" i="67" s="1"/>
  <c r="DJ23" i="67"/>
  <c r="DM23" i="67" s="1"/>
  <c r="DI23" i="67"/>
  <c r="DL23" i="67" s="1"/>
  <c r="DH23" i="67"/>
  <c r="DK23" i="67" s="1"/>
  <c r="DJ22" i="67"/>
  <c r="DM22" i="67" s="1"/>
  <c r="DI22" i="67"/>
  <c r="DL22" i="67" s="1"/>
  <c r="DH22" i="67"/>
  <c r="DK22" i="67" s="1"/>
  <c r="DJ21" i="67"/>
  <c r="DM21" i="67" s="1"/>
  <c r="DI21" i="67"/>
  <c r="DL21" i="67" s="1"/>
  <c r="DH21" i="67"/>
  <c r="DK21" i="67" s="1"/>
  <c r="DJ20" i="67"/>
  <c r="DM20" i="67" s="1"/>
  <c r="DI20" i="67"/>
  <c r="DL20" i="67" s="1"/>
  <c r="DH20" i="67"/>
  <c r="DK20" i="67" s="1"/>
  <c r="DJ19" i="67"/>
  <c r="DM19" i="67" s="1"/>
  <c r="DI19" i="67"/>
  <c r="DL19" i="67" s="1"/>
  <c r="DH19" i="67"/>
  <c r="DK19" i="67" s="1"/>
  <c r="DJ18" i="67"/>
  <c r="DM18" i="67" s="1"/>
  <c r="DI18" i="67"/>
  <c r="DL18" i="67" s="1"/>
  <c r="DH18" i="67"/>
  <c r="DK18" i="67" s="1"/>
  <c r="DJ17" i="67"/>
  <c r="DM17" i="67" s="1"/>
  <c r="DI17" i="67"/>
  <c r="DL17" i="67" s="1"/>
  <c r="DH17" i="67"/>
  <c r="DK17" i="67" s="1"/>
  <c r="DJ16" i="67"/>
  <c r="DM16" i="67" s="1"/>
  <c r="DI16" i="67"/>
  <c r="DL16" i="67" s="1"/>
  <c r="DH16" i="67"/>
  <c r="DK16" i="67" s="1"/>
  <c r="DJ15" i="67"/>
  <c r="DM15" i="67" s="1"/>
  <c r="DI15" i="67"/>
  <c r="DL15" i="67" s="1"/>
  <c r="DH15" i="67"/>
  <c r="DK15" i="67" s="1"/>
  <c r="DK14" i="67"/>
  <c r="DJ14" i="67"/>
  <c r="DM14" i="67" s="1"/>
  <c r="DI14" i="67"/>
  <c r="DL14" i="67" s="1"/>
  <c r="DH14" i="67"/>
  <c r="DH44" i="66"/>
  <c r="DK44" i="66" s="1"/>
  <c r="DI44" i="66"/>
  <c r="DL44" i="66" s="1"/>
  <c r="DJ44" i="66"/>
  <c r="DM44" i="66" s="1"/>
  <c r="DJ43" i="66"/>
  <c r="DM43" i="66" s="1"/>
  <c r="DI43" i="66"/>
  <c r="DL43" i="66" s="1"/>
  <c r="DH43" i="66"/>
  <c r="DK43" i="66" s="1"/>
  <c r="DJ42" i="66"/>
  <c r="DM42" i="66" s="1"/>
  <c r="DI42" i="66"/>
  <c r="DL42" i="66" s="1"/>
  <c r="DH42" i="66"/>
  <c r="DK42" i="66" s="1"/>
  <c r="DJ41" i="66"/>
  <c r="DM41" i="66" s="1"/>
  <c r="DI41" i="66"/>
  <c r="DL41" i="66" s="1"/>
  <c r="DH41" i="66"/>
  <c r="DK41" i="66" s="1"/>
  <c r="DJ40" i="66"/>
  <c r="DM40" i="66" s="1"/>
  <c r="DI40" i="66"/>
  <c r="DL40" i="66" s="1"/>
  <c r="DH40" i="66"/>
  <c r="DK40" i="66" s="1"/>
  <c r="DJ39" i="66"/>
  <c r="DM39" i="66" s="1"/>
  <c r="DI39" i="66"/>
  <c r="DL39" i="66" s="1"/>
  <c r="DH39" i="66"/>
  <c r="DK39" i="66" s="1"/>
  <c r="DJ38" i="66"/>
  <c r="DM38" i="66" s="1"/>
  <c r="DI38" i="66"/>
  <c r="DL38" i="66" s="1"/>
  <c r="DH38" i="66"/>
  <c r="DK38" i="66" s="1"/>
  <c r="DJ37" i="66"/>
  <c r="DM37" i="66" s="1"/>
  <c r="DI37" i="66"/>
  <c r="DL37" i="66" s="1"/>
  <c r="DH37" i="66"/>
  <c r="DK37" i="66" s="1"/>
  <c r="DJ36" i="66"/>
  <c r="DM36" i="66" s="1"/>
  <c r="DI36" i="66"/>
  <c r="DL36" i="66" s="1"/>
  <c r="DH36" i="66"/>
  <c r="DK36" i="66" s="1"/>
  <c r="DJ35" i="66"/>
  <c r="DM35" i="66" s="1"/>
  <c r="DI35" i="66"/>
  <c r="DL35" i="66" s="1"/>
  <c r="DH35" i="66"/>
  <c r="DK35" i="66" s="1"/>
  <c r="DJ34" i="66"/>
  <c r="DM34" i="66" s="1"/>
  <c r="DI34" i="66"/>
  <c r="DL34" i="66" s="1"/>
  <c r="DH34" i="66"/>
  <c r="DK34" i="66" s="1"/>
  <c r="DJ33" i="66"/>
  <c r="DM33" i="66" s="1"/>
  <c r="DI33" i="66"/>
  <c r="DL33" i="66" s="1"/>
  <c r="DH33" i="66"/>
  <c r="DK33" i="66" s="1"/>
  <c r="DJ32" i="66"/>
  <c r="DM32" i="66" s="1"/>
  <c r="DI32" i="66"/>
  <c r="DL32" i="66" s="1"/>
  <c r="DH32" i="66"/>
  <c r="DK32" i="66" s="1"/>
  <c r="DJ31" i="66"/>
  <c r="DM31" i="66" s="1"/>
  <c r="DI31" i="66"/>
  <c r="DL31" i="66" s="1"/>
  <c r="DH31" i="66"/>
  <c r="DK31" i="66" s="1"/>
  <c r="DJ30" i="66"/>
  <c r="DM30" i="66" s="1"/>
  <c r="DI30" i="66"/>
  <c r="DL30" i="66" s="1"/>
  <c r="DH30" i="66"/>
  <c r="DK30" i="66" s="1"/>
  <c r="DJ29" i="66"/>
  <c r="DM29" i="66" s="1"/>
  <c r="DI29" i="66"/>
  <c r="DL29" i="66" s="1"/>
  <c r="DH29" i="66"/>
  <c r="DK29" i="66" s="1"/>
  <c r="DJ28" i="66"/>
  <c r="DM28" i="66" s="1"/>
  <c r="DI28" i="66"/>
  <c r="DL28" i="66" s="1"/>
  <c r="DH28" i="66"/>
  <c r="DK28" i="66" s="1"/>
  <c r="DJ27" i="66"/>
  <c r="DM27" i="66" s="1"/>
  <c r="DI27" i="66"/>
  <c r="DL27" i="66" s="1"/>
  <c r="DH27" i="66"/>
  <c r="DK27" i="66" s="1"/>
  <c r="DJ26" i="66"/>
  <c r="DM26" i="66" s="1"/>
  <c r="DI26" i="66"/>
  <c r="DL26" i="66" s="1"/>
  <c r="DH26" i="66"/>
  <c r="DK26" i="66" s="1"/>
  <c r="DJ25" i="66"/>
  <c r="DM25" i="66" s="1"/>
  <c r="DI25" i="66"/>
  <c r="DL25" i="66" s="1"/>
  <c r="DH25" i="66"/>
  <c r="DK25" i="66" s="1"/>
  <c r="DJ24" i="66"/>
  <c r="DM24" i="66" s="1"/>
  <c r="DI24" i="66"/>
  <c r="DL24" i="66" s="1"/>
  <c r="DH24" i="66"/>
  <c r="DK24" i="66" s="1"/>
  <c r="DJ23" i="66"/>
  <c r="DM23" i="66" s="1"/>
  <c r="DI23" i="66"/>
  <c r="DL23" i="66" s="1"/>
  <c r="DH23" i="66"/>
  <c r="DK23" i="66" s="1"/>
  <c r="DL22" i="66"/>
  <c r="DJ22" i="66"/>
  <c r="DM22" i="66" s="1"/>
  <c r="DI22" i="66"/>
  <c r="DH22" i="66"/>
  <c r="DK22" i="66" s="1"/>
  <c r="DJ21" i="66"/>
  <c r="DM21" i="66" s="1"/>
  <c r="DI21" i="66"/>
  <c r="DL21" i="66" s="1"/>
  <c r="DH21" i="66"/>
  <c r="DK21" i="66" s="1"/>
  <c r="DJ20" i="66"/>
  <c r="DM20" i="66" s="1"/>
  <c r="DI20" i="66"/>
  <c r="DL20" i="66" s="1"/>
  <c r="DH20" i="66"/>
  <c r="DK20" i="66" s="1"/>
  <c r="DJ19" i="66"/>
  <c r="DM19" i="66" s="1"/>
  <c r="DI19" i="66"/>
  <c r="DL19" i="66" s="1"/>
  <c r="DH19" i="66"/>
  <c r="DK19" i="66" s="1"/>
  <c r="DJ18" i="66"/>
  <c r="DM18" i="66" s="1"/>
  <c r="DI18" i="66"/>
  <c r="DL18" i="66" s="1"/>
  <c r="DH18" i="66"/>
  <c r="DK18" i="66" s="1"/>
  <c r="DM17" i="66"/>
  <c r="DJ17" i="66"/>
  <c r="DI17" i="66"/>
  <c r="DL17" i="66" s="1"/>
  <c r="DH17" i="66"/>
  <c r="DK17" i="66" s="1"/>
  <c r="DJ16" i="66"/>
  <c r="DM16" i="66" s="1"/>
  <c r="DI16" i="66"/>
  <c r="DL16" i="66" s="1"/>
  <c r="DN16" i="66" s="1"/>
  <c r="X5" i="24" s="1"/>
  <c r="DH16" i="66"/>
  <c r="DK16" i="66" s="1"/>
  <c r="DJ15" i="66"/>
  <c r="DM15" i="66" s="1"/>
  <c r="DI15" i="66"/>
  <c r="DL15" i="66" s="1"/>
  <c r="DH15" i="66"/>
  <c r="DK15" i="66" s="1"/>
  <c r="DJ14" i="66"/>
  <c r="DM14" i="66" s="1"/>
  <c r="DI14" i="66"/>
  <c r="DL14" i="66" s="1"/>
  <c r="DH14" i="66"/>
  <c r="DK14" i="66" s="1"/>
  <c r="DM44" i="65"/>
  <c r="DL44" i="65"/>
  <c r="DH44" i="65"/>
  <c r="DK44" i="65" s="1"/>
  <c r="DJ43" i="65"/>
  <c r="DM43" i="65" s="1"/>
  <c r="DI43" i="65"/>
  <c r="DL43" i="65" s="1"/>
  <c r="DH43" i="65"/>
  <c r="DK43" i="65" s="1"/>
  <c r="DJ42" i="65"/>
  <c r="DM42" i="65" s="1"/>
  <c r="DI42" i="65"/>
  <c r="DL42" i="65" s="1"/>
  <c r="DH42" i="65"/>
  <c r="DK42" i="65" s="1"/>
  <c r="DJ41" i="65"/>
  <c r="DM41" i="65" s="1"/>
  <c r="DI41" i="65"/>
  <c r="DL41" i="65" s="1"/>
  <c r="DH41" i="65"/>
  <c r="DK41" i="65" s="1"/>
  <c r="DJ40" i="65"/>
  <c r="DM40" i="65" s="1"/>
  <c r="DI40" i="65"/>
  <c r="DL40" i="65" s="1"/>
  <c r="DH40" i="65"/>
  <c r="DK40" i="65" s="1"/>
  <c r="DJ39" i="65"/>
  <c r="DM39" i="65" s="1"/>
  <c r="DI39" i="65"/>
  <c r="DL39" i="65" s="1"/>
  <c r="DH39" i="65"/>
  <c r="DK39" i="65" s="1"/>
  <c r="DJ38" i="65"/>
  <c r="DM38" i="65" s="1"/>
  <c r="DI38" i="65"/>
  <c r="DL38" i="65" s="1"/>
  <c r="DH38" i="65"/>
  <c r="DK38" i="65" s="1"/>
  <c r="DJ37" i="65"/>
  <c r="DM37" i="65" s="1"/>
  <c r="DI37" i="65"/>
  <c r="DL37" i="65" s="1"/>
  <c r="DH37" i="65"/>
  <c r="DK37" i="65" s="1"/>
  <c r="DJ36" i="65"/>
  <c r="DM36" i="65" s="1"/>
  <c r="DI36" i="65"/>
  <c r="DL36" i="65" s="1"/>
  <c r="DH36" i="65"/>
  <c r="DK36" i="65" s="1"/>
  <c r="DJ35" i="65"/>
  <c r="DM35" i="65" s="1"/>
  <c r="DI35" i="65"/>
  <c r="DL35" i="65" s="1"/>
  <c r="DH35" i="65"/>
  <c r="DK35" i="65" s="1"/>
  <c r="DJ34" i="65"/>
  <c r="DM34" i="65" s="1"/>
  <c r="DI34" i="65"/>
  <c r="DL34" i="65" s="1"/>
  <c r="DH34" i="65"/>
  <c r="DK34" i="65" s="1"/>
  <c r="DJ33" i="65"/>
  <c r="DM33" i="65" s="1"/>
  <c r="DI33" i="65"/>
  <c r="DL33" i="65" s="1"/>
  <c r="DH33" i="65"/>
  <c r="DK33" i="65" s="1"/>
  <c r="DJ32" i="65"/>
  <c r="DM32" i="65" s="1"/>
  <c r="DI32" i="65"/>
  <c r="DL32" i="65" s="1"/>
  <c r="DH32" i="65"/>
  <c r="DK32" i="65" s="1"/>
  <c r="DJ31" i="65"/>
  <c r="DM31" i="65" s="1"/>
  <c r="DI31" i="65"/>
  <c r="DL31" i="65" s="1"/>
  <c r="DH31" i="65"/>
  <c r="DK31" i="65" s="1"/>
  <c r="DJ30" i="65"/>
  <c r="DM30" i="65" s="1"/>
  <c r="DI30" i="65"/>
  <c r="DL30" i="65" s="1"/>
  <c r="DH30" i="65"/>
  <c r="DK30" i="65" s="1"/>
  <c r="DJ29" i="65"/>
  <c r="DM29" i="65" s="1"/>
  <c r="DI29" i="65"/>
  <c r="DL29" i="65" s="1"/>
  <c r="DH29" i="65"/>
  <c r="DK29" i="65" s="1"/>
  <c r="DJ28" i="65"/>
  <c r="DM28" i="65" s="1"/>
  <c r="DI28" i="65"/>
  <c r="DL28" i="65" s="1"/>
  <c r="DH28" i="65"/>
  <c r="DK28" i="65" s="1"/>
  <c r="DJ27" i="65"/>
  <c r="DM27" i="65" s="1"/>
  <c r="DI27" i="65"/>
  <c r="DL27" i="65" s="1"/>
  <c r="DH27" i="65"/>
  <c r="DK27" i="65" s="1"/>
  <c r="DJ26" i="65"/>
  <c r="DM26" i="65" s="1"/>
  <c r="DI26" i="65"/>
  <c r="DL26" i="65" s="1"/>
  <c r="DH26" i="65"/>
  <c r="DK26" i="65" s="1"/>
  <c r="DJ25" i="65"/>
  <c r="DM25" i="65" s="1"/>
  <c r="DI25" i="65"/>
  <c r="DL25" i="65" s="1"/>
  <c r="DH25" i="65"/>
  <c r="DK25" i="65" s="1"/>
  <c r="DJ24" i="65"/>
  <c r="DM24" i="65" s="1"/>
  <c r="DI24" i="65"/>
  <c r="DL24" i="65" s="1"/>
  <c r="DH24" i="65"/>
  <c r="DK24" i="65" s="1"/>
  <c r="DJ23" i="65"/>
  <c r="DM23" i="65" s="1"/>
  <c r="DI23" i="65"/>
  <c r="DL23" i="65" s="1"/>
  <c r="DH23" i="65"/>
  <c r="DK23" i="65" s="1"/>
  <c r="DJ22" i="65"/>
  <c r="DM22" i="65" s="1"/>
  <c r="DI22" i="65"/>
  <c r="DL22" i="65" s="1"/>
  <c r="DH22" i="65"/>
  <c r="DK22" i="65" s="1"/>
  <c r="DJ21" i="65"/>
  <c r="DM21" i="65" s="1"/>
  <c r="DI21" i="65"/>
  <c r="DL21" i="65" s="1"/>
  <c r="DH21" i="65"/>
  <c r="DK21" i="65" s="1"/>
  <c r="DJ20" i="65"/>
  <c r="DM20" i="65" s="1"/>
  <c r="DI20" i="65"/>
  <c r="DL20" i="65" s="1"/>
  <c r="DH20" i="65"/>
  <c r="DK20" i="65" s="1"/>
  <c r="DJ19" i="65"/>
  <c r="DM19" i="65" s="1"/>
  <c r="DI19" i="65"/>
  <c r="DL19" i="65" s="1"/>
  <c r="DH19" i="65"/>
  <c r="DK19" i="65" s="1"/>
  <c r="DJ18" i="65"/>
  <c r="DM18" i="65" s="1"/>
  <c r="DI18" i="65"/>
  <c r="DL18" i="65" s="1"/>
  <c r="DH18" i="65"/>
  <c r="DK18" i="65" s="1"/>
  <c r="DJ17" i="65"/>
  <c r="DM17" i="65" s="1"/>
  <c r="DI17" i="65"/>
  <c r="DL17" i="65" s="1"/>
  <c r="DH17" i="65"/>
  <c r="DK17" i="65" s="1"/>
  <c r="DJ16" i="65"/>
  <c r="DM16" i="65" s="1"/>
  <c r="DI16" i="65"/>
  <c r="DL16" i="65" s="1"/>
  <c r="DH16" i="65"/>
  <c r="DK16" i="65" s="1"/>
  <c r="DJ15" i="65"/>
  <c r="DM15" i="65" s="1"/>
  <c r="DI15" i="65"/>
  <c r="DL15" i="65" s="1"/>
  <c r="DH15" i="65"/>
  <c r="DK15" i="65" s="1"/>
  <c r="DJ14" i="65"/>
  <c r="DM14" i="65" s="1"/>
  <c r="DI14" i="65"/>
  <c r="DL14" i="65" s="1"/>
  <c r="DH14" i="65"/>
  <c r="DK14" i="65" s="1"/>
  <c r="DH14" i="64"/>
  <c r="DK14" i="64" s="1"/>
  <c r="DJ41" i="64"/>
  <c r="DM41" i="64" s="1"/>
  <c r="DI41" i="64"/>
  <c r="DL41" i="64" s="1"/>
  <c r="DH41" i="64"/>
  <c r="DK41" i="64" s="1"/>
  <c r="DJ40" i="64"/>
  <c r="DM40" i="64" s="1"/>
  <c r="DI40" i="64"/>
  <c r="DL40" i="64" s="1"/>
  <c r="DH40" i="64"/>
  <c r="DK40" i="64" s="1"/>
  <c r="DJ39" i="64"/>
  <c r="DM39" i="64" s="1"/>
  <c r="DI39" i="64"/>
  <c r="DL39" i="64" s="1"/>
  <c r="DH39" i="64"/>
  <c r="DK39" i="64" s="1"/>
  <c r="DJ38" i="64"/>
  <c r="DM38" i="64" s="1"/>
  <c r="DI38" i="64"/>
  <c r="DL38" i="64" s="1"/>
  <c r="DH38" i="64"/>
  <c r="DK38" i="64" s="1"/>
  <c r="DJ37" i="64"/>
  <c r="DM37" i="64" s="1"/>
  <c r="DI37" i="64"/>
  <c r="DL37" i="64" s="1"/>
  <c r="DH37" i="64"/>
  <c r="DK37" i="64" s="1"/>
  <c r="DJ36" i="64"/>
  <c r="DM36" i="64" s="1"/>
  <c r="DI36" i="64"/>
  <c r="DL36" i="64" s="1"/>
  <c r="DH36" i="64"/>
  <c r="DK36" i="64" s="1"/>
  <c r="DJ35" i="64"/>
  <c r="DM35" i="64" s="1"/>
  <c r="DI35" i="64"/>
  <c r="DL35" i="64" s="1"/>
  <c r="DH35" i="64"/>
  <c r="DK35" i="64" s="1"/>
  <c r="DJ34" i="64"/>
  <c r="DM34" i="64" s="1"/>
  <c r="DI34" i="64"/>
  <c r="DL34" i="64" s="1"/>
  <c r="DH34" i="64"/>
  <c r="DK34" i="64" s="1"/>
  <c r="DJ33" i="64"/>
  <c r="DM33" i="64" s="1"/>
  <c r="DI33" i="64"/>
  <c r="DL33" i="64" s="1"/>
  <c r="DH33" i="64"/>
  <c r="DK33" i="64" s="1"/>
  <c r="DJ32" i="64"/>
  <c r="DM32" i="64" s="1"/>
  <c r="DI32" i="64"/>
  <c r="DL32" i="64" s="1"/>
  <c r="DH32" i="64"/>
  <c r="DK32" i="64" s="1"/>
  <c r="DJ31" i="64"/>
  <c r="DM31" i="64" s="1"/>
  <c r="DI31" i="64"/>
  <c r="DL31" i="64" s="1"/>
  <c r="DH31" i="64"/>
  <c r="DK31" i="64" s="1"/>
  <c r="DJ30" i="64"/>
  <c r="DM30" i="64" s="1"/>
  <c r="DI30" i="64"/>
  <c r="DL30" i="64" s="1"/>
  <c r="DH30" i="64"/>
  <c r="DK30" i="64" s="1"/>
  <c r="DJ29" i="64"/>
  <c r="DM29" i="64" s="1"/>
  <c r="DI29" i="64"/>
  <c r="DL29" i="64" s="1"/>
  <c r="DH29" i="64"/>
  <c r="DK29" i="64" s="1"/>
  <c r="DJ28" i="64"/>
  <c r="DM28" i="64" s="1"/>
  <c r="DI28" i="64"/>
  <c r="DL28" i="64" s="1"/>
  <c r="DH28" i="64"/>
  <c r="DK28" i="64" s="1"/>
  <c r="DJ27" i="64"/>
  <c r="DM27" i="64" s="1"/>
  <c r="DI27" i="64"/>
  <c r="DL27" i="64" s="1"/>
  <c r="DH27" i="64"/>
  <c r="DK27" i="64" s="1"/>
  <c r="DJ26" i="64"/>
  <c r="DM26" i="64" s="1"/>
  <c r="DI26" i="64"/>
  <c r="DL26" i="64" s="1"/>
  <c r="DH26" i="64"/>
  <c r="DK26" i="64" s="1"/>
  <c r="DJ25" i="64"/>
  <c r="DM25" i="64" s="1"/>
  <c r="DI25" i="64"/>
  <c r="DL25" i="64" s="1"/>
  <c r="DH25" i="64"/>
  <c r="DK25" i="64" s="1"/>
  <c r="DJ24" i="64"/>
  <c r="DM24" i="64" s="1"/>
  <c r="DI24" i="64"/>
  <c r="DL24" i="64" s="1"/>
  <c r="DH24" i="64"/>
  <c r="DK24" i="64" s="1"/>
  <c r="DJ23" i="64"/>
  <c r="DM23" i="64" s="1"/>
  <c r="DI23" i="64"/>
  <c r="DL23" i="64" s="1"/>
  <c r="DH23" i="64"/>
  <c r="DK23" i="64" s="1"/>
  <c r="DJ22" i="64"/>
  <c r="DM22" i="64" s="1"/>
  <c r="DI22" i="64"/>
  <c r="DL22" i="64" s="1"/>
  <c r="DH22" i="64"/>
  <c r="DK22" i="64" s="1"/>
  <c r="DJ21" i="64"/>
  <c r="DM21" i="64" s="1"/>
  <c r="DI21" i="64"/>
  <c r="DL21" i="64" s="1"/>
  <c r="DH21" i="64"/>
  <c r="DK21" i="64" s="1"/>
  <c r="DJ20" i="64"/>
  <c r="DM20" i="64" s="1"/>
  <c r="DI20" i="64"/>
  <c r="DL20" i="64" s="1"/>
  <c r="DH20" i="64"/>
  <c r="DK20" i="64" s="1"/>
  <c r="DJ19" i="64"/>
  <c r="DM19" i="64" s="1"/>
  <c r="DI19" i="64"/>
  <c r="DL19" i="64" s="1"/>
  <c r="DH19" i="64"/>
  <c r="DK19" i="64" s="1"/>
  <c r="DJ18" i="64"/>
  <c r="DM18" i="64" s="1"/>
  <c r="DI18" i="64"/>
  <c r="DL18" i="64" s="1"/>
  <c r="DH18" i="64"/>
  <c r="DK18" i="64" s="1"/>
  <c r="DJ17" i="64"/>
  <c r="DM17" i="64" s="1"/>
  <c r="DI17" i="64"/>
  <c r="DL17" i="64" s="1"/>
  <c r="DH17" i="64"/>
  <c r="DK17" i="64" s="1"/>
  <c r="DJ16" i="64"/>
  <c r="DM16" i="64" s="1"/>
  <c r="DI16" i="64"/>
  <c r="DL16" i="64" s="1"/>
  <c r="DH16" i="64"/>
  <c r="DK16" i="64" s="1"/>
  <c r="DJ15" i="64"/>
  <c r="DM15" i="64" s="1"/>
  <c r="DI15" i="64"/>
  <c r="DL15" i="64" s="1"/>
  <c r="DH15" i="64"/>
  <c r="DK15" i="64" s="1"/>
  <c r="DJ14" i="64"/>
  <c r="DM14" i="64" s="1"/>
  <c r="DI14" i="64"/>
  <c r="DL14" i="64" s="1"/>
  <c r="AR30" i="43" l="1"/>
  <c r="B17" i="48"/>
  <c r="B17" i="49"/>
  <c r="AD30" i="43"/>
  <c r="DN32" i="73"/>
  <c r="AC21" i="25" s="1"/>
  <c r="DN28" i="73"/>
  <c r="AC17" i="25" s="1"/>
  <c r="DN20" i="72"/>
  <c r="X9" i="25" s="1"/>
  <c r="DN28" i="72"/>
  <c r="X17" i="25" s="1"/>
  <c r="DN40" i="71"/>
  <c r="S29" i="25" s="1"/>
  <c r="DN44" i="71"/>
  <c r="S33" i="25" s="1"/>
  <c r="DN27" i="70"/>
  <c r="N16" i="25" s="1"/>
  <c r="DN21" i="69"/>
  <c r="I10" i="25" s="1"/>
  <c r="DN16" i="67"/>
  <c r="AC5" i="24" s="1"/>
  <c r="DN23" i="66"/>
  <c r="X12" i="24" s="1"/>
  <c r="DN43" i="66"/>
  <c r="X32" i="24" s="1"/>
  <c r="DN42" i="66"/>
  <c r="X31" i="24" s="1"/>
  <c r="DN36" i="64"/>
  <c r="N25" i="24" s="1"/>
  <c r="DN20" i="64"/>
  <c r="N9" i="24" s="1"/>
  <c r="DN43" i="70"/>
  <c r="N32" i="25" s="1"/>
  <c r="DN28" i="70"/>
  <c r="N17" i="25" s="1"/>
  <c r="DN21" i="68"/>
  <c r="D10" i="25" s="1"/>
  <c r="DN20" i="70"/>
  <c r="N9" i="25" s="1"/>
  <c r="DN15" i="66"/>
  <c r="X4" i="24" s="1"/>
  <c r="N31" i="24"/>
  <c r="A9" i="47"/>
  <c r="Q21" i="43"/>
  <c r="DN28" i="71"/>
  <c r="S17" i="25" s="1"/>
  <c r="DN21" i="71"/>
  <c r="S10" i="25" s="1"/>
  <c r="DN35" i="68"/>
  <c r="D24" i="25" s="1"/>
  <c r="DN15" i="73"/>
  <c r="AC4" i="25" s="1"/>
  <c r="DN40" i="72"/>
  <c r="X29" i="25" s="1"/>
  <c r="DN24" i="64"/>
  <c r="N13" i="24" s="1"/>
  <c r="DN19" i="73"/>
  <c r="AC8" i="25" s="1"/>
  <c r="DN40" i="73"/>
  <c r="AC29" i="25" s="1"/>
  <c r="DN17" i="73"/>
  <c r="AC6" i="25" s="1"/>
  <c r="DN25" i="73"/>
  <c r="AC14" i="25" s="1"/>
  <c r="DN26" i="73"/>
  <c r="AC15" i="25" s="1"/>
  <c r="DN24" i="73"/>
  <c r="AC13" i="25" s="1"/>
  <c r="DN34" i="73"/>
  <c r="AC23" i="25" s="1"/>
  <c r="DN44" i="73"/>
  <c r="AC33" i="25" s="1"/>
  <c r="DN18" i="73"/>
  <c r="AC7" i="25" s="1"/>
  <c r="DN42" i="73"/>
  <c r="AC31" i="25" s="1"/>
  <c r="DN33" i="73"/>
  <c r="AC22" i="25" s="1"/>
  <c r="DN41" i="73"/>
  <c r="AC30" i="25" s="1"/>
  <c r="DN18" i="72"/>
  <c r="X7" i="25" s="1"/>
  <c r="DN31" i="72"/>
  <c r="X20" i="25" s="1"/>
  <c r="DN32" i="72"/>
  <c r="X21" i="25" s="1"/>
  <c r="DN16" i="72"/>
  <c r="X5" i="25" s="1"/>
  <c r="DN21" i="72"/>
  <c r="X10" i="25" s="1"/>
  <c r="DN36" i="72"/>
  <c r="X25" i="25" s="1"/>
  <c r="DN17" i="72"/>
  <c r="X6" i="25" s="1"/>
  <c r="DN34" i="72"/>
  <c r="X23" i="25" s="1"/>
  <c r="DN24" i="72"/>
  <c r="X13" i="25" s="1"/>
  <c r="DN33" i="72"/>
  <c r="X22" i="25" s="1"/>
  <c r="DN35" i="72"/>
  <c r="X24" i="25" s="1"/>
  <c r="DN42" i="72"/>
  <c r="X31" i="25" s="1"/>
  <c r="DN27" i="71"/>
  <c r="S16" i="25" s="1"/>
  <c r="DN19" i="71"/>
  <c r="S8" i="25" s="1"/>
  <c r="DN26" i="71"/>
  <c r="S15" i="25" s="1"/>
  <c r="DN36" i="71"/>
  <c r="S25" i="25" s="1"/>
  <c r="DN16" i="71"/>
  <c r="S5" i="25" s="1"/>
  <c r="DN17" i="71"/>
  <c r="S6" i="25" s="1"/>
  <c r="DN34" i="71"/>
  <c r="S23" i="25" s="1"/>
  <c r="DN42" i="71"/>
  <c r="S31" i="25" s="1"/>
  <c r="DN25" i="71"/>
  <c r="S14" i="25" s="1"/>
  <c r="DN33" i="71"/>
  <c r="S22" i="25" s="1"/>
  <c r="DN18" i="71"/>
  <c r="S7" i="25" s="1"/>
  <c r="DN20" i="71"/>
  <c r="S9" i="25" s="1"/>
  <c r="DN35" i="71"/>
  <c r="S24" i="25" s="1"/>
  <c r="DN41" i="71"/>
  <c r="S30" i="25" s="1"/>
  <c r="DN24" i="71"/>
  <c r="S13" i="25" s="1"/>
  <c r="DN32" i="71"/>
  <c r="S21" i="25" s="1"/>
  <c r="DN43" i="71"/>
  <c r="S32" i="25" s="1"/>
  <c r="DN32" i="70"/>
  <c r="N21" i="25" s="1"/>
  <c r="DN16" i="70"/>
  <c r="N5" i="25" s="1"/>
  <c r="DN24" i="70"/>
  <c r="N13" i="25" s="1"/>
  <c r="DN31" i="70"/>
  <c r="N20" i="25" s="1"/>
  <c r="DN33" i="70"/>
  <c r="N22" i="25" s="1"/>
  <c r="DN35" i="70"/>
  <c r="N24" i="25" s="1"/>
  <c r="DN41" i="70"/>
  <c r="N30" i="25" s="1"/>
  <c r="DN18" i="70"/>
  <c r="N7" i="25" s="1"/>
  <c r="DN26" i="70"/>
  <c r="N15" i="25" s="1"/>
  <c r="DN36" i="70"/>
  <c r="N25" i="25" s="1"/>
  <c r="DN21" i="70"/>
  <c r="N10" i="25" s="1"/>
  <c r="DN34" i="70"/>
  <c r="N23" i="25" s="1"/>
  <c r="DN17" i="70"/>
  <c r="N6" i="25" s="1"/>
  <c r="DN40" i="70"/>
  <c r="N29" i="25" s="1"/>
  <c r="DN42" i="70"/>
  <c r="N31" i="25" s="1"/>
  <c r="DN25" i="70"/>
  <c r="N14" i="25" s="1"/>
  <c r="DN39" i="69"/>
  <c r="I28" i="25" s="1"/>
  <c r="DN26" i="69"/>
  <c r="I15" i="25" s="1"/>
  <c r="DN16" i="69"/>
  <c r="I5" i="25" s="1"/>
  <c r="DN36" i="69"/>
  <c r="I25" i="25" s="1"/>
  <c r="DN40" i="69"/>
  <c r="I29" i="25" s="1"/>
  <c r="DN33" i="69"/>
  <c r="I22" i="25" s="1"/>
  <c r="DN42" i="69"/>
  <c r="I31" i="25" s="1"/>
  <c r="DN20" i="69"/>
  <c r="I9" i="25" s="1"/>
  <c r="DN18" i="69"/>
  <c r="I7" i="25" s="1"/>
  <c r="DN28" i="69"/>
  <c r="I17" i="25" s="1"/>
  <c r="DN41" i="69"/>
  <c r="I30" i="25" s="1"/>
  <c r="DN32" i="69"/>
  <c r="I21" i="25" s="1"/>
  <c r="DN34" i="69"/>
  <c r="I23" i="25" s="1"/>
  <c r="DN17" i="69"/>
  <c r="I6" i="25" s="1"/>
  <c r="DN29" i="69"/>
  <c r="I18" i="25" s="1"/>
  <c r="DN24" i="69"/>
  <c r="I13" i="25" s="1"/>
  <c r="DN25" i="69"/>
  <c r="I14" i="25" s="1"/>
  <c r="DN37" i="69"/>
  <c r="I26" i="25" s="1"/>
  <c r="DN44" i="69"/>
  <c r="I33" i="25" s="1"/>
  <c r="DN16" i="68"/>
  <c r="D5" i="25" s="1"/>
  <c r="DN31" i="68"/>
  <c r="D20" i="25" s="1"/>
  <c r="D31" i="25"/>
  <c r="DN32" i="68"/>
  <c r="D21" i="25" s="1"/>
  <c r="DN34" i="68"/>
  <c r="D23" i="25" s="1"/>
  <c r="DN17" i="68"/>
  <c r="D6" i="25" s="1"/>
  <c r="DN40" i="68"/>
  <c r="D29" i="25" s="1"/>
  <c r="DN25" i="68"/>
  <c r="D14" i="25" s="1"/>
  <c r="DN27" i="68"/>
  <c r="D16" i="25" s="1"/>
  <c r="DN33" i="68"/>
  <c r="D22" i="25" s="1"/>
  <c r="DN41" i="68"/>
  <c r="D30" i="25" s="1"/>
  <c r="DN20" i="68"/>
  <c r="D9" i="25" s="1"/>
  <c r="DN18" i="68"/>
  <c r="D7" i="25" s="1"/>
  <c r="DN28" i="68"/>
  <c r="D17" i="25" s="1"/>
  <c r="DN24" i="68"/>
  <c r="D13" i="25" s="1"/>
  <c r="DN26" i="68"/>
  <c r="D15" i="25" s="1"/>
  <c r="DN36" i="68"/>
  <c r="D25" i="25" s="1"/>
  <c r="DN24" i="67"/>
  <c r="AC13" i="24" s="1"/>
  <c r="DN25" i="67"/>
  <c r="AC14" i="24" s="1"/>
  <c r="DN32" i="67"/>
  <c r="AC21" i="24" s="1"/>
  <c r="DN40" i="67"/>
  <c r="AC29" i="24" s="1"/>
  <c r="DN18" i="67"/>
  <c r="AC7" i="24" s="1"/>
  <c r="DN20" i="67"/>
  <c r="AC9" i="24" s="1"/>
  <c r="DN27" i="67"/>
  <c r="AC16" i="24" s="1"/>
  <c r="DN29" i="67"/>
  <c r="AC18" i="24" s="1"/>
  <c r="DN34" i="67"/>
  <c r="AC23" i="24" s="1"/>
  <c r="DN42" i="67"/>
  <c r="AC31" i="24" s="1"/>
  <c r="DN44" i="67"/>
  <c r="AC33" i="24" s="1"/>
  <c r="DN17" i="67"/>
  <c r="AC6" i="24" s="1"/>
  <c r="DN33" i="67"/>
  <c r="AC22" i="24" s="1"/>
  <c r="DN41" i="67"/>
  <c r="AC30" i="24" s="1"/>
  <c r="DN19" i="67"/>
  <c r="AC8" i="24" s="1"/>
  <c r="DN21" i="67"/>
  <c r="AC10" i="24" s="1"/>
  <c r="DN26" i="67"/>
  <c r="AC15" i="24" s="1"/>
  <c r="DN28" i="67"/>
  <c r="AC17" i="24" s="1"/>
  <c r="DN43" i="67"/>
  <c r="AC32" i="24" s="1"/>
  <c r="DN32" i="66"/>
  <c r="X21" i="24" s="1"/>
  <c r="DN17" i="66"/>
  <c r="X6" i="24" s="1"/>
  <c r="DN18" i="66"/>
  <c r="X7" i="24" s="1"/>
  <c r="DN34" i="66"/>
  <c r="X23" i="24" s="1"/>
  <c r="DN25" i="66"/>
  <c r="X14" i="24" s="1"/>
  <c r="DN40" i="66"/>
  <c r="X29" i="24" s="1"/>
  <c r="DN27" i="66"/>
  <c r="X16" i="24" s="1"/>
  <c r="DN31" i="66"/>
  <c r="X20" i="24" s="1"/>
  <c r="DN35" i="66"/>
  <c r="X24" i="24" s="1"/>
  <c r="DN19" i="66"/>
  <c r="X8" i="24" s="1"/>
  <c r="DN28" i="66"/>
  <c r="X17" i="24" s="1"/>
  <c r="DN39" i="66"/>
  <c r="X28" i="24" s="1"/>
  <c r="DN41" i="66"/>
  <c r="X30" i="24" s="1"/>
  <c r="DN24" i="66"/>
  <c r="X13" i="24" s="1"/>
  <c r="DN23" i="65"/>
  <c r="S12" i="24" s="1"/>
  <c r="DN28" i="65"/>
  <c r="S17" i="24" s="1"/>
  <c r="DN35" i="65"/>
  <c r="S24" i="24" s="1"/>
  <c r="DN40" i="65"/>
  <c r="S29" i="24" s="1"/>
  <c r="DN16" i="65"/>
  <c r="S5" i="24" s="1"/>
  <c r="DN36" i="65"/>
  <c r="S25" i="24" s="1"/>
  <c r="DN24" i="65"/>
  <c r="S13" i="24" s="1"/>
  <c r="DN27" i="65"/>
  <c r="S16" i="24" s="1"/>
  <c r="DN44" i="65"/>
  <c r="DN32" i="65"/>
  <c r="S21" i="24" s="1"/>
  <c r="DN33" i="65"/>
  <c r="S22" i="24" s="1"/>
  <c r="DN26" i="65"/>
  <c r="S15" i="24" s="1"/>
  <c r="DN41" i="65"/>
  <c r="S30" i="24" s="1"/>
  <c r="DN18" i="65"/>
  <c r="S7" i="24" s="1"/>
  <c r="DN17" i="65"/>
  <c r="S6" i="24" s="1"/>
  <c r="DN19" i="65"/>
  <c r="S8" i="24" s="1"/>
  <c r="DN25" i="65"/>
  <c r="S14" i="24" s="1"/>
  <c r="DN37" i="65"/>
  <c r="S26" i="24" s="1"/>
  <c r="DN27" i="64"/>
  <c r="N16" i="24" s="1"/>
  <c r="DN14" i="64"/>
  <c r="N3" i="24" s="1"/>
  <c r="DN18" i="64"/>
  <c r="N7" i="24" s="1"/>
  <c r="DN38" i="64"/>
  <c r="N27" i="24" s="1"/>
  <c r="DN28" i="64"/>
  <c r="N17" i="24" s="1"/>
  <c r="DN37" i="64"/>
  <c r="N26" i="24" s="1"/>
  <c r="DN21" i="64"/>
  <c r="N10" i="24" s="1"/>
  <c r="DN23" i="64"/>
  <c r="N12" i="24" s="1"/>
  <c r="N33" i="24"/>
  <c r="DN16" i="73"/>
  <c r="AC5" i="25" s="1"/>
  <c r="DN27" i="72"/>
  <c r="X16" i="25" s="1"/>
  <c r="DN26" i="72"/>
  <c r="X15" i="25" s="1"/>
  <c r="DN25" i="72"/>
  <c r="X14" i="25" s="1"/>
  <c r="DN41" i="72"/>
  <c r="X30" i="25" s="1"/>
  <c r="DN19" i="69"/>
  <c r="I8" i="25" s="1"/>
  <c r="DN37" i="67"/>
  <c r="AC26" i="24" s="1"/>
  <c r="DN36" i="67"/>
  <c r="AC25" i="24" s="1"/>
  <c r="DN35" i="67"/>
  <c r="AC24" i="24" s="1"/>
  <c r="DN26" i="66"/>
  <c r="X15" i="24" s="1"/>
  <c r="DN33" i="66"/>
  <c r="X22" i="24" s="1"/>
  <c r="DN29" i="64"/>
  <c r="N18" i="24" s="1"/>
  <c r="DN39" i="73"/>
  <c r="AC28" i="25" s="1"/>
  <c r="DN21" i="73"/>
  <c r="AC10" i="25" s="1"/>
  <c r="DN14" i="73"/>
  <c r="AC3" i="25" s="1"/>
  <c r="DN23" i="73"/>
  <c r="AC12" i="25" s="1"/>
  <c r="DN30" i="73"/>
  <c r="AC19" i="25" s="1"/>
  <c r="DN36" i="73"/>
  <c r="AC25" i="25" s="1"/>
  <c r="DN38" i="73"/>
  <c r="AC27" i="25" s="1"/>
  <c r="DN29" i="73"/>
  <c r="AC18" i="25" s="1"/>
  <c r="DN20" i="73"/>
  <c r="AC9" i="25" s="1"/>
  <c r="DN27" i="73"/>
  <c r="AC16" i="25" s="1"/>
  <c r="DN37" i="73"/>
  <c r="AC26" i="25" s="1"/>
  <c r="DN39" i="72"/>
  <c r="X28" i="25" s="1"/>
  <c r="DN22" i="72"/>
  <c r="X11" i="25" s="1"/>
  <c r="DN38" i="72"/>
  <c r="X27" i="25" s="1"/>
  <c r="DN14" i="72"/>
  <c r="X3" i="25" s="1"/>
  <c r="DN30" i="72"/>
  <c r="X19" i="25" s="1"/>
  <c r="DN15" i="72"/>
  <c r="X4" i="25" s="1"/>
  <c r="DN29" i="72"/>
  <c r="X18" i="25" s="1"/>
  <c r="DN19" i="72"/>
  <c r="X8" i="25" s="1"/>
  <c r="DN23" i="72"/>
  <c r="X12" i="25" s="1"/>
  <c r="DN37" i="72"/>
  <c r="X26" i="25" s="1"/>
  <c r="DN30" i="71"/>
  <c r="S19" i="25" s="1"/>
  <c r="DN38" i="71"/>
  <c r="S27" i="25" s="1"/>
  <c r="DN22" i="71"/>
  <c r="S11" i="25" s="1"/>
  <c r="DN29" i="71"/>
  <c r="S18" i="25" s="1"/>
  <c r="DN39" i="71"/>
  <c r="S28" i="25" s="1"/>
  <c r="DN15" i="71"/>
  <c r="S4" i="25" s="1"/>
  <c r="DN14" i="71"/>
  <c r="S3" i="25" s="1"/>
  <c r="DN23" i="71"/>
  <c r="S12" i="25" s="1"/>
  <c r="DN37" i="71"/>
  <c r="S26" i="25" s="1"/>
  <c r="DN39" i="70"/>
  <c r="N28" i="25" s="1"/>
  <c r="DN14" i="70"/>
  <c r="N3" i="25" s="1"/>
  <c r="DN22" i="70"/>
  <c r="N11" i="25" s="1"/>
  <c r="DN30" i="70"/>
  <c r="N19" i="25" s="1"/>
  <c r="DN38" i="70"/>
  <c r="N27" i="25" s="1"/>
  <c r="DN15" i="70"/>
  <c r="N4" i="25" s="1"/>
  <c r="DN29" i="70"/>
  <c r="N18" i="25" s="1"/>
  <c r="DN19" i="70"/>
  <c r="N8" i="25" s="1"/>
  <c r="DN23" i="70"/>
  <c r="N12" i="25" s="1"/>
  <c r="DN37" i="70"/>
  <c r="N26" i="25" s="1"/>
  <c r="DN30" i="69"/>
  <c r="I19" i="25" s="1"/>
  <c r="DN38" i="69"/>
  <c r="I27" i="25" s="1"/>
  <c r="DN22" i="69"/>
  <c r="I11" i="25" s="1"/>
  <c r="DN23" i="69"/>
  <c r="I12" i="25" s="1"/>
  <c r="DN15" i="69"/>
  <c r="I4" i="25" s="1"/>
  <c r="DN27" i="69"/>
  <c r="I16" i="25" s="1"/>
  <c r="DN31" i="69"/>
  <c r="I20" i="25" s="1"/>
  <c r="DN35" i="69"/>
  <c r="I24" i="25" s="1"/>
  <c r="DN44" i="68"/>
  <c r="DN39" i="68"/>
  <c r="D28" i="25" s="1"/>
  <c r="DN14" i="68"/>
  <c r="D3" i="25" s="1"/>
  <c r="DN38" i="68"/>
  <c r="D27" i="25" s="1"/>
  <c r="DN15" i="68"/>
  <c r="D4" i="25" s="1"/>
  <c r="DN29" i="68"/>
  <c r="D18" i="25" s="1"/>
  <c r="DN22" i="68"/>
  <c r="D11" i="25" s="1"/>
  <c r="DN30" i="68"/>
  <c r="D19" i="25" s="1"/>
  <c r="DN19" i="68"/>
  <c r="D8" i="25" s="1"/>
  <c r="DN23" i="68"/>
  <c r="D12" i="25" s="1"/>
  <c r="DN37" i="68"/>
  <c r="D26" i="25" s="1"/>
  <c r="DN31" i="67"/>
  <c r="AC20" i="24" s="1"/>
  <c r="DN15" i="67"/>
  <c r="AC4" i="24" s="1"/>
  <c r="DN14" i="67"/>
  <c r="AC3" i="24" s="1"/>
  <c r="DN23" i="67"/>
  <c r="AC12" i="24" s="1"/>
  <c r="DN30" i="67"/>
  <c r="AC19" i="24" s="1"/>
  <c r="DN39" i="67"/>
  <c r="AC28" i="24" s="1"/>
  <c r="DN22" i="67"/>
  <c r="AC11" i="24" s="1"/>
  <c r="DN38" i="67"/>
  <c r="AC27" i="24" s="1"/>
  <c r="DN44" i="66"/>
  <c r="X33" i="24" s="1"/>
  <c r="DN14" i="66"/>
  <c r="X3" i="24" s="1"/>
  <c r="DN38" i="66"/>
  <c r="X27" i="24" s="1"/>
  <c r="DN21" i="66"/>
  <c r="X10" i="24" s="1"/>
  <c r="DN30" i="66"/>
  <c r="X19" i="24" s="1"/>
  <c r="DN37" i="66"/>
  <c r="X26" i="24" s="1"/>
  <c r="DN22" i="66"/>
  <c r="X11" i="24" s="1"/>
  <c r="DN29" i="66"/>
  <c r="X18" i="24" s="1"/>
  <c r="DN20" i="66"/>
  <c r="X9" i="24" s="1"/>
  <c r="DN36" i="66"/>
  <c r="X25" i="24" s="1"/>
  <c r="DN43" i="65"/>
  <c r="S32" i="24" s="1"/>
  <c r="DN14" i="65"/>
  <c r="S3" i="24" s="1"/>
  <c r="DN20" i="65"/>
  <c r="S9" i="24" s="1"/>
  <c r="DN39" i="65"/>
  <c r="S28" i="24" s="1"/>
  <c r="DN31" i="65"/>
  <c r="S20" i="24" s="1"/>
  <c r="DN34" i="65"/>
  <c r="S23" i="24" s="1"/>
  <c r="DN38" i="65"/>
  <c r="S27" i="24" s="1"/>
  <c r="DN22" i="65"/>
  <c r="S11" i="24" s="1"/>
  <c r="DN30" i="65"/>
  <c r="S19" i="24" s="1"/>
  <c r="DN21" i="65"/>
  <c r="S10" i="24" s="1"/>
  <c r="DN15" i="65"/>
  <c r="S4" i="24" s="1"/>
  <c r="DN29" i="65"/>
  <c r="S18" i="24" s="1"/>
  <c r="DN42" i="65"/>
  <c r="S31" i="24" s="1"/>
  <c r="DN25" i="64"/>
  <c r="N14" i="24" s="1"/>
  <c r="DN15" i="64"/>
  <c r="N4" i="24" s="1"/>
  <c r="DN19" i="64"/>
  <c r="N8" i="24" s="1"/>
  <c r="DN33" i="64"/>
  <c r="N22" i="24" s="1"/>
  <c r="N32" i="24"/>
  <c r="DN41" i="64"/>
  <c r="N30" i="24" s="1"/>
  <c r="DN31" i="64"/>
  <c r="N20" i="24" s="1"/>
  <c r="DN35" i="64"/>
  <c r="N24" i="24" s="1"/>
  <c r="DN16" i="64"/>
  <c r="N5" i="24" s="1"/>
  <c r="DN39" i="64"/>
  <c r="N28" i="24" s="1"/>
  <c r="DN22" i="64"/>
  <c r="N11" i="24" s="1"/>
  <c r="DN26" i="64"/>
  <c r="N15" i="24" s="1"/>
  <c r="DN32" i="64"/>
  <c r="N21" i="24" s="1"/>
  <c r="DN17" i="64"/>
  <c r="N6" i="24" s="1"/>
  <c r="DN30" i="64"/>
  <c r="N19" i="24" s="1"/>
  <c r="DN34" i="64"/>
  <c r="N23" i="24" s="1"/>
  <c r="DN40" i="64"/>
  <c r="N29" i="24" s="1"/>
  <c r="DM44" i="63"/>
  <c r="DL44" i="63"/>
  <c r="DH44" i="63"/>
  <c r="DK44" i="63" s="1"/>
  <c r="DJ43" i="63"/>
  <c r="DM43" i="63" s="1"/>
  <c r="DI43" i="63"/>
  <c r="DL43" i="63" s="1"/>
  <c r="DH43" i="63"/>
  <c r="DK43" i="63" s="1"/>
  <c r="DJ42" i="63"/>
  <c r="DM42" i="63" s="1"/>
  <c r="DI42" i="63"/>
  <c r="DL42" i="63" s="1"/>
  <c r="DH42" i="63"/>
  <c r="DK42" i="63" s="1"/>
  <c r="DJ41" i="63"/>
  <c r="DM41" i="63" s="1"/>
  <c r="DI41" i="63"/>
  <c r="DL41" i="63" s="1"/>
  <c r="DH41" i="63"/>
  <c r="DK41" i="63" s="1"/>
  <c r="DJ40" i="63"/>
  <c r="DM40" i="63" s="1"/>
  <c r="DI40" i="63"/>
  <c r="DL40" i="63" s="1"/>
  <c r="DH40" i="63"/>
  <c r="DK40" i="63" s="1"/>
  <c r="DJ39" i="63"/>
  <c r="DM39" i="63" s="1"/>
  <c r="DI39" i="63"/>
  <c r="DL39" i="63" s="1"/>
  <c r="DH39" i="63"/>
  <c r="DK39" i="63" s="1"/>
  <c r="DJ38" i="63"/>
  <c r="DM38" i="63" s="1"/>
  <c r="DI38" i="63"/>
  <c r="DL38" i="63" s="1"/>
  <c r="DH38" i="63"/>
  <c r="DK38" i="63" s="1"/>
  <c r="DJ37" i="63"/>
  <c r="DM37" i="63" s="1"/>
  <c r="DI37" i="63"/>
  <c r="DL37" i="63" s="1"/>
  <c r="DH37" i="63"/>
  <c r="DK37" i="63" s="1"/>
  <c r="DJ36" i="63"/>
  <c r="DM36" i="63" s="1"/>
  <c r="DI36" i="63"/>
  <c r="DL36" i="63" s="1"/>
  <c r="DH36" i="63"/>
  <c r="DK36" i="63" s="1"/>
  <c r="DJ35" i="63"/>
  <c r="DM35" i="63" s="1"/>
  <c r="DI35" i="63"/>
  <c r="DL35" i="63" s="1"/>
  <c r="DH35" i="63"/>
  <c r="DK35" i="63" s="1"/>
  <c r="DJ34" i="63"/>
  <c r="DM34" i="63" s="1"/>
  <c r="DI34" i="63"/>
  <c r="DL34" i="63" s="1"/>
  <c r="DH34" i="63"/>
  <c r="DK34" i="63" s="1"/>
  <c r="DJ33" i="63"/>
  <c r="DM33" i="63" s="1"/>
  <c r="DI33" i="63"/>
  <c r="DL33" i="63" s="1"/>
  <c r="DH33" i="63"/>
  <c r="DK33" i="63" s="1"/>
  <c r="DJ32" i="63"/>
  <c r="DM32" i="63" s="1"/>
  <c r="DI32" i="63"/>
  <c r="DL32" i="63" s="1"/>
  <c r="DH32" i="63"/>
  <c r="DK32" i="63" s="1"/>
  <c r="DJ31" i="63"/>
  <c r="DM31" i="63" s="1"/>
  <c r="DI31" i="63"/>
  <c r="DL31" i="63" s="1"/>
  <c r="DH31" i="63"/>
  <c r="DK31" i="63" s="1"/>
  <c r="DJ30" i="63"/>
  <c r="DM30" i="63" s="1"/>
  <c r="DI30" i="63"/>
  <c r="DL30" i="63" s="1"/>
  <c r="DH30" i="63"/>
  <c r="DK30" i="63" s="1"/>
  <c r="DJ29" i="63"/>
  <c r="DM29" i="63" s="1"/>
  <c r="DI29" i="63"/>
  <c r="DL29" i="63" s="1"/>
  <c r="DH29" i="63"/>
  <c r="DK29" i="63" s="1"/>
  <c r="DJ28" i="63"/>
  <c r="DM28" i="63" s="1"/>
  <c r="DI28" i="63"/>
  <c r="DL28" i="63" s="1"/>
  <c r="DH28" i="63"/>
  <c r="DK28" i="63" s="1"/>
  <c r="DJ27" i="63"/>
  <c r="DM27" i="63" s="1"/>
  <c r="DI27" i="63"/>
  <c r="DL27" i="63" s="1"/>
  <c r="DH27" i="63"/>
  <c r="DK27" i="63" s="1"/>
  <c r="DJ26" i="63"/>
  <c r="DM26" i="63" s="1"/>
  <c r="DI26" i="63"/>
  <c r="DL26" i="63" s="1"/>
  <c r="DH26" i="63"/>
  <c r="DK26" i="63" s="1"/>
  <c r="DJ25" i="63"/>
  <c r="DM25" i="63" s="1"/>
  <c r="DI25" i="63"/>
  <c r="DL25" i="63" s="1"/>
  <c r="DH25" i="63"/>
  <c r="DK25" i="63" s="1"/>
  <c r="DJ24" i="63"/>
  <c r="DM24" i="63" s="1"/>
  <c r="DI24" i="63"/>
  <c r="DL24" i="63" s="1"/>
  <c r="DH24" i="63"/>
  <c r="DK24" i="63" s="1"/>
  <c r="DJ23" i="63"/>
  <c r="DM23" i="63" s="1"/>
  <c r="DI23" i="63"/>
  <c r="DL23" i="63" s="1"/>
  <c r="DH23" i="63"/>
  <c r="DK23" i="63" s="1"/>
  <c r="DJ22" i="63"/>
  <c r="DM22" i="63" s="1"/>
  <c r="DI22" i="63"/>
  <c r="DL22" i="63" s="1"/>
  <c r="DH22" i="63"/>
  <c r="DK22" i="63" s="1"/>
  <c r="DJ21" i="63"/>
  <c r="DM21" i="63" s="1"/>
  <c r="DI21" i="63"/>
  <c r="DL21" i="63" s="1"/>
  <c r="DH21" i="63"/>
  <c r="DK21" i="63" s="1"/>
  <c r="DJ20" i="63"/>
  <c r="DM20" i="63" s="1"/>
  <c r="DI20" i="63"/>
  <c r="DL20" i="63" s="1"/>
  <c r="DH20" i="63"/>
  <c r="DK20" i="63" s="1"/>
  <c r="DJ19" i="63"/>
  <c r="DM19" i="63" s="1"/>
  <c r="DI19" i="63"/>
  <c r="DL19" i="63" s="1"/>
  <c r="DH19" i="63"/>
  <c r="DK19" i="63" s="1"/>
  <c r="DJ18" i="63"/>
  <c r="DM18" i="63" s="1"/>
  <c r="DI18" i="63"/>
  <c r="DL18" i="63" s="1"/>
  <c r="DH18" i="63"/>
  <c r="DK18" i="63" s="1"/>
  <c r="DJ17" i="63"/>
  <c r="DM17" i="63" s="1"/>
  <c r="DI17" i="63"/>
  <c r="DL17" i="63" s="1"/>
  <c r="DH17" i="63"/>
  <c r="DK17" i="63" s="1"/>
  <c r="DJ16" i="63"/>
  <c r="DM16" i="63" s="1"/>
  <c r="DI16" i="63"/>
  <c r="DL16" i="63" s="1"/>
  <c r="DH16" i="63"/>
  <c r="DK16" i="63" s="1"/>
  <c r="DJ15" i="63"/>
  <c r="DM15" i="63" s="1"/>
  <c r="DI15" i="63"/>
  <c r="DL15" i="63" s="1"/>
  <c r="DH15" i="63"/>
  <c r="DK15" i="63" s="1"/>
  <c r="DJ14" i="63"/>
  <c r="DM14" i="63" s="1"/>
  <c r="DI14" i="63"/>
  <c r="DL14" i="63" s="1"/>
  <c r="DH14" i="63"/>
  <c r="DK14" i="63" s="1"/>
  <c r="DJ18" i="41"/>
  <c r="DM18" i="41" s="1"/>
  <c r="DJ17" i="41"/>
  <c r="DM17" i="41" s="1"/>
  <c r="DJ19" i="41"/>
  <c r="DM19" i="41" s="1"/>
  <c r="DJ20" i="41"/>
  <c r="DM20" i="41" s="1"/>
  <c r="DJ21" i="41"/>
  <c r="DM21" i="41" s="1"/>
  <c r="DJ22" i="41"/>
  <c r="DM22" i="41" s="1"/>
  <c r="DJ23" i="41"/>
  <c r="DM23" i="41" s="1"/>
  <c r="DJ24" i="41"/>
  <c r="DJ25" i="41"/>
  <c r="DM25" i="41" s="1"/>
  <c r="DJ26" i="41"/>
  <c r="DM26" i="41" s="1"/>
  <c r="DJ27" i="41"/>
  <c r="DM27" i="41" s="1"/>
  <c r="DJ28" i="41"/>
  <c r="DM28" i="41" s="1"/>
  <c r="DJ29" i="41"/>
  <c r="DM29" i="41" s="1"/>
  <c r="DJ30" i="41"/>
  <c r="DM30" i="41" s="1"/>
  <c r="DJ31" i="41"/>
  <c r="DM31" i="41" s="1"/>
  <c r="DJ32" i="41"/>
  <c r="DM32" i="41" s="1"/>
  <c r="DJ33" i="41"/>
  <c r="DM33" i="41" s="1"/>
  <c r="DJ34" i="41"/>
  <c r="DM34" i="41" s="1"/>
  <c r="DJ35" i="41"/>
  <c r="DM35" i="41" s="1"/>
  <c r="DJ36" i="41"/>
  <c r="DM36" i="41" s="1"/>
  <c r="DJ37" i="41"/>
  <c r="DM37" i="41" s="1"/>
  <c r="DJ38" i="41"/>
  <c r="DM38" i="41" s="1"/>
  <c r="DJ39" i="41"/>
  <c r="DM39" i="41" s="1"/>
  <c r="DJ40" i="41"/>
  <c r="DM40" i="41" s="1"/>
  <c r="DJ41" i="41"/>
  <c r="DM41" i="41" s="1"/>
  <c r="DJ42" i="41"/>
  <c r="DM42" i="41" s="1"/>
  <c r="DJ43" i="41"/>
  <c r="DM43" i="41" s="1"/>
  <c r="DJ44" i="41"/>
  <c r="DM44" i="41" s="1"/>
  <c r="DJ45" i="41"/>
  <c r="DM45" i="41" s="1"/>
  <c r="DJ15" i="41"/>
  <c r="DM15" i="41" s="1"/>
  <c r="DI16" i="41"/>
  <c r="DL16" i="41" s="1"/>
  <c r="DI17" i="41"/>
  <c r="DL17" i="41" s="1"/>
  <c r="DI18" i="41"/>
  <c r="DI19" i="41"/>
  <c r="DL19" i="41" s="1"/>
  <c r="DI20" i="41"/>
  <c r="DL20" i="41" s="1"/>
  <c r="DI21" i="41"/>
  <c r="DL21" i="41" s="1"/>
  <c r="DI22" i="41"/>
  <c r="DL22" i="41" s="1"/>
  <c r="DI23" i="41"/>
  <c r="DL23" i="41" s="1"/>
  <c r="DI24" i="41"/>
  <c r="DL24" i="41" s="1"/>
  <c r="DI25" i="41"/>
  <c r="DL25" i="41" s="1"/>
  <c r="DI26" i="41"/>
  <c r="DL26" i="41" s="1"/>
  <c r="DI27" i="41"/>
  <c r="DL27" i="41" s="1"/>
  <c r="DI28" i="41"/>
  <c r="DI29" i="41"/>
  <c r="DL29" i="41" s="1"/>
  <c r="DI30" i="41"/>
  <c r="DL30" i="41" s="1"/>
  <c r="DI31" i="41"/>
  <c r="DL31" i="41" s="1"/>
  <c r="DI32" i="41"/>
  <c r="DL32" i="41" s="1"/>
  <c r="DI33" i="41"/>
  <c r="DL33" i="41" s="1"/>
  <c r="DI34" i="41"/>
  <c r="DL34" i="41" s="1"/>
  <c r="DI35" i="41"/>
  <c r="DL35" i="41" s="1"/>
  <c r="DI36" i="41"/>
  <c r="DL36" i="41" s="1"/>
  <c r="DI37" i="41"/>
  <c r="DL37" i="41" s="1"/>
  <c r="DI38" i="41"/>
  <c r="DL38" i="41" s="1"/>
  <c r="DI39" i="41"/>
  <c r="DL39" i="41" s="1"/>
  <c r="DI40" i="41"/>
  <c r="DL40" i="41" s="1"/>
  <c r="DI41" i="41"/>
  <c r="DL41" i="41" s="1"/>
  <c r="DI42" i="41"/>
  <c r="DL42" i="41" s="1"/>
  <c r="DI43" i="41"/>
  <c r="DL43" i="41" s="1"/>
  <c r="DI44" i="41"/>
  <c r="DI45" i="41"/>
  <c r="DL45" i="41" s="1"/>
  <c r="DI15" i="41"/>
  <c r="DL15" i="41" s="1"/>
  <c r="DL46" i="41"/>
  <c r="DM46" i="41"/>
  <c r="DJ16" i="41"/>
  <c r="DM16" i="41" s="1"/>
  <c r="DH16" i="41"/>
  <c r="DK16" i="41" s="1"/>
  <c r="DH17" i="41"/>
  <c r="DK17" i="41" s="1"/>
  <c r="DH18" i="41"/>
  <c r="DK18" i="41" s="1"/>
  <c r="DH19" i="41"/>
  <c r="DK19" i="41" s="1"/>
  <c r="DH20" i="41"/>
  <c r="DK20" i="41" s="1"/>
  <c r="DH21" i="41"/>
  <c r="DK21" i="41" s="1"/>
  <c r="DH22" i="41"/>
  <c r="DK22" i="41" s="1"/>
  <c r="DH23" i="41"/>
  <c r="DK23" i="41" s="1"/>
  <c r="DH24" i="41"/>
  <c r="DK24" i="41" s="1"/>
  <c r="DH25" i="41"/>
  <c r="DK25" i="41" s="1"/>
  <c r="DH26" i="41"/>
  <c r="DK26" i="41" s="1"/>
  <c r="DH27" i="41"/>
  <c r="DK27" i="41" s="1"/>
  <c r="DH28" i="41"/>
  <c r="DK28" i="41" s="1"/>
  <c r="DH29" i="41"/>
  <c r="DK29" i="41" s="1"/>
  <c r="DH30" i="41"/>
  <c r="DK30" i="41" s="1"/>
  <c r="DH31" i="41"/>
  <c r="DK31" i="41" s="1"/>
  <c r="DH32" i="41"/>
  <c r="DK32" i="41" s="1"/>
  <c r="DH33" i="41"/>
  <c r="DK33" i="41" s="1"/>
  <c r="DH34" i="41"/>
  <c r="DK34" i="41" s="1"/>
  <c r="DH35" i="41"/>
  <c r="DK35" i="41" s="1"/>
  <c r="DH36" i="41"/>
  <c r="DK36" i="41" s="1"/>
  <c r="DH37" i="41"/>
  <c r="DK37" i="41" s="1"/>
  <c r="DH38" i="41"/>
  <c r="DK38" i="41" s="1"/>
  <c r="DH39" i="41"/>
  <c r="DK39" i="41" s="1"/>
  <c r="DH40" i="41"/>
  <c r="DK40" i="41" s="1"/>
  <c r="DH41" i="41"/>
  <c r="DK41" i="41" s="1"/>
  <c r="DH42" i="41"/>
  <c r="DK42" i="41" s="1"/>
  <c r="DH43" i="41"/>
  <c r="DK43" i="41" s="1"/>
  <c r="DH44" i="41"/>
  <c r="DK44" i="41" s="1"/>
  <c r="DH45" i="41"/>
  <c r="DK45" i="41" s="1"/>
  <c r="DH15" i="41"/>
  <c r="DK15" i="41" s="1"/>
  <c r="AC34" i="25"/>
  <c r="X34" i="25"/>
  <c r="S34" i="25"/>
  <c r="N34" i="25"/>
  <c r="I34" i="25"/>
  <c r="D34" i="25"/>
  <c r="AC34" i="24"/>
  <c r="X34" i="24"/>
  <c r="S34" i="24"/>
  <c r="D34" i="24"/>
  <c r="I34" i="24"/>
  <c r="J34" i="24"/>
  <c r="K34" i="24"/>
  <c r="N34" i="24"/>
  <c r="A35" i="24"/>
  <c r="O34" i="24"/>
  <c r="A1" i="24"/>
  <c r="A1" i="25" s="1"/>
  <c r="C31" i="25"/>
  <c r="B5" i="21"/>
  <c r="G21" i="50"/>
  <c r="G20" i="50"/>
  <c r="G19" i="50"/>
  <c r="G18" i="50"/>
  <c r="G17" i="50"/>
  <c r="G16" i="50"/>
  <c r="G15" i="50"/>
  <c r="G14" i="50"/>
  <c r="G13" i="50"/>
  <c r="G11" i="50"/>
  <c r="G10" i="50"/>
  <c r="G12" i="50"/>
  <c r="A11" i="41"/>
  <c r="A10" i="63"/>
  <c r="AS30" i="43" l="1"/>
  <c r="A18" i="48"/>
  <c r="A18" i="49"/>
  <c r="AE30" i="43"/>
  <c r="DN43" i="63"/>
  <c r="I32" i="24" s="1"/>
  <c r="DN22" i="63"/>
  <c r="I11" i="24" s="1"/>
  <c r="DN33" i="63"/>
  <c r="I22" i="24" s="1"/>
  <c r="DN28" i="63"/>
  <c r="I17" i="24" s="1"/>
  <c r="DN36" i="63"/>
  <c r="I25" i="24" s="1"/>
  <c r="DN35" i="41"/>
  <c r="D23" i="24" s="1"/>
  <c r="DN41" i="41"/>
  <c r="D29" i="24" s="1"/>
  <c r="DN25" i="41"/>
  <c r="D13" i="24" s="1"/>
  <c r="DN27" i="41"/>
  <c r="D15" i="24" s="1"/>
  <c r="DN45" i="41"/>
  <c r="D33" i="24" s="1"/>
  <c r="DN29" i="41"/>
  <c r="D17" i="24" s="1"/>
  <c r="DN46" i="41"/>
  <c r="DN31" i="41"/>
  <c r="D19" i="24" s="1"/>
  <c r="DN15" i="41"/>
  <c r="D3" i="24" s="1"/>
  <c r="DN38" i="41"/>
  <c r="D26" i="24" s="1"/>
  <c r="DN22" i="41"/>
  <c r="D10" i="24" s="1"/>
  <c r="DN37" i="41"/>
  <c r="D25" i="24" s="1"/>
  <c r="DN42" i="41"/>
  <c r="D30" i="24" s="1"/>
  <c r="DN34" i="41"/>
  <c r="D22" i="24" s="1"/>
  <c r="DN38" i="63"/>
  <c r="I27" i="24" s="1"/>
  <c r="DN25" i="63"/>
  <c r="I14" i="24" s="1"/>
  <c r="DN36" i="41"/>
  <c r="D24" i="24" s="1"/>
  <c r="DN30" i="41"/>
  <c r="D18" i="24" s="1"/>
  <c r="DN23" i="41"/>
  <c r="D11" i="24" s="1"/>
  <c r="DN21" i="41"/>
  <c r="D9" i="24" s="1"/>
  <c r="P22" i="43"/>
  <c r="B9" i="47"/>
  <c r="DN20" i="41"/>
  <c r="D8" i="24" s="1"/>
  <c r="DN17" i="41"/>
  <c r="D5" i="24" s="1"/>
  <c r="DN33" i="41"/>
  <c r="D21" i="24" s="1"/>
  <c r="DN43" i="41"/>
  <c r="D31" i="24" s="1"/>
  <c r="DN23" i="63"/>
  <c r="I12" i="24" s="1"/>
  <c r="DN27" i="63"/>
  <c r="I16" i="24" s="1"/>
  <c r="DN18" i="63"/>
  <c r="I7" i="24" s="1"/>
  <c r="DN29" i="63"/>
  <c r="I18" i="24" s="1"/>
  <c r="DN24" i="63"/>
  <c r="I13" i="24" s="1"/>
  <c r="DN37" i="63"/>
  <c r="I26" i="24" s="1"/>
  <c r="DN16" i="63"/>
  <c r="I5" i="24" s="1"/>
  <c r="DN30" i="63"/>
  <c r="I19" i="24" s="1"/>
  <c r="DN39" i="63"/>
  <c r="I28" i="24" s="1"/>
  <c r="DN41" i="63"/>
  <c r="I30" i="24" s="1"/>
  <c r="DN34" i="63"/>
  <c r="I23" i="24" s="1"/>
  <c r="DN42" i="63"/>
  <c r="I31" i="24" s="1"/>
  <c r="G22" i="50"/>
  <c r="DN15" i="63"/>
  <c r="I4" i="24" s="1"/>
  <c r="DN20" i="63"/>
  <c r="I9" i="24" s="1"/>
  <c r="DN40" i="63"/>
  <c r="I29" i="24" s="1"/>
  <c r="DN31" i="63"/>
  <c r="I20" i="24" s="1"/>
  <c r="DN26" i="63"/>
  <c r="I15" i="24" s="1"/>
  <c r="DN35" i="63"/>
  <c r="I24" i="24" s="1"/>
  <c r="DN40" i="41"/>
  <c r="D28" i="24" s="1"/>
  <c r="DN19" i="41"/>
  <c r="D7" i="24" s="1"/>
  <c r="DN16" i="41"/>
  <c r="D4" i="24" s="1"/>
  <c r="DN26" i="41"/>
  <c r="D14" i="24" s="1"/>
  <c r="DN32" i="41"/>
  <c r="D20" i="24" s="1"/>
  <c r="DN32" i="63"/>
  <c r="I21" i="24" s="1"/>
  <c r="DN21" i="63"/>
  <c r="I10" i="24" s="1"/>
  <c r="DN19" i="63"/>
  <c r="I8" i="24" s="1"/>
  <c r="DN17" i="63"/>
  <c r="I6" i="24" s="1"/>
  <c r="DN14" i="63"/>
  <c r="I3" i="24" s="1"/>
  <c r="DN39" i="41"/>
  <c r="D27" i="24" s="1"/>
  <c r="DN44" i="63"/>
  <c r="DM24" i="41"/>
  <c r="DN24" i="41" s="1"/>
  <c r="D12" i="24" s="1"/>
  <c r="DL44" i="41"/>
  <c r="DN44" i="41" s="1"/>
  <c r="D32" i="24" s="1"/>
  <c r="DL28" i="41"/>
  <c r="DN28" i="41" s="1"/>
  <c r="D16" i="24" s="1"/>
  <c r="DL18" i="41"/>
  <c r="DN18" i="41" s="1"/>
  <c r="D6" i="24" s="1"/>
  <c r="I58" i="63"/>
  <c r="I66" i="63" s="1"/>
  <c r="I59" i="64" s="1"/>
  <c r="I67" i="64" s="1"/>
  <c r="I58" i="65" s="1"/>
  <c r="H67" i="41"/>
  <c r="H58" i="63" s="1"/>
  <c r="H66" i="63" s="1"/>
  <c r="H59" i="64" s="1"/>
  <c r="AA14" i="68"/>
  <c r="D68" i="68"/>
  <c r="D67" i="68"/>
  <c r="CY40" i="68"/>
  <c r="CZ40" i="68"/>
  <c r="DA40" i="68"/>
  <c r="DB40" i="68"/>
  <c r="DC40" i="68"/>
  <c r="DD40" i="68"/>
  <c r="DE40" i="68"/>
  <c r="DF40" i="68"/>
  <c r="CY41" i="68"/>
  <c r="CZ41" i="68"/>
  <c r="DA41" i="68"/>
  <c r="DB41" i="68"/>
  <c r="DC41" i="68"/>
  <c r="DD41" i="68"/>
  <c r="DE41" i="68"/>
  <c r="DF41" i="68"/>
  <c r="CB40" i="68"/>
  <c r="CC40" i="68"/>
  <c r="CB41" i="68"/>
  <c r="CC41" i="68"/>
  <c r="BC40" i="68"/>
  <c r="BD40" i="68"/>
  <c r="BE40" i="68"/>
  <c r="BF40" i="68"/>
  <c r="BC41" i="68"/>
  <c r="BD41" i="68"/>
  <c r="BE41" i="68"/>
  <c r="BF41" i="68"/>
  <c r="Z41" i="68"/>
  <c r="AA41" i="68"/>
  <c r="AB41" i="68"/>
  <c r="AC41" i="68"/>
  <c r="AD41" i="68"/>
  <c r="AE41" i="68"/>
  <c r="AF41" i="68"/>
  <c r="B18" i="48" l="1"/>
  <c r="AR31" i="43"/>
  <c r="B18" i="49"/>
  <c r="AD31" i="43"/>
  <c r="FP41" i="68"/>
  <c r="FR41" i="68"/>
  <c r="FX41" i="68"/>
  <c r="FV41" i="68"/>
  <c r="FX14" i="68"/>
  <c r="FV14" i="68"/>
  <c r="Q22" i="43"/>
  <c r="A10" i="47"/>
  <c r="I11" i="50"/>
  <c r="I66" i="65"/>
  <c r="I59" i="66" s="1"/>
  <c r="DG41" i="68"/>
  <c r="DG40" i="68"/>
  <c r="A11" i="66"/>
  <c r="A11" i="65"/>
  <c r="A11" i="64"/>
  <c r="A11" i="63"/>
  <c r="A19" i="48" l="1"/>
  <c r="AS31" i="43"/>
  <c r="A19" i="49"/>
  <c r="AE31" i="43"/>
  <c r="P23" i="43"/>
  <c r="B10" i="47"/>
  <c r="H67" i="64"/>
  <c r="H58" i="65" s="1"/>
  <c r="I13" i="50"/>
  <c r="K11" i="50"/>
  <c r="K30" i="50" s="1"/>
  <c r="I30" i="50"/>
  <c r="I12" i="50"/>
  <c r="I85" i="1"/>
  <c r="I94" i="1" s="1"/>
  <c r="I103" i="1" s="1"/>
  <c r="B15" i="1"/>
  <c r="C3" i="74"/>
  <c r="B19" i="48" l="1"/>
  <c r="AR32" i="43"/>
  <c r="B19" i="49"/>
  <c r="AD32" i="43"/>
  <c r="Q23" i="43"/>
  <c r="A11" i="47"/>
  <c r="I67" i="66"/>
  <c r="I59" i="67" s="1"/>
  <c r="I67" i="67" s="1"/>
  <c r="I57" i="68" s="1"/>
  <c r="I65" i="68" s="1"/>
  <c r="I59" i="69" s="1"/>
  <c r="H66" i="65"/>
  <c r="H59" i="66" s="1"/>
  <c r="K13" i="50"/>
  <c r="K38" i="50" s="1"/>
  <c r="I38" i="50"/>
  <c r="K12" i="50"/>
  <c r="K31" i="50" s="1"/>
  <c r="I31" i="50"/>
  <c r="I14" i="50"/>
  <c r="J37" i="61"/>
  <c r="J35" i="61"/>
  <c r="J33" i="61"/>
  <c r="J31" i="61"/>
  <c r="J30" i="61"/>
  <c r="A52" i="64"/>
  <c r="A52" i="63"/>
  <c r="A20" i="48" l="1"/>
  <c r="AS32" i="43"/>
  <c r="AE32" i="43"/>
  <c r="A20" i="49"/>
  <c r="P24" i="43"/>
  <c r="B11" i="47"/>
  <c r="I15" i="50"/>
  <c r="I40" i="50" s="1"/>
  <c r="H67" i="66"/>
  <c r="I67" i="69"/>
  <c r="I58" i="70" s="1"/>
  <c r="I16" i="50"/>
  <c r="I39" i="50"/>
  <c r="K14" i="50"/>
  <c r="K39" i="50" s="1"/>
  <c r="B20" i="48" l="1"/>
  <c r="AR33" i="43"/>
  <c r="AD33" i="43"/>
  <c r="B20" i="49"/>
  <c r="Q24" i="43"/>
  <c r="A12" i="47"/>
  <c r="K15" i="50"/>
  <c r="K40" i="50" s="1"/>
  <c r="H65" i="68"/>
  <c r="H59" i="69" s="1"/>
  <c r="I47" i="50"/>
  <c r="K16" i="50"/>
  <c r="K47" i="50" s="1"/>
  <c r="I66" i="70"/>
  <c r="I17" i="50"/>
  <c r="A21" i="48" l="1"/>
  <c r="AS33" i="43"/>
  <c r="AR34" i="43" s="1"/>
  <c r="A21" i="49"/>
  <c r="AE33" i="43"/>
  <c r="AD34" i="43" s="1"/>
  <c r="P25" i="43"/>
  <c r="B12" i="47"/>
  <c r="H67" i="69"/>
  <c r="H58" i="70" s="1"/>
  <c r="I48" i="50"/>
  <c r="K17" i="50"/>
  <c r="K48" i="50" s="1"/>
  <c r="I66" i="72"/>
  <c r="I59" i="73" s="1"/>
  <c r="I18" i="50"/>
  <c r="A22" i="48" l="1"/>
  <c r="AS34" i="43"/>
  <c r="AE34" i="43"/>
  <c r="A22" i="49"/>
  <c r="B21" i="48"/>
  <c r="B21" i="49"/>
  <c r="Q25" i="43"/>
  <c r="A13" i="47"/>
  <c r="I67" i="73"/>
  <c r="I20" i="50"/>
  <c r="H66" i="70"/>
  <c r="H59" i="71" s="1"/>
  <c r="K18" i="50"/>
  <c r="K49" i="50" s="1"/>
  <c r="I49" i="50"/>
  <c r="K56" i="50"/>
  <c r="AR35" i="43" l="1"/>
  <c r="AS35" i="43" s="1"/>
  <c r="AR36" i="43" s="1"/>
  <c r="AS36" i="43" s="1"/>
  <c r="AR37" i="43" s="1"/>
  <c r="AS37" i="43" s="1"/>
  <c r="AR38" i="43" s="1"/>
  <c r="AS38" i="43" s="1"/>
  <c r="AR39" i="43" s="1"/>
  <c r="AS39" i="43" s="1"/>
  <c r="AR40" i="43" s="1"/>
  <c r="AS40" i="43" s="1"/>
  <c r="AR41" i="43" s="1"/>
  <c r="AS41" i="43" s="1"/>
  <c r="AR42" i="43" s="1"/>
  <c r="AS42" i="43" s="1"/>
  <c r="AR43" i="43" s="1"/>
  <c r="AS43" i="43" s="1"/>
  <c r="AR44" i="43" s="1"/>
  <c r="AS44" i="43" s="1"/>
  <c r="AR45" i="43" s="1"/>
  <c r="AS45" i="43" s="1"/>
  <c r="B22" i="48"/>
  <c r="AD35" i="43"/>
  <c r="AE35" i="43" s="1"/>
  <c r="AD36" i="43" s="1"/>
  <c r="AE36" i="43" s="1"/>
  <c r="AD37" i="43" s="1"/>
  <c r="AE37" i="43" s="1"/>
  <c r="AD38" i="43" s="1"/>
  <c r="AE38" i="43" s="1"/>
  <c r="AD39" i="43" s="1"/>
  <c r="AE39" i="43" s="1"/>
  <c r="AD40" i="43" s="1"/>
  <c r="AE40" i="43" s="1"/>
  <c r="AD41" i="43" s="1"/>
  <c r="AE41" i="43" s="1"/>
  <c r="AD42" i="43" s="1"/>
  <c r="AE42" i="43" s="1"/>
  <c r="AD43" i="43" s="1"/>
  <c r="AE43" i="43" s="1"/>
  <c r="AD44" i="43" s="1"/>
  <c r="AE44" i="43" s="1"/>
  <c r="AD45" i="43" s="1"/>
  <c r="AE45" i="43" s="1"/>
  <c r="B22" i="49"/>
  <c r="P26" i="43"/>
  <c r="B13" i="47"/>
  <c r="H67" i="71"/>
  <c r="H58" i="72" s="1"/>
  <c r="I57" i="50"/>
  <c r="K20" i="50"/>
  <c r="K57" i="50" s="1"/>
  <c r="I21" i="50"/>
  <c r="C4" i="25"/>
  <c r="C5" i="25"/>
  <c r="C6" i="25"/>
  <c r="C7" i="25"/>
  <c r="C8" i="25"/>
  <c r="C9" i="25"/>
  <c r="C10" i="25"/>
  <c r="C11" i="25"/>
  <c r="C12" i="25"/>
  <c r="C13" i="25"/>
  <c r="C14" i="25"/>
  <c r="C15" i="25"/>
  <c r="C16" i="25"/>
  <c r="C17" i="25"/>
  <c r="C18" i="25"/>
  <c r="C19" i="25"/>
  <c r="C20" i="25"/>
  <c r="C21" i="25"/>
  <c r="C22" i="25"/>
  <c r="C23" i="25"/>
  <c r="C24" i="25"/>
  <c r="C25" i="25"/>
  <c r="C26" i="25"/>
  <c r="C27" i="25"/>
  <c r="C28" i="25"/>
  <c r="C29" i="25"/>
  <c r="C30" i="25"/>
  <c r="C3" i="25"/>
  <c r="AB4" i="24"/>
  <c r="AB5" i="24"/>
  <c r="AB6" i="24"/>
  <c r="AB7" i="24"/>
  <c r="AB8" i="24"/>
  <c r="AB9" i="24"/>
  <c r="AB10" i="24"/>
  <c r="AB11" i="24"/>
  <c r="AB12" i="24"/>
  <c r="AB13" i="24"/>
  <c r="AB14" i="24"/>
  <c r="AB15" i="24"/>
  <c r="AB16" i="24"/>
  <c r="AB17" i="24"/>
  <c r="AB18" i="24"/>
  <c r="AB19" i="24"/>
  <c r="AB20" i="24"/>
  <c r="AB21" i="24"/>
  <c r="AB22" i="24"/>
  <c r="AB23" i="24"/>
  <c r="AB24" i="24"/>
  <c r="AB25" i="24"/>
  <c r="AB26" i="24"/>
  <c r="AB27" i="24"/>
  <c r="AB28" i="24"/>
  <c r="AB29" i="24"/>
  <c r="AB30" i="24"/>
  <c r="AB31" i="24"/>
  <c r="AB32" i="24"/>
  <c r="AB33" i="24"/>
  <c r="AB3" i="24"/>
  <c r="W4" i="24"/>
  <c r="W5" i="24"/>
  <c r="W6" i="24"/>
  <c r="W7" i="24"/>
  <c r="W8" i="24"/>
  <c r="W9" i="24"/>
  <c r="W10" i="24"/>
  <c r="W11" i="24"/>
  <c r="W12" i="24"/>
  <c r="W13" i="24"/>
  <c r="W14" i="24"/>
  <c r="W15" i="24"/>
  <c r="W16" i="24"/>
  <c r="W17" i="24"/>
  <c r="W18" i="24"/>
  <c r="W19" i="24"/>
  <c r="W20" i="24"/>
  <c r="W21" i="24"/>
  <c r="W22" i="24"/>
  <c r="W23" i="24"/>
  <c r="W24" i="24"/>
  <c r="W25" i="24"/>
  <c r="W26" i="24"/>
  <c r="W27" i="24"/>
  <c r="W28" i="24"/>
  <c r="W29" i="24"/>
  <c r="W30" i="24"/>
  <c r="W31" i="24"/>
  <c r="W32" i="24"/>
  <c r="W33" i="24"/>
  <c r="W3" i="24"/>
  <c r="R4" i="24"/>
  <c r="R5" i="24"/>
  <c r="R6" i="24"/>
  <c r="R7" i="24"/>
  <c r="R8" i="24"/>
  <c r="R9" i="24"/>
  <c r="R10" i="24"/>
  <c r="R11" i="24"/>
  <c r="R12" i="24"/>
  <c r="R13" i="24"/>
  <c r="R14" i="24"/>
  <c r="R15" i="24"/>
  <c r="R16" i="24"/>
  <c r="R17" i="24"/>
  <c r="R18" i="24"/>
  <c r="R19" i="24"/>
  <c r="R20" i="24"/>
  <c r="R21" i="24"/>
  <c r="R22" i="24"/>
  <c r="R23" i="24"/>
  <c r="R24" i="24"/>
  <c r="R25" i="24"/>
  <c r="R26" i="24"/>
  <c r="R27" i="24"/>
  <c r="R28" i="24"/>
  <c r="R29" i="24"/>
  <c r="R30" i="24"/>
  <c r="R31" i="24"/>
  <c r="R32" i="24"/>
  <c r="R3" i="24"/>
  <c r="M4" i="24"/>
  <c r="M5" i="24"/>
  <c r="M6" i="24"/>
  <c r="M7" i="24"/>
  <c r="M8" i="24"/>
  <c r="M9" i="24"/>
  <c r="M10" i="24"/>
  <c r="M11" i="24"/>
  <c r="M12" i="24"/>
  <c r="M13" i="24"/>
  <c r="M14" i="24"/>
  <c r="M15" i="24"/>
  <c r="M16" i="24"/>
  <c r="M17" i="24"/>
  <c r="M18" i="24"/>
  <c r="M19" i="24"/>
  <c r="M20" i="24"/>
  <c r="M21" i="24"/>
  <c r="M22" i="24"/>
  <c r="M23" i="24"/>
  <c r="M24" i="24"/>
  <c r="M25" i="24"/>
  <c r="M26" i="24"/>
  <c r="M27" i="24"/>
  <c r="M28" i="24"/>
  <c r="M29" i="24"/>
  <c r="M30" i="24"/>
  <c r="M31" i="24"/>
  <c r="M32" i="24"/>
  <c r="M33" i="24"/>
  <c r="M3" i="24"/>
  <c r="H4" i="24"/>
  <c r="H5" i="24"/>
  <c r="H6" i="24"/>
  <c r="H7" i="24"/>
  <c r="H8" i="24"/>
  <c r="H9" i="24"/>
  <c r="H10" i="24"/>
  <c r="H11" i="24"/>
  <c r="H12" i="24"/>
  <c r="H13" i="24"/>
  <c r="H14" i="24"/>
  <c r="H15" i="24"/>
  <c r="H16" i="24"/>
  <c r="H17" i="24"/>
  <c r="H18" i="24"/>
  <c r="H19" i="24"/>
  <c r="H20" i="24"/>
  <c r="H21" i="24"/>
  <c r="H22" i="24"/>
  <c r="H23" i="24"/>
  <c r="H24" i="24"/>
  <c r="H25" i="24"/>
  <c r="H26" i="24"/>
  <c r="H27" i="24"/>
  <c r="H28" i="24"/>
  <c r="H29" i="24"/>
  <c r="H30" i="24"/>
  <c r="H31" i="24"/>
  <c r="H32" i="24"/>
  <c r="H3" i="24"/>
  <c r="C4" i="24"/>
  <c r="C5" i="24"/>
  <c r="C6" i="24"/>
  <c r="C7" i="24"/>
  <c r="C8" i="24"/>
  <c r="C9" i="24"/>
  <c r="C10" i="24"/>
  <c r="C11" i="24"/>
  <c r="C12" i="24"/>
  <c r="C13" i="24"/>
  <c r="C14" i="24"/>
  <c r="C15" i="24"/>
  <c r="C16" i="24"/>
  <c r="C17" i="24"/>
  <c r="C18" i="24"/>
  <c r="C19" i="24"/>
  <c r="C20" i="24"/>
  <c r="C21" i="24"/>
  <c r="C22" i="24"/>
  <c r="C23" i="24"/>
  <c r="C24" i="24"/>
  <c r="C25" i="24"/>
  <c r="C26" i="24"/>
  <c r="C27" i="24"/>
  <c r="C28" i="24"/>
  <c r="C29" i="24"/>
  <c r="C30" i="24"/>
  <c r="C31" i="24"/>
  <c r="C32" i="24"/>
  <c r="C33" i="24"/>
  <c r="C3" i="24"/>
  <c r="J36" i="61"/>
  <c r="J34" i="61"/>
  <c r="J29" i="61"/>
  <c r="J28" i="61"/>
  <c r="J27" i="61"/>
  <c r="W46" i="41"/>
  <c r="J26" i="61" s="1"/>
  <c r="AF43" i="72"/>
  <c r="AF42" i="72"/>
  <c r="AF41" i="72"/>
  <c r="AF40" i="72"/>
  <c r="AF39" i="72"/>
  <c r="AF38" i="72"/>
  <c r="AF37" i="72"/>
  <c r="AF36" i="72"/>
  <c r="AF35" i="72"/>
  <c r="AF34" i="72"/>
  <c r="AF33" i="72"/>
  <c r="AF32" i="72"/>
  <c r="AF31" i="72"/>
  <c r="AF30" i="72"/>
  <c r="AF29" i="72"/>
  <c r="AF28" i="72"/>
  <c r="AF27" i="72"/>
  <c r="AF26" i="72"/>
  <c r="AF25" i="72"/>
  <c r="AF24" i="72"/>
  <c r="AF23" i="72"/>
  <c r="AF22" i="72"/>
  <c r="AF21" i="72"/>
  <c r="AF20" i="72"/>
  <c r="AF19" i="72"/>
  <c r="AF18" i="72"/>
  <c r="AF17" i="72"/>
  <c r="AF16" i="72"/>
  <c r="AF15" i="72"/>
  <c r="AF14" i="72"/>
  <c r="AF43" i="70"/>
  <c r="AF42" i="70"/>
  <c r="AF41" i="70"/>
  <c r="AF40" i="70"/>
  <c r="AF39" i="70"/>
  <c r="AF38" i="70"/>
  <c r="AF37" i="70"/>
  <c r="AF36" i="70"/>
  <c r="AF35" i="70"/>
  <c r="AF34" i="70"/>
  <c r="AF33" i="70"/>
  <c r="AF32" i="70"/>
  <c r="AF31" i="70"/>
  <c r="AF30" i="70"/>
  <c r="AF29" i="70"/>
  <c r="AF28" i="70"/>
  <c r="AF27" i="70"/>
  <c r="AF26" i="70"/>
  <c r="AF25" i="70"/>
  <c r="AF24" i="70"/>
  <c r="AF23" i="70"/>
  <c r="AF22" i="70"/>
  <c r="AF21" i="70"/>
  <c r="AF20" i="70"/>
  <c r="AF19" i="70"/>
  <c r="AF18" i="70"/>
  <c r="AF17" i="70"/>
  <c r="AF16" i="70"/>
  <c r="AF15" i="70"/>
  <c r="AF14" i="70"/>
  <c r="AF40" i="68"/>
  <c r="AF39" i="68"/>
  <c r="AF38" i="68"/>
  <c r="AF37" i="68"/>
  <c r="AF36" i="68"/>
  <c r="AF35" i="68"/>
  <c r="AF34" i="68"/>
  <c r="AF33" i="68"/>
  <c r="AF32" i="68"/>
  <c r="AF31" i="68"/>
  <c r="AF30" i="68"/>
  <c r="AF29" i="68"/>
  <c r="AF28" i="68"/>
  <c r="AF27" i="68"/>
  <c r="AF26" i="68"/>
  <c r="AF25" i="68"/>
  <c r="AF24" i="68"/>
  <c r="AF23" i="68"/>
  <c r="AF22" i="68"/>
  <c r="AF21" i="68"/>
  <c r="AF20" i="68"/>
  <c r="AF19" i="68"/>
  <c r="AF18" i="68"/>
  <c r="AF17" i="68"/>
  <c r="AF16" i="68"/>
  <c r="AF15" i="68"/>
  <c r="AF14" i="68"/>
  <c r="AF44" i="73"/>
  <c r="AF43" i="73"/>
  <c r="AF42" i="73"/>
  <c r="AF41" i="73"/>
  <c r="AF40" i="73"/>
  <c r="AF39" i="73"/>
  <c r="AF38" i="73"/>
  <c r="AF37" i="73"/>
  <c r="AF36" i="73"/>
  <c r="AF35" i="73"/>
  <c r="AF34" i="73"/>
  <c r="AF33" i="73"/>
  <c r="AF32" i="73"/>
  <c r="AF31" i="73"/>
  <c r="AF30" i="73"/>
  <c r="AF29" i="73"/>
  <c r="AF28" i="73"/>
  <c r="AF27" i="73"/>
  <c r="AF26" i="73"/>
  <c r="AF25" i="73"/>
  <c r="AF24" i="73"/>
  <c r="AF23" i="73"/>
  <c r="AF22" i="73"/>
  <c r="AF21" i="73"/>
  <c r="AF20" i="73"/>
  <c r="AF19" i="73"/>
  <c r="AF18" i="73"/>
  <c r="AF17" i="73"/>
  <c r="AF16" i="73"/>
  <c r="AF15" i="73"/>
  <c r="AF14" i="73"/>
  <c r="AF44" i="71"/>
  <c r="AF43" i="71"/>
  <c r="AF42" i="71"/>
  <c r="AF41" i="71"/>
  <c r="AF40" i="71"/>
  <c r="AF39" i="71"/>
  <c r="AF38" i="71"/>
  <c r="AF37" i="71"/>
  <c r="AF36" i="71"/>
  <c r="AF35" i="71"/>
  <c r="AF34" i="71"/>
  <c r="AF33" i="71"/>
  <c r="AF32" i="71"/>
  <c r="AF31" i="71"/>
  <c r="AF30" i="71"/>
  <c r="AF29" i="71"/>
  <c r="AF28" i="71"/>
  <c r="AF27" i="71"/>
  <c r="AF26" i="71"/>
  <c r="AF25" i="71"/>
  <c r="AF24" i="71"/>
  <c r="AF23" i="71"/>
  <c r="AF22" i="71"/>
  <c r="AF21" i="71"/>
  <c r="AF20" i="71"/>
  <c r="AF19" i="71"/>
  <c r="AF18" i="71"/>
  <c r="AF17" i="71"/>
  <c r="AF16" i="71"/>
  <c r="AF15" i="71"/>
  <c r="AF14" i="71"/>
  <c r="AF44" i="69"/>
  <c r="AF43" i="69"/>
  <c r="AF42" i="69"/>
  <c r="AF41" i="69"/>
  <c r="AF40" i="69"/>
  <c r="AF39" i="69"/>
  <c r="AF38" i="69"/>
  <c r="AF37" i="69"/>
  <c r="AF36" i="69"/>
  <c r="AF35" i="69"/>
  <c r="AF34" i="69"/>
  <c r="AF33" i="69"/>
  <c r="AF32" i="69"/>
  <c r="AF31" i="69"/>
  <c r="AF30" i="69"/>
  <c r="AF29" i="69"/>
  <c r="AF28" i="69"/>
  <c r="AF27" i="69"/>
  <c r="AF26" i="69"/>
  <c r="AF25" i="69"/>
  <c r="AF24" i="69"/>
  <c r="AF23" i="69"/>
  <c r="AF22" i="69"/>
  <c r="AF21" i="69"/>
  <c r="AF20" i="69"/>
  <c r="AF19" i="69"/>
  <c r="AF18" i="69"/>
  <c r="AF17" i="69"/>
  <c r="AF16" i="69"/>
  <c r="AF15" i="69"/>
  <c r="AF14" i="69"/>
  <c r="AF44" i="67"/>
  <c r="AF43" i="67"/>
  <c r="AF42" i="67"/>
  <c r="AF41" i="67"/>
  <c r="AF40" i="67"/>
  <c r="AF39" i="67"/>
  <c r="AF38" i="67"/>
  <c r="AF37" i="67"/>
  <c r="AF36" i="67"/>
  <c r="AF35" i="67"/>
  <c r="AF34" i="67"/>
  <c r="AF33" i="67"/>
  <c r="AF32" i="67"/>
  <c r="AF31" i="67"/>
  <c r="AF30" i="67"/>
  <c r="AF29" i="67"/>
  <c r="AF28" i="67"/>
  <c r="AF27" i="67"/>
  <c r="AF26" i="67"/>
  <c r="AF25" i="67"/>
  <c r="AF24" i="67"/>
  <c r="AF23" i="67"/>
  <c r="AF22" i="67"/>
  <c r="AF21" i="67"/>
  <c r="AF20" i="67"/>
  <c r="AF19" i="67"/>
  <c r="AF18" i="67"/>
  <c r="AF17" i="67"/>
  <c r="AF16" i="67"/>
  <c r="AF15" i="67"/>
  <c r="AF14" i="67"/>
  <c r="AF44" i="66"/>
  <c r="AF43" i="66"/>
  <c r="AF42" i="66"/>
  <c r="AF41" i="66"/>
  <c r="AF40" i="66"/>
  <c r="AF39" i="66"/>
  <c r="AF38" i="66"/>
  <c r="AF37" i="66"/>
  <c r="AF36" i="66"/>
  <c r="AF35" i="66"/>
  <c r="AF34" i="66"/>
  <c r="AF33" i="66"/>
  <c r="AF32" i="66"/>
  <c r="AF31" i="66"/>
  <c r="AF30" i="66"/>
  <c r="AF29" i="66"/>
  <c r="AF28" i="66"/>
  <c r="AF27" i="66"/>
  <c r="AF26" i="66"/>
  <c r="AF25" i="66"/>
  <c r="AF24" i="66"/>
  <c r="AF23" i="66"/>
  <c r="AF22" i="66"/>
  <c r="AF21" i="66"/>
  <c r="AF20" i="66"/>
  <c r="AF19" i="66"/>
  <c r="AF17" i="66"/>
  <c r="AF16" i="66"/>
  <c r="AF15" i="66"/>
  <c r="AF14" i="66"/>
  <c r="AF15" i="65"/>
  <c r="AF16" i="65"/>
  <c r="AF17" i="65"/>
  <c r="AF18" i="65"/>
  <c r="AF19" i="65"/>
  <c r="AF20" i="65"/>
  <c r="AF21" i="65"/>
  <c r="AF22" i="65"/>
  <c r="AF23" i="65"/>
  <c r="AF24" i="65"/>
  <c r="AF25" i="65"/>
  <c r="AF26" i="65"/>
  <c r="AF27" i="65"/>
  <c r="AF28" i="65"/>
  <c r="AF29" i="65"/>
  <c r="AF30" i="65"/>
  <c r="AF31" i="65"/>
  <c r="AF32" i="65"/>
  <c r="AF33" i="65"/>
  <c r="AF34" i="65"/>
  <c r="AF35" i="65"/>
  <c r="AF36" i="65"/>
  <c r="AF37" i="65"/>
  <c r="AF38" i="65"/>
  <c r="AF39" i="65"/>
  <c r="AF40" i="65"/>
  <c r="AF41" i="65"/>
  <c r="AF42" i="65"/>
  <c r="AF43" i="65"/>
  <c r="AF14" i="65"/>
  <c r="AF15" i="64"/>
  <c r="AF16" i="64"/>
  <c r="AF17" i="64"/>
  <c r="AF18" i="64"/>
  <c r="AF19" i="64"/>
  <c r="AF20" i="64"/>
  <c r="AF21" i="64"/>
  <c r="AF22" i="64"/>
  <c r="AF23" i="64"/>
  <c r="AF24" i="64"/>
  <c r="AF25" i="64"/>
  <c r="AF26" i="64"/>
  <c r="AF27" i="64"/>
  <c r="AF28" i="64"/>
  <c r="AF29" i="64"/>
  <c r="AF30" i="64"/>
  <c r="AF31" i="64"/>
  <c r="AF32" i="64"/>
  <c r="AF33" i="64"/>
  <c r="AF34" i="64"/>
  <c r="AF35" i="64"/>
  <c r="AF36" i="64"/>
  <c r="AF37" i="64"/>
  <c r="AF38" i="64"/>
  <c r="AF39" i="64"/>
  <c r="AF40" i="64"/>
  <c r="AF41" i="64"/>
  <c r="AF14" i="64"/>
  <c r="AF15" i="63"/>
  <c r="AF16" i="63"/>
  <c r="AF17" i="63"/>
  <c r="AF18" i="63"/>
  <c r="AF19" i="63"/>
  <c r="AF20" i="63"/>
  <c r="AF21" i="63"/>
  <c r="AF22" i="63"/>
  <c r="AF23" i="63"/>
  <c r="AF24" i="63"/>
  <c r="AF25" i="63"/>
  <c r="AF26" i="63"/>
  <c r="AF27" i="63"/>
  <c r="AF28" i="63"/>
  <c r="AF29" i="63"/>
  <c r="AF30" i="63"/>
  <c r="AF31" i="63"/>
  <c r="AF32" i="63"/>
  <c r="AF33" i="63"/>
  <c r="AF34" i="63"/>
  <c r="AF35" i="63"/>
  <c r="AF36" i="63"/>
  <c r="AF37" i="63"/>
  <c r="AF38" i="63"/>
  <c r="AF39" i="63"/>
  <c r="AF40" i="63"/>
  <c r="AF41" i="63"/>
  <c r="AF42" i="63"/>
  <c r="AF43" i="63"/>
  <c r="AF14" i="63"/>
  <c r="AF16" i="41"/>
  <c r="AF17" i="41"/>
  <c r="AF23" i="41"/>
  <c r="AF24" i="41"/>
  <c r="AF30" i="41"/>
  <c r="AF31" i="41"/>
  <c r="AF37" i="41"/>
  <c r="AF38" i="41"/>
  <c r="AF44" i="41"/>
  <c r="AF45" i="41"/>
  <c r="D81" i="41"/>
  <c r="D79" i="63"/>
  <c r="D80" i="64"/>
  <c r="D79" i="65"/>
  <c r="D80" i="66"/>
  <c r="D80" i="67"/>
  <c r="D78" i="68"/>
  <c r="D80" i="69"/>
  <c r="D79" i="70"/>
  <c r="D80" i="71"/>
  <c r="D80" i="73"/>
  <c r="D79" i="72"/>
  <c r="Q26" i="43" l="1"/>
  <c r="P27" i="43" s="1"/>
  <c r="A14" i="47"/>
  <c r="H66" i="72"/>
  <c r="H59" i="73" s="1"/>
  <c r="I58" i="50"/>
  <c r="K21" i="50"/>
  <c r="K58" i="50" s="1"/>
  <c r="AF43" i="68"/>
  <c r="AF45" i="69"/>
  <c r="AV37" i="23"/>
  <c r="I24" i="1" s="1"/>
  <c r="AF45" i="73"/>
  <c r="AF44" i="72"/>
  <c r="AF45" i="71"/>
  <c r="AF44" i="70"/>
  <c r="AF45" i="67"/>
  <c r="AF44" i="65"/>
  <c r="AF45" i="64"/>
  <c r="B14" i="47" l="1"/>
  <c r="H67" i="73"/>
  <c r="U39" i="24"/>
  <c r="U40" i="25"/>
  <c r="AU4" i="23"/>
  <c r="AB4" i="25" s="1"/>
  <c r="AU5" i="23"/>
  <c r="AB5" i="25" s="1"/>
  <c r="AU6" i="23"/>
  <c r="AB6" i="25" s="1"/>
  <c r="AU7" i="23"/>
  <c r="AB7" i="25" s="1"/>
  <c r="AU8" i="23"/>
  <c r="AB8" i="25" s="1"/>
  <c r="AU9" i="23"/>
  <c r="AB9" i="25" s="1"/>
  <c r="AU10" i="23"/>
  <c r="AB10" i="25" s="1"/>
  <c r="AU11" i="23"/>
  <c r="AB11" i="25" s="1"/>
  <c r="AU12" i="23"/>
  <c r="AB12" i="25" s="1"/>
  <c r="AU13" i="23"/>
  <c r="AB13" i="25" s="1"/>
  <c r="AU14" i="23"/>
  <c r="AB14" i="25" s="1"/>
  <c r="AU15" i="23"/>
  <c r="AB15" i="25" s="1"/>
  <c r="AU16" i="23"/>
  <c r="AB16" i="25" s="1"/>
  <c r="AU17" i="23"/>
  <c r="AB17" i="25" s="1"/>
  <c r="AU18" i="23"/>
  <c r="AB18" i="25" s="1"/>
  <c r="AU19" i="23"/>
  <c r="AB19" i="25" s="1"/>
  <c r="AU20" i="23"/>
  <c r="AB20" i="25" s="1"/>
  <c r="AU21" i="23"/>
  <c r="AB21" i="25" s="1"/>
  <c r="AU22" i="23"/>
  <c r="AB22" i="25" s="1"/>
  <c r="AU23" i="23"/>
  <c r="AB23" i="25" s="1"/>
  <c r="AU24" i="23"/>
  <c r="AB24" i="25" s="1"/>
  <c r="AU25" i="23"/>
  <c r="AB25" i="25" s="1"/>
  <c r="AU26" i="23"/>
  <c r="AB26" i="25" s="1"/>
  <c r="AU27" i="23"/>
  <c r="AB27" i="25" s="1"/>
  <c r="AU28" i="23"/>
  <c r="AB28" i="25" s="1"/>
  <c r="AU29" i="23"/>
  <c r="AB29" i="25" s="1"/>
  <c r="AU30" i="23"/>
  <c r="AB30" i="25" s="1"/>
  <c r="AU31" i="23"/>
  <c r="AB31" i="25" s="1"/>
  <c r="AU32" i="23"/>
  <c r="AB32" i="25" s="1"/>
  <c r="AU33" i="23"/>
  <c r="AB33" i="25" s="1"/>
  <c r="AU3" i="23"/>
  <c r="AB3" i="25" s="1"/>
  <c r="AQ4" i="23"/>
  <c r="W4" i="25" s="1"/>
  <c r="AQ5" i="23"/>
  <c r="W5" i="25" s="1"/>
  <c r="AQ6" i="23"/>
  <c r="W6" i="25" s="1"/>
  <c r="AQ7" i="23"/>
  <c r="W7" i="25" s="1"/>
  <c r="AQ8" i="23"/>
  <c r="W8" i="25" s="1"/>
  <c r="AQ9" i="23"/>
  <c r="W9" i="25" s="1"/>
  <c r="AQ10" i="23"/>
  <c r="W10" i="25" s="1"/>
  <c r="AQ11" i="23"/>
  <c r="W11" i="25" s="1"/>
  <c r="AQ12" i="23"/>
  <c r="W12" i="25" s="1"/>
  <c r="AQ13" i="23"/>
  <c r="W13" i="25" s="1"/>
  <c r="AQ14" i="23"/>
  <c r="W14" i="25" s="1"/>
  <c r="AQ15" i="23"/>
  <c r="W15" i="25" s="1"/>
  <c r="AQ16" i="23"/>
  <c r="W16" i="25" s="1"/>
  <c r="AQ17" i="23"/>
  <c r="W17" i="25" s="1"/>
  <c r="AQ18" i="23"/>
  <c r="W18" i="25" s="1"/>
  <c r="AQ19" i="23"/>
  <c r="W19" i="25" s="1"/>
  <c r="AQ20" i="23"/>
  <c r="W20" i="25" s="1"/>
  <c r="AQ21" i="23"/>
  <c r="W21" i="25" s="1"/>
  <c r="AQ22" i="23"/>
  <c r="W22" i="25" s="1"/>
  <c r="AQ23" i="23"/>
  <c r="W23" i="25" s="1"/>
  <c r="AQ24" i="23"/>
  <c r="W24" i="25" s="1"/>
  <c r="AQ25" i="23"/>
  <c r="W25" i="25" s="1"/>
  <c r="AQ26" i="23"/>
  <c r="W26" i="25" s="1"/>
  <c r="AQ27" i="23"/>
  <c r="W27" i="25" s="1"/>
  <c r="AQ28" i="23"/>
  <c r="W28" i="25" s="1"/>
  <c r="AQ29" i="23"/>
  <c r="W29" i="25" s="1"/>
  <c r="AQ30" i="23"/>
  <c r="W30" i="25" s="1"/>
  <c r="AQ31" i="23"/>
  <c r="W31" i="25" s="1"/>
  <c r="AQ32" i="23"/>
  <c r="W32" i="25" s="1"/>
  <c r="AQ3" i="23"/>
  <c r="W3" i="25" s="1"/>
  <c r="AM3" i="23"/>
  <c r="R3" i="25" s="1"/>
  <c r="AM4" i="23"/>
  <c r="R4" i="25" s="1"/>
  <c r="AM5" i="23"/>
  <c r="R5" i="25" s="1"/>
  <c r="AM6" i="23"/>
  <c r="R6" i="25" s="1"/>
  <c r="AM7" i="23"/>
  <c r="R7" i="25" s="1"/>
  <c r="AM8" i="23"/>
  <c r="R8" i="25" s="1"/>
  <c r="AM9" i="23"/>
  <c r="R9" i="25" s="1"/>
  <c r="AM10" i="23"/>
  <c r="R10" i="25" s="1"/>
  <c r="AM11" i="23"/>
  <c r="R11" i="25" s="1"/>
  <c r="AM12" i="23"/>
  <c r="R12" i="25" s="1"/>
  <c r="AM13" i="23"/>
  <c r="R13" i="25" s="1"/>
  <c r="AM14" i="23"/>
  <c r="R14" i="25" s="1"/>
  <c r="AM15" i="23"/>
  <c r="R15" i="25" s="1"/>
  <c r="AM16" i="23"/>
  <c r="R16" i="25" s="1"/>
  <c r="AM17" i="23"/>
  <c r="R17" i="25" s="1"/>
  <c r="AM18" i="23"/>
  <c r="R18" i="25" s="1"/>
  <c r="AM19" i="23"/>
  <c r="R19" i="25" s="1"/>
  <c r="AM20" i="23"/>
  <c r="R20" i="25" s="1"/>
  <c r="AM21" i="23"/>
  <c r="R21" i="25" s="1"/>
  <c r="AM22" i="23"/>
  <c r="R22" i="25" s="1"/>
  <c r="AM23" i="23"/>
  <c r="R23" i="25" s="1"/>
  <c r="AM24" i="23"/>
  <c r="R24" i="25" s="1"/>
  <c r="AM25" i="23"/>
  <c r="R25" i="25" s="1"/>
  <c r="AM26" i="23"/>
  <c r="R26" i="25" s="1"/>
  <c r="AM27" i="23"/>
  <c r="R27" i="25" s="1"/>
  <c r="AM28" i="23"/>
  <c r="R28" i="25" s="1"/>
  <c r="AM29" i="23"/>
  <c r="R29" i="25" s="1"/>
  <c r="AM30" i="23"/>
  <c r="R30" i="25" s="1"/>
  <c r="AM31" i="23"/>
  <c r="R31" i="25" s="1"/>
  <c r="AM32" i="23"/>
  <c r="R32" i="25" s="1"/>
  <c r="AM33" i="23"/>
  <c r="R33" i="25" s="1"/>
  <c r="AI4" i="23"/>
  <c r="M4" i="25" s="1"/>
  <c r="AI5" i="23"/>
  <c r="M5" i="25" s="1"/>
  <c r="AI6" i="23"/>
  <c r="M6" i="25" s="1"/>
  <c r="AI7" i="23"/>
  <c r="M7" i="25" s="1"/>
  <c r="AI8" i="23"/>
  <c r="M8" i="25" s="1"/>
  <c r="AI9" i="23"/>
  <c r="M9" i="25" s="1"/>
  <c r="AI10" i="23"/>
  <c r="M10" i="25" s="1"/>
  <c r="AI11" i="23"/>
  <c r="M11" i="25" s="1"/>
  <c r="AI12" i="23"/>
  <c r="M12" i="25" s="1"/>
  <c r="AI13" i="23"/>
  <c r="M13" i="25" s="1"/>
  <c r="AI14" i="23"/>
  <c r="M14" i="25" s="1"/>
  <c r="AI15" i="23"/>
  <c r="M15" i="25" s="1"/>
  <c r="AI16" i="23"/>
  <c r="M16" i="25" s="1"/>
  <c r="AI17" i="23"/>
  <c r="M17" i="25" s="1"/>
  <c r="AI18" i="23"/>
  <c r="M18" i="25" s="1"/>
  <c r="AI19" i="23"/>
  <c r="M19" i="25" s="1"/>
  <c r="AI20" i="23"/>
  <c r="M20" i="25" s="1"/>
  <c r="AI21" i="23"/>
  <c r="M21" i="25" s="1"/>
  <c r="AI22" i="23"/>
  <c r="M22" i="25" s="1"/>
  <c r="AI23" i="23"/>
  <c r="M23" i="25" s="1"/>
  <c r="AI24" i="23"/>
  <c r="M24" i="25" s="1"/>
  <c r="AI25" i="23"/>
  <c r="M25" i="25" s="1"/>
  <c r="AI26" i="23"/>
  <c r="M26" i="25" s="1"/>
  <c r="AI27" i="23"/>
  <c r="M27" i="25" s="1"/>
  <c r="AI28" i="23"/>
  <c r="M28" i="25" s="1"/>
  <c r="AI29" i="23"/>
  <c r="M29" i="25" s="1"/>
  <c r="AI30" i="23"/>
  <c r="M30" i="25" s="1"/>
  <c r="AI31" i="23"/>
  <c r="M31" i="25" s="1"/>
  <c r="AI32" i="23"/>
  <c r="M32" i="25" s="1"/>
  <c r="AI3" i="23"/>
  <c r="M3" i="25" s="1"/>
  <c r="AE4" i="23"/>
  <c r="H4" i="25" s="1"/>
  <c r="AE5" i="23"/>
  <c r="H5" i="25" s="1"/>
  <c r="AE6" i="23"/>
  <c r="H6" i="25" s="1"/>
  <c r="AE7" i="23"/>
  <c r="H7" i="25" s="1"/>
  <c r="AE8" i="23"/>
  <c r="H8" i="25" s="1"/>
  <c r="AE9" i="23"/>
  <c r="H9" i="25" s="1"/>
  <c r="AE10" i="23"/>
  <c r="H10" i="25" s="1"/>
  <c r="AE11" i="23"/>
  <c r="H11" i="25" s="1"/>
  <c r="AE12" i="23"/>
  <c r="H12" i="25" s="1"/>
  <c r="AE13" i="23"/>
  <c r="H13" i="25" s="1"/>
  <c r="AE14" i="23"/>
  <c r="H14" i="25" s="1"/>
  <c r="AE15" i="23"/>
  <c r="H15" i="25" s="1"/>
  <c r="AE16" i="23"/>
  <c r="H16" i="25" s="1"/>
  <c r="AE17" i="23"/>
  <c r="H17" i="25" s="1"/>
  <c r="AE18" i="23"/>
  <c r="H18" i="25" s="1"/>
  <c r="AE19" i="23"/>
  <c r="H19" i="25" s="1"/>
  <c r="AE20" i="23"/>
  <c r="H20" i="25" s="1"/>
  <c r="AE21" i="23"/>
  <c r="H21" i="25" s="1"/>
  <c r="AE22" i="23"/>
  <c r="H22" i="25" s="1"/>
  <c r="AE23" i="23"/>
  <c r="H23" i="25" s="1"/>
  <c r="AE24" i="23"/>
  <c r="H24" i="25" s="1"/>
  <c r="AE25" i="23"/>
  <c r="H25" i="25" s="1"/>
  <c r="AE26" i="23"/>
  <c r="H26" i="25" s="1"/>
  <c r="AE27" i="23"/>
  <c r="H27" i="25" s="1"/>
  <c r="AE28" i="23"/>
  <c r="H28" i="25" s="1"/>
  <c r="AE29" i="23"/>
  <c r="H29" i="25" s="1"/>
  <c r="AE30" i="23"/>
  <c r="H30" i="25" s="1"/>
  <c r="AE31" i="23"/>
  <c r="H31" i="25" s="1"/>
  <c r="AE32" i="23"/>
  <c r="H32" i="25" s="1"/>
  <c r="AE33" i="23"/>
  <c r="H33" i="25" s="1"/>
  <c r="AE3" i="23"/>
  <c r="H3" i="25" s="1"/>
  <c r="AA4" i="23"/>
  <c r="AA5" i="23"/>
  <c r="AA6" i="23"/>
  <c r="AA7" i="23"/>
  <c r="AA8" i="23"/>
  <c r="AA9" i="23"/>
  <c r="AA10" i="23"/>
  <c r="AA11" i="23"/>
  <c r="AA12" i="23"/>
  <c r="AA13" i="23"/>
  <c r="AA14" i="23"/>
  <c r="AA15" i="23"/>
  <c r="AA16" i="23"/>
  <c r="AA17" i="23"/>
  <c r="AA18" i="23"/>
  <c r="AA19" i="23"/>
  <c r="AA20" i="23"/>
  <c r="AA21" i="23"/>
  <c r="AA22" i="23"/>
  <c r="AA23" i="23"/>
  <c r="AA24" i="23"/>
  <c r="AA25" i="23"/>
  <c r="AA26" i="23"/>
  <c r="AA27" i="23"/>
  <c r="AA28" i="23"/>
  <c r="AA29" i="23"/>
  <c r="AA30" i="23"/>
  <c r="AA3" i="23"/>
  <c r="W4" i="23"/>
  <c r="W5" i="23"/>
  <c r="W6" i="23"/>
  <c r="W7" i="23"/>
  <c r="W8" i="23"/>
  <c r="W9" i="23"/>
  <c r="W10" i="23"/>
  <c r="W11" i="23"/>
  <c r="W12" i="23"/>
  <c r="W13" i="23"/>
  <c r="W14" i="23"/>
  <c r="W15" i="23"/>
  <c r="W16" i="23"/>
  <c r="W17" i="23"/>
  <c r="W18" i="23"/>
  <c r="W19" i="23"/>
  <c r="W20" i="23"/>
  <c r="W21" i="23"/>
  <c r="W22" i="23"/>
  <c r="W23" i="23"/>
  <c r="W24" i="23"/>
  <c r="W25" i="23"/>
  <c r="W26" i="23"/>
  <c r="W27" i="23"/>
  <c r="W28" i="23"/>
  <c r="W29" i="23"/>
  <c r="W30" i="23"/>
  <c r="W31" i="23"/>
  <c r="W32" i="23"/>
  <c r="W33" i="23"/>
  <c r="W3" i="23"/>
  <c r="S4" i="23"/>
  <c r="S5" i="23"/>
  <c r="S6" i="23"/>
  <c r="S7" i="23"/>
  <c r="S8" i="23"/>
  <c r="S9" i="23"/>
  <c r="S10" i="23"/>
  <c r="S11" i="23"/>
  <c r="S12" i="23"/>
  <c r="S13" i="23"/>
  <c r="S14" i="23"/>
  <c r="S15" i="23"/>
  <c r="S16" i="23"/>
  <c r="S17" i="23"/>
  <c r="S18" i="23"/>
  <c r="S19" i="23"/>
  <c r="S20" i="23"/>
  <c r="S21" i="23"/>
  <c r="S22" i="23"/>
  <c r="S23" i="23"/>
  <c r="S24" i="23"/>
  <c r="S25" i="23"/>
  <c r="S26" i="23"/>
  <c r="S27" i="23"/>
  <c r="S28" i="23"/>
  <c r="S29" i="23"/>
  <c r="S30" i="23"/>
  <c r="S31" i="23"/>
  <c r="S32" i="23"/>
  <c r="S33" i="23"/>
  <c r="S3" i="23"/>
  <c r="O4" i="23"/>
  <c r="O5" i="23"/>
  <c r="O6" i="23"/>
  <c r="O7" i="23"/>
  <c r="O8" i="23"/>
  <c r="O9" i="23"/>
  <c r="O10" i="23"/>
  <c r="O11" i="23"/>
  <c r="O12" i="23"/>
  <c r="O13" i="23"/>
  <c r="O14" i="23"/>
  <c r="O15" i="23"/>
  <c r="O16" i="23"/>
  <c r="O17" i="23"/>
  <c r="O18" i="23"/>
  <c r="O19" i="23"/>
  <c r="O20" i="23"/>
  <c r="O21" i="23"/>
  <c r="O22" i="23"/>
  <c r="O23" i="23"/>
  <c r="O24" i="23"/>
  <c r="O25" i="23"/>
  <c r="O26" i="23"/>
  <c r="O27" i="23"/>
  <c r="O28" i="23"/>
  <c r="O29" i="23"/>
  <c r="O30" i="23"/>
  <c r="O31" i="23"/>
  <c r="O32" i="23"/>
  <c r="O3" i="23"/>
  <c r="K4" i="23"/>
  <c r="K5" i="23"/>
  <c r="K6" i="23"/>
  <c r="K7" i="23"/>
  <c r="K8" i="23"/>
  <c r="K9" i="23"/>
  <c r="K10" i="23"/>
  <c r="K11" i="23"/>
  <c r="K12" i="23"/>
  <c r="K13" i="23"/>
  <c r="K14" i="23"/>
  <c r="K15" i="23"/>
  <c r="K16" i="23"/>
  <c r="K17" i="23"/>
  <c r="K18" i="23"/>
  <c r="K19" i="23"/>
  <c r="K20" i="23"/>
  <c r="K21" i="23"/>
  <c r="K22" i="23"/>
  <c r="K23" i="23"/>
  <c r="K24" i="23"/>
  <c r="K25" i="23"/>
  <c r="K26" i="23"/>
  <c r="K27" i="23"/>
  <c r="K28" i="23"/>
  <c r="K29" i="23"/>
  <c r="K30" i="23"/>
  <c r="K31" i="23"/>
  <c r="K32" i="23"/>
  <c r="K33" i="23"/>
  <c r="K3" i="23"/>
  <c r="G8" i="23"/>
  <c r="G9" i="23"/>
  <c r="G10" i="23"/>
  <c r="G11" i="23"/>
  <c r="G12" i="23"/>
  <c r="G13" i="23"/>
  <c r="G14" i="23"/>
  <c r="G15" i="23"/>
  <c r="G16" i="23"/>
  <c r="G17" i="23"/>
  <c r="G18" i="23"/>
  <c r="G19" i="23"/>
  <c r="G20" i="23"/>
  <c r="G21" i="23"/>
  <c r="G22" i="23"/>
  <c r="G23" i="23"/>
  <c r="G24" i="23"/>
  <c r="G25" i="23"/>
  <c r="G26" i="23"/>
  <c r="G27" i="23"/>
  <c r="G28" i="23"/>
  <c r="G29" i="23"/>
  <c r="G30" i="23"/>
  <c r="G31" i="23"/>
  <c r="G32" i="23"/>
  <c r="G3" i="23"/>
  <c r="C4" i="23"/>
  <c r="C5" i="23"/>
  <c r="C6" i="23"/>
  <c r="C7" i="23"/>
  <c r="C8" i="23"/>
  <c r="C9" i="23"/>
  <c r="C10" i="23"/>
  <c r="C11" i="23"/>
  <c r="C12" i="23"/>
  <c r="C13" i="23"/>
  <c r="C14" i="23"/>
  <c r="C15" i="23"/>
  <c r="C16" i="23"/>
  <c r="C17" i="23"/>
  <c r="C18" i="23"/>
  <c r="C19" i="23"/>
  <c r="C20" i="23"/>
  <c r="C21" i="23"/>
  <c r="C22" i="23"/>
  <c r="C23" i="23"/>
  <c r="C24" i="23"/>
  <c r="C25" i="23"/>
  <c r="C26" i="23"/>
  <c r="C27" i="23"/>
  <c r="C28" i="23"/>
  <c r="C29" i="23"/>
  <c r="C30" i="23"/>
  <c r="C31" i="23"/>
  <c r="C32" i="23"/>
  <c r="C33" i="23"/>
  <c r="C3" i="23"/>
  <c r="Q27" i="43" l="1"/>
  <c r="A15" i="47"/>
  <c r="Z44" i="73"/>
  <c r="Y44" i="73"/>
  <c r="Z43" i="73"/>
  <c r="Y43" i="73"/>
  <c r="Z42" i="73"/>
  <c r="Y42" i="73"/>
  <c r="Z41" i="73"/>
  <c r="Y41" i="73"/>
  <c r="Z40" i="73"/>
  <c r="Y40" i="73"/>
  <c r="Z39" i="73"/>
  <c r="Y39" i="73"/>
  <c r="Z38" i="73"/>
  <c r="Y38" i="73"/>
  <c r="Z37" i="73"/>
  <c r="Y37" i="73"/>
  <c r="Z36" i="73"/>
  <c r="Y36" i="73"/>
  <c r="Z35" i="73"/>
  <c r="Y35" i="73"/>
  <c r="Z34" i="73"/>
  <c r="Y34" i="73"/>
  <c r="Z33" i="73"/>
  <c r="Y33" i="73"/>
  <c r="Z32" i="73"/>
  <c r="Y32" i="73"/>
  <c r="Z31" i="73"/>
  <c r="Y31" i="73"/>
  <c r="Z30" i="73"/>
  <c r="Y30" i="73"/>
  <c r="Z29" i="73"/>
  <c r="Y29" i="73"/>
  <c r="Z28" i="73"/>
  <c r="Y28" i="73"/>
  <c r="Z27" i="73"/>
  <c r="Y27" i="73"/>
  <c r="Z26" i="73"/>
  <c r="Y26" i="73"/>
  <c r="Z25" i="73"/>
  <c r="Y25" i="73"/>
  <c r="Z24" i="73"/>
  <c r="Z23" i="73"/>
  <c r="Y23" i="73"/>
  <c r="Z22" i="73"/>
  <c r="Z21" i="73"/>
  <c r="Z20" i="73"/>
  <c r="Y20" i="73"/>
  <c r="Z19" i="73"/>
  <c r="Y19" i="73"/>
  <c r="Z18" i="73"/>
  <c r="Z17" i="73"/>
  <c r="Z15" i="73"/>
  <c r="Y15" i="73"/>
  <c r="Y14" i="73"/>
  <c r="Z43" i="72"/>
  <c r="Y43" i="72"/>
  <c r="Z42" i="72"/>
  <c r="Y42" i="72"/>
  <c r="Z41" i="72"/>
  <c r="Z40" i="72"/>
  <c r="Y40" i="72"/>
  <c r="Z39" i="72"/>
  <c r="Y39" i="72"/>
  <c r="Z38" i="72"/>
  <c r="Y38" i="72"/>
  <c r="Z37" i="72"/>
  <c r="Y37" i="72"/>
  <c r="Z36" i="72"/>
  <c r="Y36" i="72"/>
  <c r="Z35" i="72"/>
  <c r="Y35" i="72"/>
  <c r="Z34" i="72"/>
  <c r="Z33" i="72"/>
  <c r="Z32" i="72"/>
  <c r="Y32" i="72"/>
  <c r="Z31" i="72"/>
  <c r="Y31" i="72"/>
  <c r="Z30" i="72"/>
  <c r="Y30" i="72"/>
  <c r="Z29" i="72"/>
  <c r="Y29" i="72"/>
  <c r="Z28" i="72"/>
  <c r="Y28" i="72"/>
  <c r="Z27" i="72"/>
  <c r="Z26" i="72"/>
  <c r="Z25" i="72"/>
  <c r="Y25" i="72"/>
  <c r="Z24" i="72"/>
  <c r="Z23" i="72"/>
  <c r="Z22" i="72"/>
  <c r="Y22" i="72"/>
  <c r="Z21" i="72"/>
  <c r="Y21" i="72"/>
  <c r="Z20" i="72"/>
  <c r="Y20" i="72"/>
  <c r="Z19" i="72"/>
  <c r="Y19" i="72"/>
  <c r="Z18" i="72"/>
  <c r="Y18" i="72"/>
  <c r="Z17" i="72"/>
  <c r="Y17" i="72"/>
  <c r="Z16" i="72"/>
  <c r="Y16" i="72"/>
  <c r="Z15" i="72"/>
  <c r="Y15" i="72"/>
  <c r="Z14" i="72"/>
  <c r="Y14" i="72"/>
  <c r="Z44" i="71"/>
  <c r="Y44" i="71"/>
  <c r="Z43" i="71"/>
  <c r="Y43" i="71"/>
  <c r="Z42" i="71"/>
  <c r="Y42" i="71"/>
  <c r="Z41" i="71"/>
  <c r="Y41" i="71"/>
  <c r="Z40" i="71"/>
  <c r="Y40" i="71"/>
  <c r="Z39" i="71"/>
  <c r="Y39" i="71"/>
  <c r="Z38" i="71"/>
  <c r="Y38" i="71"/>
  <c r="Z37" i="71"/>
  <c r="Y37" i="71"/>
  <c r="Z36" i="71"/>
  <c r="Z35" i="71"/>
  <c r="Y35" i="71"/>
  <c r="Z34" i="71"/>
  <c r="Y34" i="71"/>
  <c r="Z33" i="71"/>
  <c r="Y33" i="71"/>
  <c r="Z32" i="71"/>
  <c r="Y32" i="71"/>
  <c r="Z31" i="71"/>
  <c r="Y31" i="71"/>
  <c r="Z30" i="71"/>
  <c r="Z29" i="71"/>
  <c r="Y29" i="71"/>
  <c r="Z28" i="71"/>
  <c r="Y28" i="71"/>
  <c r="Z27" i="71"/>
  <c r="Z26" i="71"/>
  <c r="Z25" i="71"/>
  <c r="Y25" i="71"/>
  <c r="Z24" i="71"/>
  <c r="Y24" i="71"/>
  <c r="Z23" i="71"/>
  <c r="Z22" i="71"/>
  <c r="Z21" i="71"/>
  <c r="Z20" i="71"/>
  <c r="Y20" i="71"/>
  <c r="Z19" i="71"/>
  <c r="Y19" i="71"/>
  <c r="Z18" i="71"/>
  <c r="Y18" i="71"/>
  <c r="Z17" i="71"/>
  <c r="Y17" i="71"/>
  <c r="Z16" i="71"/>
  <c r="Z15" i="71"/>
  <c r="Y15" i="71"/>
  <c r="Y14" i="71"/>
  <c r="Z43" i="70"/>
  <c r="Y43" i="70"/>
  <c r="Z42" i="70"/>
  <c r="Y42" i="70"/>
  <c r="Z41" i="70"/>
  <c r="Y41" i="70"/>
  <c r="Z40" i="70"/>
  <c r="Y40" i="70"/>
  <c r="Z39" i="70"/>
  <c r="Z38" i="70"/>
  <c r="Y38" i="70"/>
  <c r="Z37" i="70"/>
  <c r="Y37" i="70"/>
  <c r="Z36" i="70"/>
  <c r="Y36" i="70"/>
  <c r="Z35" i="70"/>
  <c r="Y35" i="70"/>
  <c r="Z34" i="70"/>
  <c r="Y34" i="70"/>
  <c r="Z33" i="70"/>
  <c r="Y33" i="70"/>
  <c r="Z32" i="70"/>
  <c r="Z31" i="70"/>
  <c r="Z30" i="70"/>
  <c r="Y30" i="70"/>
  <c r="Z29" i="70"/>
  <c r="Z28" i="70"/>
  <c r="Z27" i="70"/>
  <c r="Y27" i="70"/>
  <c r="Z26" i="70"/>
  <c r="Y26" i="70"/>
  <c r="Z25" i="70"/>
  <c r="Z24" i="70"/>
  <c r="Z23" i="70"/>
  <c r="Y23" i="70"/>
  <c r="Z22" i="70"/>
  <c r="Y22" i="70"/>
  <c r="Z21" i="70"/>
  <c r="Y21" i="70"/>
  <c r="Z20" i="70"/>
  <c r="Y20" i="70"/>
  <c r="Z19" i="70"/>
  <c r="Z18" i="70"/>
  <c r="Y18" i="70"/>
  <c r="Z17" i="70"/>
  <c r="Y17" i="70"/>
  <c r="Z16" i="70"/>
  <c r="Y16" i="70"/>
  <c r="Z15" i="70"/>
  <c r="Y15" i="70"/>
  <c r="Z14" i="70"/>
  <c r="Y14" i="70"/>
  <c r="Z40" i="68"/>
  <c r="Y40" i="68"/>
  <c r="Z39" i="68"/>
  <c r="Y39" i="68"/>
  <c r="Z38" i="68"/>
  <c r="Y38" i="68"/>
  <c r="Z37" i="68"/>
  <c r="Y37" i="68"/>
  <c r="Z36" i="68"/>
  <c r="Y36" i="68"/>
  <c r="Z35" i="68"/>
  <c r="Z34" i="68"/>
  <c r="Z33" i="68"/>
  <c r="Y33" i="68"/>
  <c r="Z32" i="68"/>
  <c r="Y32" i="68"/>
  <c r="Z31" i="68"/>
  <c r="Y31" i="68"/>
  <c r="Z30" i="68"/>
  <c r="Y30" i="68"/>
  <c r="Z29" i="68"/>
  <c r="Z28" i="68"/>
  <c r="Z27" i="68"/>
  <c r="Y27" i="68"/>
  <c r="Z26" i="68"/>
  <c r="Y26" i="68"/>
  <c r="Z25" i="68"/>
  <c r="Y25" i="68"/>
  <c r="Z24" i="68"/>
  <c r="Y24" i="68"/>
  <c r="Z23" i="68"/>
  <c r="Y23" i="68"/>
  <c r="Z22" i="68"/>
  <c r="Y22" i="68"/>
  <c r="Z21" i="68"/>
  <c r="Z20" i="68"/>
  <c r="Z19" i="68"/>
  <c r="Z18" i="68"/>
  <c r="Z17" i="68"/>
  <c r="Z16" i="68"/>
  <c r="Y16" i="68"/>
  <c r="Z15" i="68"/>
  <c r="Y15" i="68"/>
  <c r="Z14" i="68"/>
  <c r="Y14" i="68"/>
  <c r="Z44" i="69"/>
  <c r="Y44" i="69"/>
  <c r="Z43" i="69"/>
  <c r="Y43" i="69"/>
  <c r="Z42" i="69"/>
  <c r="Y42" i="69"/>
  <c r="Z41" i="69"/>
  <c r="Y41" i="69"/>
  <c r="Z40" i="69"/>
  <c r="Y40" i="69"/>
  <c r="Z39" i="69"/>
  <c r="Y39" i="69"/>
  <c r="Z38" i="69"/>
  <c r="Y38" i="69"/>
  <c r="Z37" i="69"/>
  <c r="Y37" i="69"/>
  <c r="Z36" i="69"/>
  <c r="Z35" i="69"/>
  <c r="Y35" i="69"/>
  <c r="Z34" i="69"/>
  <c r="Z33" i="69"/>
  <c r="Y33" i="69"/>
  <c r="Z32" i="69"/>
  <c r="Y32" i="69"/>
  <c r="Z31" i="69"/>
  <c r="Y31" i="69"/>
  <c r="Z30" i="69"/>
  <c r="Y30" i="69"/>
  <c r="Z29" i="69"/>
  <c r="Y29" i="69"/>
  <c r="Z28" i="69"/>
  <c r="Z27" i="69"/>
  <c r="Z26" i="69"/>
  <c r="Y26" i="69"/>
  <c r="Z25" i="69"/>
  <c r="Y25" i="69"/>
  <c r="Z24" i="69"/>
  <c r="Y24" i="69"/>
  <c r="Z23" i="69"/>
  <c r="Y23" i="69"/>
  <c r="Z22" i="69"/>
  <c r="Y22" i="69"/>
  <c r="Z21" i="69"/>
  <c r="Z20" i="69"/>
  <c r="Y20" i="69"/>
  <c r="Z19" i="69"/>
  <c r="Y19" i="69"/>
  <c r="Z18" i="69"/>
  <c r="Z17" i="69"/>
  <c r="Z16" i="69"/>
  <c r="Y16" i="69"/>
  <c r="Z15" i="69"/>
  <c r="Y15" i="69"/>
  <c r="Z14" i="69"/>
  <c r="Y14" i="67"/>
  <c r="Z14" i="67"/>
  <c r="Y15" i="67"/>
  <c r="Z15" i="67"/>
  <c r="Z16" i="67"/>
  <c r="Y17" i="67"/>
  <c r="Z17" i="67"/>
  <c r="Y18" i="67"/>
  <c r="Z18" i="67"/>
  <c r="Y19" i="67"/>
  <c r="Z19" i="67"/>
  <c r="Y20" i="67"/>
  <c r="Z20" i="67"/>
  <c r="Y21" i="67"/>
  <c r="Z21" i="67"/>
  <c r="Y22" i="67"/>
  <c r="Z22" i="67"/>
  <c r="Z23" i="67"/>
  <c r="Z24" i="67"/>
  <c r="Y25" i="67"/>
  <c r="Z25" i="67"/>
  <c r="Y26" i="67"/>
  <c r="Z26" i="67"/>
  <c r="Z27" i="67"/>
  <c r="Z28" i="67"/>
  <c r="Y29" i="67"/>
  <c r="Z29" i="67"/>
  <c r="Z30" i="67"/>
  <c r="Z31" i="67"/>
  <c r="Z32" i="67"/>
  <c r="Y33" i="67"/>
  <c r="Z33" i="67"/>
  <c r="Y34" i="67"/>
  <c r="Z34" i="67"/>
  <c r="Y35" i="67"/>
  <c r="Z35" i="67"/>
  <c r="Y36" i="67"/>
  <c r="Z36" i="67"/>
  <c r="Y37" i="67"/>
  <c r="Z37" i="67"/>
  <c r="Y38" i="67"/>
  <c r="Z38" i="67"/>
  <c r="Y39" i="67"/>
  <c r="Z39" i="67"/>
  <c r="Y40" i="67"/>
  <c r="Z40" i="67"/>
  <c r="Y41" i="67"/>
  <c r="Z41" i="67"/>
  <c r="Y42" i="67"/>
  <c r="Z42" i="67"/>
  <c r="Y43" i="67"/>
  <c r="Z43" i="67"/>
  <c r="Y44" i="67"/>
  <c r="Z44" i="67"/>
  <c r="Z44" i="66"/>
  <c r="Y44" i="66"/>
  <c r="Z43" i="66"/>
  <c r="Y43" i="66"/>
  <c r="Z42" i="66"/>
  <c r="Y42" i="66"/>
  <c r="Z41" i="66"/>
  <c r="Y41" i="66"/>
  <c r="Z40" i="66"/>
  <c r="Y40" i="66"/>
  <c r="Z39" i="66"/>
  <c r="Y39" i="66"/>
  <c r="Z38" i="66"/>
  <c r="Y38" i="66"/>
  <c r="Z37" i="66"/>
  <c r="Y37" i="66"/>
  <c r="Z36" i="66"/>
  <c r="Y36" i="66"/>
  <c r="Z35" i="66"/>
  <c r="Y35" i="66"/>
  <c r="Z34" i="66"/>
  <c r="Z33" i="66"/>
  <c r="Y33" i="66"/>
  <c r="Z32" i="66"/>
  <c r="Y32" i="66"/>
  <c r="Z31" i="66"/>
  <c r="Y31" i="66"/>
  <c r="Z30" i="66"/>
  <c r="Y30" i="66"/>
  <c r="Z29" i="66"/>
  <c r="Y29" i="66"/>
  <c r="Z28" i="66"/>
  <c r="Y28" i="66"/>
  <c r="Z27" i="66"/>
  <c r="Z26" i="66"/>
  <c r="Z25" i="66"/>
  <c r="Y25" i="66"/>
  <c r="Z24" i="66"/>
  <c r="Z23" i="66"/>
  <c r="Z22" i="66"/>
  <c r="Y22" i="66"/>
  <c r="Z21" i="66"/>
  <c r="Y21" i="66"/>
  <c r="Z20" i="66"/>
  <c r="Y20" i="66"/>
  <c r="Z19" i="66"/>
  <c r="Z18" i="66"/>
  <c r="Y18" i="66"/>
  <c r="Z17" i="66"/>
  <c r="Y17" i="66"/>
  <c r="Z16" i="66"/>
  <c r="Z15" i="66"/>
  <c r="Y15" i="66"/>
  <c r="Z14" i="66"/>
  <c r="Z43" i="65"/>
  <c r="Y43" i="65"/>
  <c r="Z42" i="65"/>
  <c r="Y42" i="65"/>
  <c r="Z41" i="65"/>
  <c r="Y41" i="65"/>
  <c r="Z40" i="65"/>
  <c r="Y40" i="65"/>
  <c r="Z39" i="65"/>
  <c r="Y39" i="65"/>
  <c r="Z38" i="65"/>
  <c r="Y38" i="65"/>
  <c r="Z37" i="65"/>
  <c r="Y37" i="65"/>
  <c r="Z36" i="65"/>
  <c r="Y36" i="65"/>
  <c r="Z35" i="65"/>
  <c r="Y35" i="65"/>
  <c r="Z34" i="65"/>
  <c r="Y34" i="65"/>
  <c r="Z33" i="65"/>
  <c r="Y33" i="65"/>
  <c r="Z32" i="65"/>
  <c r="Y32" i="65"/>
  <c r="Z31" i="65"/>
  <c r="Y31" i="65"/>
  <c r="Z30" i="65"/>
  <c r="Y30" i="65"/>
  <c r="Z29" i="65"/>
  <c r="Z28" i="65"/>
  <c r="Z27" i="65"/>
  <c r="Y27" i="65"/>
  <c r="Z26" i="65"/>
  <c r="Z25" i="65"/>
  <c r="Z24" i="65"/>
  <c r="Y24" i="65"/>
  <c r="Z23" i="65"/>
  <c r="Y23" i="65"/>
  <c r="Z22" i="65"/>
  <c r="Z21" i="65"/>
  <c r="Z20" i="65"/>
  <c r="Y20" i="65"/>
  <c r="Z19" i="65"/>
  <c r="Y19" i="65"/>
  <c r="Z18" i="65"/>
  <c r="Y18" i="65"/>
  <c r="Z17" i="65"/>
  <c r="Y17" i="65"/>
  <c r="Z16" i="65"/>
  <c r="Y16" i="65"/>
  <c r="Z15" i="65"/>
  <c r="Y15" i="65"/>
  <c r="Z14" i="65"/>
  <c r="Y14" i="65"/>
  <c r="Z41" i="64"/>
  <c r="Y41" i="64"/>
  <c r="Z40" i="64"/>
  <c r="Y40" i="64"/>
  <c r="Z39" i="64"/>
  <c r="Z38" i="64"/>
  <c r="Z37" i="64"/>
  <c r="Y37" i="64"/>
  <c r="Z36" i="64"/>
  <c r="Y36" i="64"/>
  <c r="Z35" i="64"/>
  <c r="Y35" i="64"/>
  <c r="Z34" i="64"/>
  <c r="Y34" i="64"/>
  <c r="Z33" i="64"/>
  <c r="Y33" i="64"/>
  <c r="Z32" i="64"/>
  <c r="Z31" i="64"/>
  <c r="Y31" i="64"/>
  <c r="Z30" i="64"/>
  <c r="Y30" i="64"/>
  <c r="Z29" i="64"/>
  <c r="Y29" i="64"/>
  <c r="Z28" i="64"/>
  <c r="Y28" i="64"/>
  <c r="Z27" i="64"/>
  <c r="Y27" i="64"/>
  <c r="Z26" i="64"/>
  <c r="Y26" i="64"/>
  <c r="Z25" i="64"/>
  <c r="Z24" i="64"/>
  <c r="Z23" i="64"/>
  <c r="Y23" i="64"/>
  <c r="Z22" i="64"/>
  <c r="Z21" i="64"/>
  <c r="Z20" i="64"/>
  <c r="Y20" i="64"/>
  <c r="Z19" i="64"/>
  <c r="Y19" i="64"/>
  <c r="Z18" i="64"/>
  <c r="Z17" i="64"/>
  <c r="Z16" i="64"/>
  <c r="Z15" i="64"/>
  <c r="Y15" i="64"/>
  <c r="Z14" i="64"/>
  <c r="Y14" i="64"/>
  <c r="FN30" i="65" l="1"/>
  <c r="FL30" i="65"/>
  <c r="FN27" i="64"/>
  <c r="FL27" i="64"/>
  <c r="FL31" i="64"/>
  <c r="FN31" i="64"/>
  <c r="FN35" i="64"/>
  <c r="FL35" i="64"/>
  <c r="FN40" i="64"/>
  <c r="FL40" i="64"/>
  <c r="FN16" i="65"/>
  <c r="FL16" i="65"/>
  <c r="FN20" i="65"/>
  <c r="FL20" i="65"/>
  <c r="FN36" i="66"/>
  <c r="FL36" i="66"/>
  <c r="FL40" i="66"/>
  <c r="FN40" i="66"/>
  <c r="FN44" i="66"/>
  <c r="FL44" i="66"/>
  <c r="FN23" i="69"/>
  <c r="FL23" i="69"/>
  <c r="FN31" i="68"/>
  <c r="FL31" i="68"/>
  <c r="FN36" i="68"/>
  <c r="FL36" i="68"/>
  <c r="FL40" i="68"/>
  <c r="FN40" i="68"/>
  <c r="FL17" i="70"/>
  <c r="FN17" i="70"/>
  <c r="FL26" i="70"/>
  <c r="FN26" i="70"/>
  <c r="FN40" i="70"/>
  <c r="FL40" i="70"/>
  <c r="FN19" i="71"/>
  <c r="FL19" i="71"/>
  <c r="FN33" i="71"/>
  <c r="FL33" i="71"/>
  <c r="FN37" i="71"/>
  <c r="FL37" i="71"/>
  <c r="FN41" i="71"/>
  <c r="FL41" i="71"/>
  <c r="FN18" i="72"/>
  <c r="FL18" i="72"/>
  <c r="FN22" i="72"/>
  <c r="FL22" i="72"/>
  <c r="FN28" i="72"/>
  <c r="FL28" i="72"/>
  <c r="FN32" i="72"/>
  <c r="FL32" i="72"/>
  <c r="FN37" i="72"/>
  <c r="FL37" i="72"/>
  <c r="FN26" i="73"/>
  <c r="FL26" i="73"/>
  <c r="FL30" i="73"/>
  <c r="FN30" i="73"/>
  <c r="FN34" i="73"/>
  <c r="FL34" i="73"/>
  <c r="FN38" i="73"/>
  <c r="FL38" i="73"/>
  <c r="FL42" i="73"/>
  <c r="FN42" i="73"/>
  <c r="FN29" i="64"/>
  <c r="FL29" i="64"/>
  <c r="FN31" i="65"/>
  <c r="FL31" i="65"/>
  <c r="FN35" i="65"/>
  <c r="FL35" i="65"/>
  <c r="FN39" i="65"/>
  <c r="FL39" i="65"/>
  <c r="FN43" i="65"/>
  <c r="FL43" i="65"/>
  <c r="FN18" i="66"/>
  <c r="FL18" i="66"/>
  <c r="FL22" i="66"/>
  <c r="FN22" i="66"/>
  <c r="FN28" i="66"/>
  <c r="FL28" i="66"/>
  <c r="FN32" i="66"/>
  <c r="FL32" i="66"/>
  <c r="FN41" i="67"/>
  <c r="FL41" i="67"/>
  <c r="FN37" i="67"/>
  <c r="FL37" i="67"/>
  <c r="FN33" i="67"/>
  <c r="FL33" i="67"/>
  <c r="FL22" i="67"/>
  <c r="FN22" i="67"/>
  <c r="FN18" i="67"/>
  <c r="FL18" i="67"/>
  <c r="FN19" i="69"/>
  <c r="FL19" i="69"/>
  <c r="FN32" i="69"/>
  <c r="FL32" i="69"/>
  <c r="FN40" i="69"/>
  <c r="FL40" i="69"/>
  <c r="FL44" i="69"/>
  <c r="FN44" i="69"/>
  <c r="FN23" i="68"/>
  <c r="FL23" i="68"/>
  <c r="FN27" i="68"/>
  <c r="FL27" i="68"/>
  <c r="FL22" i="70"/>
  <c r="FN22" i="70"/>
  <c r="FN36" i="70"/>
  <c r="FL36" i="70"/>
  <c r="FN15" i="71"/>
  <c r="FL15" i="71"/>
  <c r="FN24" i="71"/>
  <c r="FL24" i="71"/>
  <c r="FN29" i="71"/>
  <c r="FL29" i="71"/>
  <c r="FN36" i="64"/>
  <c r="FL36" i="64"/>
  <c r="FN24" i="69"/>
  <c r="FL24" i="69"/>
  <c r="FN32" i="68"/>
  <c r="FL32" i="68"/>
  <c r="FN37" i="68"/>
  <c r="FL37" i="68"/>
  <c r="FN27" i="70"/>
  <c r="FL27" i="70"/>
  <c r="FL41" i="70"/>
  <c r="FN41" i="70"/>
  <c r="FN20" i="71"/>
  <c r="FL20" i="71"/>
  <c r="FN34" i="71"/>
  <c r="FL34" i="71"/>
  <c r="FN42" i="71"/>
  <c r="FL42" i="71"/>
  <c r="FN15" i="72"/>
  <c r="FL15" i="72"/>
  <c r="FN19" i="72"/>
  <c r="FL19" i="72"/>
  <c r="FN29" i="72"/>
  <c r="FL29" i="72"/>
  <c r="FN38" i="72"/>
  <c r="FL38" i="72"/>
  <c r="FN42" i="72"/>
  <c r="FL42" i="72"/>
  <c r="FN23" i="73"/>
  <c r="FL23" i="73"/>
  <c r="FN27" i="73"/>
  <c r="FL27" i="73"/>
  <c r="FL31" i="73"/>
  <c r="FN31" i="73"/>
  <c r="FN35" i="73"/>
  <c r="FL35" i="73"/>
  <c r="FN39" i="73"/>
  <c r="FL39" i="73"/>
  <c r="FN43" i="73"/>
  <c r="FL43" i="73"/>
  <c r="FN41" i="64"/>
  <c r="FL41" i="64"/>
  <c r="FL17" i="65"/>
  <c r="FN17" i="65"/>
  <c r="FN27" i="65"/>
  <c r="FL27" i="65"/>
  <c r="FN37" i="66"/>
  <c r="FL37" i="66"/>
  <c r="FN41" i="66"/>
  <c r="FL41" i="66"/>
  <c r="FL18" i="70"/>
  <c r="FN18" i="70"/>
  <c r="FN38" i="71"/>
  <c r="FL38" i="71"/>
  <c r="FN32" i="65"/>
  <c r="FL32" i="65"/>
  <c r="FN36" i="65"/>
  <c r="FL36" i="65"/>
  <c r="FN40" i="65"/>
  <c r="FL40" i="65"/>
  <c r="FL29" i="66"/>
  <c r="FN29" i="66"/>
  <c r="FL33" i="66"/>
  <c r="FN33" i="66"/>
  <c r="FN44" i="67"/>
  <c r="FL44" i="67"/>
  <c r="FN40" i="67"/>
  <c r="FL40" i="67"/>
  <c r="FN36" i="67"/>
  <c r="FL36" i="67"/>
  <c r="FN26" i="67"/>
  <c r="FL26" i="67"/>
  <c r="FN21" i="67"/>
  <c r="FL21" i="67"/>
  <c r="FN17" i="67"/>
  <c r="FL17" i="67"/>
  <c r="FN15" i="69"/>
  <c r="FL15" i="69"/>
  <c r="FL20" i="69"/>
  <c r="FN20" i="69"/>
  <c r="FL29" i="69"/>
  <c r="FN29" i="69"/>
  <c r="FN33" i="69"/>
  <c r="FL33" i="69"/>
  <c r="FL37" i="69"/>
  <c r="FN37" i="69"/>
  <c r="FN41" i="69"/>
  <c r="FL41" i="69"/>
  <c r="FN24" i="68"/>
  <c r="FL24" i="68"/>
  <c r="FL23" i="70"/>
  <c r="FN23" i="70"/>
  <c r="FL33" i="70"/>
  <c r="FN33" i="70"/>
  <c r="FN37" i="70"/>
  <c r="FL37" i="70"/>
  <c r="FN25" i="71"/>
  <c r="FL25" i="71"/>
  <c r="FL33" i="64"/>
  <c r="FN33" i="64"/>
  <c r="FL15" i="66"/>
  <c r="FN15" i="66"/>
  <c r="FN42" i="66"/>
  <c r="FL42" i="66"/>
  <c r="FN25" i="69"/>
  <c r="FL25" i="69"/>
  <c r="FN33" i="68"/>
  <c r="FL33" i="68"/>
  <c r="FN38" i="68"/>
  <c r="FL38" i="68"/>
  <c r="FL15" i="70"/>
  <c r="FN15" i="70"/>
  <c r="FL42" i="70"/>
  <c r="FN42" i="70"/>
  <c r="FN17" i="71"/>
  <c r="FL17" i="71"/>
  <c r="FN31" i="71"/>
  <c r="FL31" i="71"/>
  <c r="FL35" i="71"/>
  <c r="FN35" i="71"/>
  <c r="FN39" i="71"/>
  <c r="FL39" i="71"/>
  <c r="FL43" i="71"/>
  <c r="FN43" i="71"/>
  <c r="FL16" i="72"/>
  <c r="FN16" i="72"/>
  <c r="FN20" i="72"/>
  <c r="FL20" i="72"/>
  <c r="FN25" i="72"/>
  <c r="FL25" i="72"/>
  <c r="FN30" i="72"/>
  <c r="FL30" i="72"/>
  <c r="FN35" i="72"/>
  <c r="FL35" i="72"/>
  <c r="FN39" i="72"/>
  <c r="FL39" i="72"/>
  <c r="FN43" i="72"/>
  <c r="FL43" i="72"/>
  <c r="FL19" i="73"/>
  <c r="FN19" i="73"/>
  <c r="FN28" i="73"/>
  <c r="FL28" i="73"/>
  <c r="FN32" i="73"/>
  <c r="FL32" i="73"/>
  <c r="FN36" i="73"/>
  <c r="FL36" i="73"/>
  <c r="FN40" i="73"/>
  <c r="FL40" i="73"/>
  <c r="FN44" i="73"/>
  <c r="FL44" i="73"/>
  <c r="FL23" i="64"/>
  <c r="FN23" i="64"/>
  <c r="FN19" i="64"/>
  <c r="FL19" i="64"/>
  <c r="FN23" i="65"/>
  <c r="FL23" i="65"/>
  <c r="FN38" i="66"/>
  <c r="FL38" i="66"/>
  <c r="FL15" i="64"/>
  <c r="FN15" i="64"/>
  <c r="FL33" i="65"/>
  <c r="FN33" i="65"/>
  <c r="FN37" i="65"/>
  <c r="FL37" i="65"/>
  <c r="FL41" i="65"/>
  <c r="FN41" i="65"/>
  <c r="FL20" i="66"/>
  <c r="FN20" i="66"/>
  <c r="FN25" i="66"/>
  <c r="FL25" i="66"/>
  <c r="FL30" i="66"/>
  <c r="FN30" i="66"/>
  <c r="FN43" i="67"/>
  <c r="FL43" i="67"/>
  <c r="FN35" i="67"/>
  <c r="FL35" i="67"/>
  <c r="FN25" i="67"/>
  <c r="FL25" i="67"/>
  <c r="FN20" i="67"/>
  <c r="FL20" i="67"/>
  <c r="FN16" i="69"/>
  <c r="FL16" i="69"/>
  <c r="FN30" i="69"/>
  <c r="FL30" i="69"/>
  <c r="FN38" i="69"/>
  <c r="FL38" i="69"/>
  <c r="FN42" i="69"/>
  <c r="FL42" i="69"/>
  <c r="FN15" i="68"/>
  <c r="FL15" i="68"/>
  <c r="FN25" i="68"/>
  <c r="FL25" i="68"/>
  <c r="FL20" i="70"/>
  <c r="FN20" i="70"/>
  <c r="FL34" i="70"/>
  <c r="FN34" i="70"/>
  <c r="FN38" i="70"/>
  <c r="FL38" i="70"/>
  <c r="FN28" i="64"/>
  <c r="FL28" i="64"/>
  <c r="FL18" i="65"/>
  <c r="FN18" i="65"/>
  <c r="FL39" i="67"/>
  <c r="FN39" i="67"/>
  <c r="FN20" i="64"/>
  <c r="FL20" i="64"/>
  <c r="FN26" i="64"/>
  <c r="FL26" i="64"/>
  <c r="FN30" i="64"/>
  <c r="FL30" i="64"/>
  <c r="FN34" i="64"/>
  <c r="FL34" i="64"/>
  <c r="FN15" i="65"/>
  <c r="FL15" i="65"/>
  <c r="FN19" i="65"/>
  <c r="FL19" i="65"/>
  <c r="FN24" i="65"/>
  <c r="FL24" i="65"/>
  <c r="FN35" i="66"/>
  <c r="FL35" i="66"/>
  <c r="FL39" i="66"/>
  <c r="FN39" i="66"/>
  <c r="FN43" i="66"/>
  <c r="FL43" i="66"/>
  <c r="FL15" i="67"/>
  <c r="FN15" i="67"/>
  <c r="FN22" i="69"/>
  <c r="FL22" i="69"/>
  <c r="FN26" i="69"/>
  <c r="FL26" i="69"/>
  <c r="FN30" i="68"/>
  <c r="FL30" i="68"/>
  <c r="FL39" i="68"/>
  <c r="FN39" i="68"/>
  <c r="FL16" i="70"/>
  <c r="FN16" i="70"/>
  <c r="FN30" i="70"/>
  <c r="FL30" i="70"/>
  <c r="FN43" i="70"/>
  <c r="FL43" i="70"/>
  <c r="FN18" i="71"/>
  <c r="FL18" i="71"/>
  <c r="FN32" i="71"/>
  <c r="FL32" i="71"/>
  <c r="FN40" i="71"/>
  <c r="FL40" i="71"/>
  <c r="FL44" i="71"/>
  <c r="FN44" i="71"/>
  <c r="FL17" i="72"/>
  <c r="FN17" i="72"/>
  <c r="FN21" i="72"/>
  <c r="FL21" i="72"/>
  <c r="FN31" i="72"/>
  <c r="FL31" i="72"/>
  <c r="FN36" i="72"/>
  <c r="FL36" i="72"/>
  <c r="FN40" i="72"/>
  <c r="FL40" i="72"/>
  <c r="FL20" i="73"/>
  <c r="FN20" i="73"/>
  <c r="FN25" i="73"/>
  <c r="FL25" i="73"/>
  <c r="FL29" i="73"/>
  <c r="FN29" i="73"/>
  <c r="FN33" i="73"/>
  <c r="FL33" i="73"/>
  <c r="FN37" i="73"/>
  <c r="FL37" i="73"/>
  <c r="FL41" i="73"/>
  <c r="FN41" i="73"/>
  <c r="FL34" i="65"/>
  <c r="FN34" i="65"/>
  <c r="FN38" i="65"/>
  <c r="FL38" i="65"/>
  <c r="FL42" i="65"/>
  <c r="FN42" i="65"/>
  <c r="FN17" i="66"/>
  <c r="FL17" i="66"/>
  <c r="FN21" i="66"/>
  <c r="FL21" i="66"/>
  <c r="FN31" i="66"/>
  <c r="FL31" i="66"/>
  <c r="FN42" i="67"/>
  <c r="FL42" i="67"/>
  <c r="FL38" i="67"/>
  <c r="FN38" i="67"/>
  <c r="FN34" i="67"/>
  <c r="FL34" i="67"/>
  <c r="FN29" i="67"/>
  <c r="FL29" i="67"/>
  <c r="FN19" i="67"/>
  <c r="FL19" i="67"/>
  <c r="FN31" i="69"/>
  <c r="FL31" i="69"/>
  <c r="FN35" i="69"/>
  <c r="FL35" i="69"/>
  <c r="FN39" i="69"/>
  <c r="FL39" i="69"/>
  <c r="FN43" i="69"/>
  <c r="FL43" i="69"/>
  <c r="FN16" i="68"/>
  <c r="FL16" i="68"/>
  <c r="FN22" i="68"/>
  <c r="FL22" i="68"/>
  <c r="FN26" i="68"/>
  <c r="FL26" i="68"/>
  <c r="FL21" i="70"/>
  <c r="FN21" i="70"/>
  <c r="FN35" i="70"/>
  <c r="FL35" i="70"/>
  <c r="FL28" i="71"/>
  <c r="FN28" i="71"/>
  <c r="FN15" i="73"/>
  <c r="FL15" i="73"/>
  <c r="FN37" i="64"/>
  <c r="FL37" i="64"/>
  <c r="B15" i="47"/>
  <c r="P28" i="43"/>
  <c r="Z43" i="68"/>
  <c r="Z45" i="69"/>
  <c r="Z44" i="72"/>
  <c r="Z44" i="70"/>
  <c r="Z45" i="67"/>
  <c r="Z45" i="66"/>
  <c r="Z44" i="65"/>
  <c r="Z45" i="64"/>
  <c r="Q28" i="43" l="1"/>
  <c r="A16" i="47"/>
  <c r="Z15" i="63"/>
  <c r="Z16" i="63"/>
  <c r="Z17" i="63"/>
  <c r="Z18" i="63"/>
  <c r="Z19" i="63"/>
  <c r="Z20" i="63"/>
  <c r="Z21" i="63"/>
  <c r="Z22" i="63"/>
  <c r="Z23" i="63"/>
  <c r="Z24" i="63"/>
  <c r="Z25" i="63"/>
  <c r="Z26" i="63"/>
  <c r="Z27" i="63"/>
  <c r="Z28" i="63"/>
  <c r="Z29" i="63"/>
  <c r="Z30" i="63"/>
  <c r="Z31" i="63"/>
  <c r="Z32" i="63"/>
  <c r="Z33" i="63"/>
  <c r="Z34" i="63"/>
  <c r="Z35" i="63"/>
  <c r="Z36" i="63"/>
  <c r="Z37" i="63"/>
  <c r="Z38" i="63"/>
  <c r="Z39" i="63"/>
  <c r="Z40" i="63"/>
  <c r="Z41" i="63"/>
  <c r="Z42" i="63"/>
  <c r="Z43" i="63"/>
  <c r="Z14" i="63"/>
  <c r="G28" i="50"/>
  <c r="G37" i="50" s="1"/>
  <c r="G46" i="50" s="1"/>
  <c r="G55" i="50" s="1"/>
  <c r="H28" i="50"/>
  <c r="H37" i="50" s="1"/>
  <c r="H46" i="50" s="1"/>
  <c r="H55" i="50" s="1"/>
  <c r="F28" i="50"/>
  <c r="F37" i="50" s="1"/>
  <c r="F46" i="50" s="1"/>
  <c r="F55" i="50" s="1"/>
  <c r="D28" i="50"/>
  <c r="D37" i="50" s="1"/>
  <c r="D46" i="50" s="1"/>
  <c r="D55" i="50" s="1"/>
  <c r="E28" i="50"/>
  <c r="E37" i="50" s="1"/>
  <c r="E46" i="50" s="1"/>
  <c r="E55" i="50" s="1"/>
  <c r="C28" i="50"/>
  <c r="C37" i="50" s="1"/>
  <c r="C46" i="50" s="1"/>
  <c r="C55" i="50" s="1"/>
  <c r="B16" i="47" l="1"/>
  <c r="P29" i="43"/>
  <c r="Z44" i="63"/>
  <c r="Q29" i="43" l="1"/>
  <c r="A17" i="47"/>
  <c r="D2" i="46"/>
  <c r="A52" i="68"/>
  <c r="A55" i="41"/>
  <c r="A53" i="63"/>
  <c r="I107" i="43"/>
  <c r="A19" i="93" s="1"/>
  <c r="P30" i="43" l="1"/>
  <c r="B17" i="47"/>
  <c r="D23" i="74"/>
  <c r="Q30" i="43" l="1"/>
  <c r="A18" i="47"/>
  <c r="B7" i="50"/>
  <c r="M48" i="41"/>
  <c r="P31" i="43" l="1"/>
  <c r="B18" i="47"/>
  <c r="K77" i="44"/>
  <c r="I77" i="44"/>
  <c r="B78" i="44"/>
  <c r="B79" i="44"/>
  <c r="B80" i="44"/>
  <c r="B81" i="44"/>
  <c r="B77" i="44"/>
  <c r="K62" i="43"/>
  <c r="V62" i="43"/>
  <c r="U62" i="43"/>
  <c r="T62" i="43"/>
  <c r="S62" i="43"/>
  <c r="R62" i="43"/>
  <c r="Q62" i="43"/>
  <c r="P62" i="43"/>
  <c r="O62" i="43"/>
  <c r="N62" i="43"/>
  <c r="M62" i="43"/>
  <c r="L62" i="43"/>
  <c r="L107" i="43" s="1"/>
  <c r="A10" i="73"/>
  <c r="M47" i="73" s="1"/>
  <c r="A10" i="72"/>
  <c r="M46" i="72" s="1"/>
  <c r="A10" i="71"/>
  <c r="M47" i="71" s="1"/>
  <c r="A10" i="70"/>
  <c r="M46" i="70" s="1"/>
  <c r="A10" i="69"/>
  <c r="M47" i="69" s="1"/>
  <c r="A10" i="68"/>
  <c r="M45" i="68" s="1"/>
  <c r="A10" i="67"/>
  <c r="M47" i="67" s="1"/>
  <c r="A10" i="66"/>
  <c r="M47" i="66" s="1"/>
  <c r="A10" i="65"/>
  <c r="M46" i="65" s="1"/>
  <c r="A10" i="64"/>
  <c r="M47" i="64" s="1"/>
  <c r="M46" i="63"/>
  <c r="B14" i="1"/>
  <c r="G15" i="62"/>
  <c r="G31" i="50"/>
  <c r="G29" i="50"/>
  <c r="Q31" i="43" l="1"/>
  <c r="A19" i="47"/>
  <c r="V107" i="43"/>
  <c r="N107" i="43"/>
  <c r="O107" i="43"/>
  <c r="P107" i="43"/>
  <c r="Q107" i="43"/>
  <c r="K122" i="44"/>
  <c r="R107" i="43"/>
  <c r="K107" i="43"/>
  <c r="S107" i="43"/>
  <c r="T107" i="43"/>
  <c r="M107" i="43"/>
  <c r="U107" i="43"/>
  <c r="P32" i="43" l="1"/>
  <c r="B19" i="47"/>
  <c r="A11" i="73"/>
  <c r="A11" i="72"/>
  <c r="A11" i="70"/>
  <c r="A11" i="69"/>
  <c r="A11" i="68"/>
  <c r="A11" i="71"/>
  <c r="D69" i="73"/>
  <c r="D81" i="73"/>
  <c r="D79" i="73"/>
  <c r="D78" i="73"/>
  <c r="H49" i="73" s="1"/>
  <c r="D77" i="73"/>
  <c r="H50" i="73" s="1"/>
  <c r="D76" i="73"/>
  <c r="D75" i="73"/>
  <c r="D74" i="73"/>
  <c r="D73" i="73"/>
  <c r="D72" i="73"/>
  <c r="D71" i="73"/>
  <c r="D70" i="73"/>
  <c r="D69" i="72"/>
  <c r="D68" i="72"/>
  <c r="D80" i="72"/>
  <c r="D78" i="72"/>
  <c r="D77" i="72"/>
  <c r="H48" i="72" s="1"/>
  <c r="D76" i="72"/>
  <c r="H49" i="72" s="1"/>
  <c r="D75" i="72"/>
  <c r="D74" i="72"/>
  <c r="D73" i="72"/>
  <c r="D72" i="72"/>
  <c r="D71" i="72"/>
  <c r="D70" i="72"/>
  <c r="D69" i="71"/>
  <c r="D81" i="71"/>
  <c r="D79" i="71"/>
  <c r="D78" i="71"/>
  <c r="H49" i="71" s="1"/>
  <c r="D77" i="71"/>
  <c r="H50" i="71" s="1"/>
  <c r="D76" i="71"/>
  <c r="D75" i="71"/>
  <c r="D74" i="71"/>
  <c r="D73" i="71"/>
  <c r="D72" i="71"/>
  <c r="D71" i="71"/>
  <c r="D70" i="71"/>
  <c r="D68" i="70"/>
  <c r="D80" i="70"/>
  <c r="D78" i="70"/>
  <c r="D77" i="70"/>
  <c r="H48" i="70" s="1"/>
  <c r="D76" i="70"/>
  <c r="H49" i="70" s="1"/>
  <c r="D75" i="70"/>
  <c r="D74" i="70"/>
  <c r="D73" i="70"/>
  <c r="D72" i="70"/>
  <c r="D71" i="70"/>
  <c r="D70" i="70"/>
  <c r="D69" i="70"/>
  <c r="D69" i="69"/>
  <c r="D81" i="69"/>
  <c r="D79" i="69"/>
  <c r="D78" i="69"/>
  <c r="H49" i="69" s="1"/>
  <c r="D77" i="69"/>
  <c r="H50" i="69" s="1"/>
  <c r="D76" i="69"/>
  <c r="D75" i="69"/>
  <c r="D74" i="69"/>
  <c r="D73" i="69"/>
  <c r="D72" i="69"/>
  <c r="D71" i="69"/>
  <c r="D70" i="69"/>
  <c r="D77" i="68"/>
  <c r="D76" i="68"/>
  <c r="H47" i="68" s="1"/>
  <c r="D75" i="68"/>
  <c r="H48" i="68" s="1"/>
  <c r="D74" i="68"/>
  <c r="D73" i="68"/>
  <c r="D72" i="68"/>
  <c r="D71" i="68"/>
  <c r="D70" i="68"/>
  <c r="D69" i="68"/>
  <c r="D69" i="67"/>
  <c r="D81" i="67"/>
  <c r="D79" i="67"/>
  <c r="D78" i="67"/>
  <c r="D77" i="67"/>
  <c r="D76" i="67"/>
  <c r="D75" i="67"/>
  <c r="D74" i="67"/>
  <c r="D73" i="67"/>
  <c r="D72" i="67"/>
  <c r="D71" i="67"/>
  <c r="D70" i="67"/>
  <c r="D70" i="66"/>
  <c r="D69" i="66"/>
  <c r="D81" i="66"/>
  <c r="D79" i="66"/>
  <c r="D78" i="66"/>
  <c r="H49" i="66" s="1"/>
  <c r="D77" i="66"/>
  <c r="H50" i="66" s="1"/>
  <c r="D76" i="66"/>
  <c r="D75" i="66"/>
  <c r="D74" i="66"/>
  <c r="D73" i="66"/>
  <c r="D72" i="66"/>
  <c r="D71" i="66"/>
  <c r="D68" i="65"/>
  <c r="D80" i="65"/>
  <c r="D78" i="65"/>
  <c r="D77" i="65"/>
  <c r="H48" i="65" s="1"/>
  <c r="D76" i="65"/>
  <c r="H49" i="65" s="1"/>
  <c r="D75" i="65"/>
  <c r="D74" i="65"/>
  <c r="D73" i="65"/>
  <c r="D72" i="65"/>
  <c r="D71" i="65"/>
  <c r="D70" i="65"/>
  <c r="D69" i="65"/>
  <c r="D69" i="64"/>
  <c r="D81" i="64"/>
  <c r="D79" i="64"/>
  <c r="D78" i="64"/>
  <c r="H49" i="64" s="1"/>
  <c r="D77" i="64"/>
  <c r="H50" i="64" s="1"/>
  <c r="D76" i="64"/>
  <c r="D75" i="64"/>
  <c r="D74" i="64"/>
  <c r="D73" i="64"/>
  <c r="D72" i="64"/>
  <c r="D71" i="64"/>
  <c r="D70" i="64"/>
  <c r="D68" i="63"/>
  <c r="D80" i="63"/>
  <c r="D78" i="63"/>
  <c r="D77" i="63"/>
  <c r="H48" i="63" s="1"/>
  <c r="D76" i="63"/>
  <c r="H49" i="63" s="1"/>
  <c r="D75" i="63"/>
  <c r="D74" i="63"/>
  <c r="D73" i="63"/>
  <c r="D72" i="63"/>
  <c r="D71" i="63"/>
  <c r="D70" i="63"/>
  <c r="D69" i="63"/>
  <c r="AO93" i="73"/>
  <c r="BL93" i="73" s="1"/>
  <c r="AO92" i="73"/>
  <c r="BL92" i="73" s="1"/>
  <c r="AO91" i="73"/>
  <c r="BL91" i="73" s="1"/>
  <c r="AO90" i="73"/>
  <c r="BL90" i="73" s="1"/>
  <c r="Y80" i="73"/>
  <c r="A52" i="73"/>
  <c r="A51" i="73"/>
  <c r="A50" i="73"/>
  <c r="A49" i="73"/>
  <c r="A47" i="73"/>
  <c r="R45" i="73"/>
  <c r="DF44" i="73"/>
  <c r="DE44" i="73"/>
  <c r="DD44" i="73"/>
  <c r="DC44" i="73"/>
  <c r="DB44" i="73"/>
  <c r="DA44" i="73"/>
  <c r="CZ44" i="73"/>
  <c r="CY44" i="73"/>
  <c r="CC44" i="73"/>
  <c r="CB44" i="73"/>
  <c r="BF44" i="73"/>
  <c r="BE44" i="73"/>
  <c r="BD44" i="73"/>
  <c r="BC44" i="73"/>
  <c r="AE44" i="73"/>
  <c r="AD44" i="73"/>
  <c r="AC44" i="73"/>
  <c r="AB44" i="73"/>
  <c r="AA44" i="73"/>
  <c r="DF43" i="73"/>
  <c r="DE43" i="73"/>
  <c r="DD43" i="73"/>
  <c r="DC43" i="73"/>
  <c r="DB43" i="73"/>
  <c r="DA43" i="73"/>
  <c r="CZ43" i="73"/>
  <c r="CY43" i="73"/>
  <c r="CC43" i="73"/>
  <c r="CB43" i="73"/>
  <c r="BF43" i="73"/>
  <c r="BE43" i="73"/>
  <c r="BD43" i="73"/>
  <c r="BC43" i="73"/>
  <c r="AE43" i="73"/>
  <c r="AD43" i="73"/>
  <c r="AC43" i="73"/>
  <c r="AB43" i="73"/>
  <c r="AA43" i="73"/>
  <c r="DF42" i="73"/>
  <c r="DE42" i="73"/>
  <c r="DD42" i="73"/>
  <c r="DC42" i="73"/>
  <c r="DB42" i="73"/>
  <c r="DA42" i="73"/>
  <c r="CZ42" i="73"/>
  <c r="CY42" i="73"/>
  <c r="CC42" i="73"/>
  <c r="CB42" i="73"/>
  <c r="BF42" i="73"/>
  <c r="BE42" i="73"/>
  <c r="BD42" i="73"/>
  <c r="BC42" i="73"/>
  <c r="AE42" i="73"/>
  <c r="AD42" i="73"/>
  <c r="AC42" i="73"/>
  <c r="AB42" i="73"/>
  <c r="AA42" i="73"/>
  <c r="DF41" i="73"/>
  <c r="DE41" i="73"/>
  <c r="DD41" i="73"/>
  <c r="DC41" i="73"/>
  <c r="DB41" i="73"/>
  <c r="DA41" i="73"/>
  <c r="CZ41" i="73"/>
  <c r="CY41" i="73"/>
  <c r="CC41" i="73"/>
  <c r="CB41" i="73"/>
  <c r="BF41" i="73"/>
  <c r="BE41" i="73"/>
  <c r="BD41" i="73"/>
  <c r="BC41" i="73"/>
  <c r="AE41" i="73"/>
  <c r="AD41" i="73"/>
  <c r="AC41" i="73"/>
  <c r="AB41" i="73"/>
  <c r="AA41" i="73"/>
  <c r="DF40" i="73"/>
  <c r="DE40" i="73"/>
  <c r="DD40" i="73"/>
  <c r="DC40" i="73"/>
  <c r="DB40" i="73"/>
  <c r="DA40" i="73"/>
  <c r="CZ40" i="73"/>
  <c r="CY40" i="73"/>
  <c r="CC40" i="73"/>
  <c r="CB40" i="73"/>
  <c r="BF40" i="73"/>
  <c r="BE40" i="73"/>
  <c r="BD40" i="73"/>
  <c r="BC40" i="73"/>
  <c r="AE40" i="73"/>
  <c r="AD40" i="73"/>
  <c r="AC40" i="73"/>
  <c r="AB40" i="73"/>
  <c r="AA40" i="73"/>
  <c r="DF39" i="73"/>
  <c r="DE39" i="73"/>
  <c r="DD39" i="73"/>
  <c r="DC39" i="73"/>
  <c r="DB39" i="73"/>
  <c r="DA39" i="73"/>
  <c r="CZ39" i="73"/>
  <c r="CY39" i="73"/>
  <c r="CC39" i="73"/>
  <c r="CB39" i="73"/>
  <c r="BF39" i="73"/>
  <c r="BE39" i="73"/>
  <c r="BD39" i="73"/>
  <c r="BC39" i="73"/>
  <c r="AE39" i="73"/>
  <c r="AD39" i="73"/>
  <c r="AC39" i="73"/>
  <c r="AB39" i="73"/>
  <c r="AA39" i="73"/>
  <c r="DF38" i="73"/>
  <c r="DE38" i="73"/>
  <c r="DD38" i="73"/>
  <c r="DC38" i="73"/>
  <c r="DB38" i="73"/>
  <c r="DA38" i="73"/>
  <c r="CZ38" i="73"/>
  <c r="CY38" i="73"/>
  <c r="CC38" i="73"/>
  <c r="CB38" i="73"/>
  <c r="BF38" i="73"/>
  <c r="BE38" i="73"/>
  <c r="BD38" i="73"/>
  <c r="BC38" i="73"/>
  <c r="AE38" i="73"/>
  <c r="AD38" i="73"/>
  <c r="AC38" i="73"/>
  <c r="AB38" i="73"/>
  <c r="AA38" i="73"/>
  <c r="DF37" i="73"/>
  <c r="DE37" i="73"/>
  <c r="DD37" i="73"/>
  <c r="DC37" i="73"/>
  <c r="DB37" i="73"/>
  <c r="DA37" i="73"/>
  <c r="CZ37" i="73"/>
  <c r="CY37" i="73"/>
  <c r="CC37" i="73"/>
  <c r="CB37" i="73"/>
  <c r="BF37" i="73"/>
  <c r="BE37" i="73"/>
  <c r="BD37" i="73"/>
  <c r="BC37" i="73"/>
  <c r="AE37" i="73"/>
  <c r="AD37" i="73"/>
  <c r="AC37" i="73"/>
  <c r="AB37" i="73"/>
  <c r="AA37" i="73"/>
  <c r="DF36" i="73"/>
  <c r="DE36" i="73"/>
  <c r="DD36" i="73"/>
  <c r="DC36" i="73"/>
  <c r="DB36" i="73"/>
  <c r="DA36" i="73"/>
  <c r="CZ36" i="73"/>
  <c r="CY36" i="73"/>
  <c r="CC36" i="73"/>
  <c r="CB36" i="73"/>
  <c r="BF36" i="73"/>
  <c r="BE36" i="73"/>
  <c r="BD36" i="73"/>
  <c r="BC36" i="73"/>
  <c r="AE36" i="73"/>
  <c r="AD36" i="73"/>
  <c r="AC36" i="73"/>
  <c r="AB36" i="73"/>
  <c r="AA36" i="73"/>
  <c r="DF35" i="73"/>
  <c r="DE35" i="73"/>
  <c r="DD35" i="73"/>
  <c r="DC35" i="73"/>
  <c r="DB35" i="73"/>
  <c r="DA35" i="73"/>
  <c r="CZ35" i="73"/>
  <c r="CY35" i="73"/>
  <c r="CC35" i="73"/>
  <c r="CB35" i="73"/>
  <c r="BF35" i="73"/>
  <c r="BE35" i="73"/>
  <c r="BD35" i="73"/>
  <c r="BC35" i="73"/>
  <c r="AE35" i="73"/>
  <c r="AD35" i="73"/>
  <c r="AC35" i="73"/>
  <c r="AB35" i="73"/>
  <c r="AA35" i="73"/>
  <c r="DF34" i="73"/>
  <c r="DE34" i="73"/>
  <c r="DD34" i="73"/>
  <c r="DC34" i="73"/>
  <c r="DB34" i="73"/>
  <c r="DA34" i="73"/>
  <c r="CZ34" i="73"/>
  <c r="CY34" i="73"/>
  <c r="CC34" i="73"/>
  <c r="CB34" i="73"/>
  <c r="BF34" i="73"/>
  <c r="BE34" i="73"/>
  <c r="BD34" i="73"/>
  <c r="BC34" i="73"/>
  <c r="AE34" i="73"/>
  <c r="AD34" i="73"/>
  <c r="AC34" i="73"/>
  <c r="AB34" i="73"/>
  <c r="AA34" i="73"/>
  <c r="DF33" i="73"/>
  <c r="DE33" i="73"/>
  <c r="DD33" i="73"/>
  <c r="DC33" i="73"/>
  <c r="DB33" i="73"/>
  <c r="DA33" i="73"/>
  <c r="CZ33" i="73"/>
  <c r="CY33" i="73"/>
  <c r="CC33" i="73"/>
  <c r="CB33" i="73"/>
  <c r="BF33" i="73"/>
  <c r="BE33" i="73"/>
  <c r="BD33" i="73"/>
  <c r="BC33" i="73"/>
  <c r="AE33" i="73"/>
  <c r="AD33" i="73"/>
  <c r="AC33" i="73"/>
  <c r="AB33" i="73"/>
  <c r="AA33" i="73"/>
  <c r="DF32" i="73"/>
  <c r="DE32" i="73"/>
  <c r="DD32" i="73"/>
  <c r="DC32" i="73"/>
  <c r="DB32" i="73"/>
  <c r="DA32" i="73"/>
  <c r="CZ32" i="73"/>
  <c r="CY32" i="73"/>
  <c r="CC32" i="73"/>
  <c r="CB32" i="73"/>
  <c r="BF32" i="73"/>
  <c r="BE32" i="73"/>
  <c r="BD32" i="73"/>
  <c r="BC32" i="73"/>
  <c r="AE32" i="73"/>
  <c r="AD32" i="73"/>
  <c r="AC32" i="73"/>
  <c r="AB32" i="73"/>
  <c r="AA32" i="73"/>
  <c r="DF31" i="73"/>
  <c r="DE31" i="73"/>
  <c r="DD31" i="73"/>
  <c r="DC31" i="73"/>
  <c r="DB31" i="73"/>
  <c r="DA31" i="73"/>
  <c r="CZ31" i="73"/>
  <c r="CY31" i="73"/>
  <c r="CC31" i="73"/>
  <c r="CB31" i="73"/>
  <c r="BF31" i="73"/>
  <c r="BE31" i="73"/>
  <c r="BD31" i="73"/>
  <c r="BC31" i="73"/>
  <c r="AE31" i="73"/>
  <c r="AD31" i="73"/>
  <c r="AC31" i="73"/>
  <c r="AB31" i="73"/>
  <c r="AA31" i="73"/>
  <c r="DF30" i="73"/>
  <c r="DE30" i="73"/>
  <c r="DD30" i="73"/>
  <c r="DC30" i="73"/>
  <c r="DB30" i="73"/>
  <c r="DA30" i="73"/>
  <c r="CZ30" i="73"/>
  <c r="CY30" i="73"/>
  <c r="CC30" i="73"/>
  <c r="CB30" i="73"/>
  <c r="BF30" i="73"/>
  <c r="BE30" i="73"/>
  <c r="BD30" i="73"/>
  <c r="BC30" i="73"/>
  <c r="AE30" i="73"/>
  <c r="AD30" i="73"/>
  <c r="AC30" i="73"/>
  <c r="AB30" i="73"/>
  <c r="AA30" i="73"/>
  <c r="DF29" i="73"/>
  <c r="DE29" i="73"/>
  <c r="DD29" i="73"/>
  <c r="DC29" i="73"/>
  <c r="DB29" i="73"/>
  <c r="DA29" i="73"/>
  <c r="CZ29" i="73"/>
  <c r="CY29" i="73"/>
  <c r="CC29" i="73"/>
  <c r="CB29" i="73"/>
  <c r="BF29" i="73"/>
  <c r="BE29" i="73"/>
  <c r="BD29" i="73"/>
  <c r="BC29" i="73"/>
  <c r="AE29" i="73"/>
  <c r="AD29" i="73"/>
  <c r="AC29" i="73"/>
  <c r="AB29" i="73"/>
  <c r="AA29" i="73"/>
  <c r="DF28" i="73"/>
  <c r="DE28" i="73"/>
  <c r="DD28" i="73"/>
  <c r="DC28" i="73"/>
  <c r="DB28" i="73"/>
  <c r="DA28" i="73"/>
  <c r="CZ28" i="73"/>
  <c r="CY28" i="73"/>
  <c r="CC28" i="73"/>
  <c r="CB28" i="73"/>
  <c r="BF28" i="73"/>
  <c r="BE28" i="73"/>
  <c r="BD28" i="73"/>
  <c r="BC28" i="73"/>
  <c r="AE28" i="73"/>
  <c r="AD28" i="73"/>
  <c r="AC28" i="73"/>
  <c r="AB28" i="73"/>
  <c r="AA28" i="73"/>
  <c r="DF27" i="73"/>
  <c r="DE27" i="73"/>
  <c r="DD27" i="73"/>
  <c r="DC27" i="73"/>
  <c r="DB27" i="73"/>
  <c r="DA27" i="73"/>
  <c r="CZ27" i="73"/>
  <c r="CY27" i="73"/>
  <c r="CC27" i="73"/>
  <c r="CB27" i="73"/>
  <c r="BF27" i="73"/>
  <c r="BE27" i="73"/>
  <c r="BD27" i="73"/>
  <c r="BC27" i="73"/>
  <c r="AE27" i="73"/>
  <c r="AD27" i="73"/>
  <c r="AC27" i="73"/>
  <c r="AB27" i="73"/>
  <c r="AA27" i="73"/>
  <c r="DF26" i="73"/>
  <c r="DE26" i="73"/>
  <c r="DD26" i="73"/>
  <c r="DC26" i="73"/>
  <c r="DB26" i="73"/>
  <c r="DA26" i="73"/>
  <c r="CZ26" i="73"/>
  <c r="CY26" i="73"/>
  <c r="CC26" i="73"/>
  <c r="CB26" i="73"/>
  <c r="BF26" i="73"/>
  <c r="BE26" i="73"/>
  <c r="BD26" i="73"/>
  <c r="BC26" i="73"/>
  <c r="AE26" i="73"/>
  <c r="AD26" i="73"/>
  <c r="AC26" i="73"/>
  <c r="AB26" i="73"/>
  <c r="AA26" i="73"/>
  <c r="DF25" i="73"/>
  <c r="DE25" i="73"/>
  <c r="DD25" i="73"/>
  <c r="DC25" i="73"/>
  <c r="DB25" i="73"/>
  <c r="DA25" i="73"/>
  <c r="CZ25" i="73"/>
  <c r="CY25" i="73"/>
  <c r="CC25" i="73"/>
  <c r="CB25" i="73"/>
  <c r="BF25" i="73"/>
  <c r="BE25" i="73"/>
  <c r="BD25" i="73"/>
  <c r="BC25" i="73"/>
  <c r="AE25" i="73"/>
  <c r="AD25" i="73"/>
  <c r="AC25" i="73"/>
  <c r="AB25" i="73"/>
  <c r="AA25" i="73"/>
  <c r="DF24" i="73"/>
  <c r="DE24" i="73"/>
  <c r="DD24" i="73"/>
  <c r="DC24" i="73"/>
  <c r="DB24" i="73"/>
  <c r="DA24" i="73"/>
  <c r="CZ24" i="73"/>
  <c r="CY24" i="73"/>
  <c r="CC24" i="73"/>
  <c r="CB24" i="73"/>
  <c r="BF24" i="73"/>
  <c r="BE24" i="73"/>
  <c r="BD24" i="73"/>
  <c r="BC24" i="73"/>
  <c r="AE24" i="73"/>
  <c r="AD24" i="73"/>
  <c r="AC24" i="73"/>
  <c r="AB24" i="73"/>
  <c r="AA24" i="73"/>
  <c r="DF23" i="73"/>
  <c r="DE23" i="73"/>
  <c r="DD23" i="73"/>
  <c r="DC23" i="73"/>
  <c r="DB23" i="73"/>
  <c r="DA23" i="73"/>
  <c r="CZ23" i="73"/>
  <c r="CY23" i="73"/>
  <c r="CC23" i="73"/>
  <c r="CB23" i="73"/>
  <c r="BF23" i="73"/>
  <c r="BE23" i="73"/>
  <c r="BD23" i="73"/>
  <c r="BC23" i="73"/>
  <c r="AE23" i="73"/>
  <c r="AD23" i="73"/>
  <c r="AC23" i="73"/>
  <c r="AB23" i="73"/>
  <c r="AA23" i="73"/>
  <c r="DF22" i="73"/>
  <c r="DE22" i="73"/>
  <c r="DD22" i="73"/>
  <c r="DC22" i="73"/>
  <c r="DB22" i="73"/>
  <c r="DA22" i="73"/>
  <c r="CZ22" i="73"/>
  <c r="CY22" i="73"/>
  <c r="CC22" i="73"/>
  <c r="CB22" i="73"/>
  <c r="BF22" i="73"/>
  <c r="BE22" i="73"/>
  <c r="BD22" i="73"/>
  <c r="BC22" i="73"/>
  <c r="AE22" i="73"/>
  <c r="AD22" i="73"/>
  <c r="AC22" i="73"/>
  <c r="AB22" i="73"/>
  <c r="AA22" i="73"/>
  <c r="DF21" i="73"/>
  <c r="DE21" i="73"/>
  <c r="DD21" i="73"/>
  <c r="DC21" i="73"/>
  <c r="DB21" i="73"/>
  <c r="DA21" i="73"/>
  <c r="CZ21" i="73"/>
  <c r="CY21" i="73"/>
  <c r="CC21" i="73"/>
  <c r="CB21" i="73"/>
  <c r="BF21" i="73"/>
  <c r="BE21" i="73"/>
  <c r="BD21" i="73"/>
  <c r="BC21" i="73"/>
  <c r="AE21" i="73"/>
  <c r="AD21" i="73"/>
  <c r="AC21" i="73"/>
  <c r="AB21" i="73"/>
  <c r="AA21" i="73"/>
  <c r="DF20" i="73"/>
  <c r="DE20" i="73"/>
  <c r="DD20" i="73"/>
  <c r="DC20" i="73"/>
  <c r="DB20" i="73"/>
  <c r="DA20" i="73"/>
  <c r="CZ20" i="73"/>
  <c r="CY20" i="73"/>
  <c r="CC20" i="73"/>
  <c r="CB20" i="73"/>
  <c r="BF20" i="73"/>
  <c r="BE20" i="73"/>
  <c r="BD20" i="73"/>
  <c r="BC20" i="73"/>
  <c r="AE20" i="73"/>
  <c r="AD20" i="73"/>
  <c r="AC20" i="73"/>
  <c r="AB20" i="73"/>
  <c r="AA20" i="73"/>
  <c r="DF19" i="73"/>
  <c r="DE19" i="73"/>
  <c r="DD19" i="73"/>
  <c r="DC19" i="73"/>
  <c r="DB19" i="73"/>
  <c r="DA19" i="73"/>
  <c r="CZ19" i="73"/>
  <c r="CY19" i="73"/>
  <c r="CC19" i="73"/>
  <c r="CB19" i="73"/>
  <c r="BF19" i="73"/>
  <c r="BE19" i="73"/>
  <c r="BD19" i="73"/>
  <c r="BC19" i="73"/>
  <c r="AE19" i="73"/>
  <c r="AD19" i="73"/>
  <c r="AC19" i="73"/>
  <c r="AB19" i="73"/>
  <c r="AA19" i="73"/>
  <c r="DF18" i="73"/>
  <c r="DE18" i="73"/>
  <c r="DD18" i="73"/>
  <c r="DC18" i="73"/>
  <c r="DB18" i="73"/>
  <c r="DA18" i="73"/>
  <c r="CZ18" i="73"/>
  <c r="CY18" i="73"/>
  <c r="CC18" i="73"/>
  <c r="CB18" i="73"/>
  <c r="BF18" i="73"/>
  <c r="BE18" i="73"/>
  <c r="BD18" i="73"/>
  <c r="BC18" i="73"/>
  <c r="AE18" i="73"/>
  <c r="AD18" i="73"/>
  <c r="AC18" i="73"/>
  <c r="AB18" i="73"/>
  <c r="AA18" i="73"/>
  <c r="DF17" i="73"/>
  <c r="DE17" i="73"/>
  <c r="DD17" i="73"/>
  <c r="DC17" i="73"/>
  <c r="DB17" i="73"/>
  <c r="DA17" i="73"/>
  <c r="CZ17" i="73"/>
  <c r="CY17" i="73"/>
  <c r="CC17" i="73"/>
  <c r="CB17" i="73"/>
  <c r="BF17" i="73"/>
  <c r="BE17" i="73"/>
  <c r="BD17" i="73"/>
  <c r="BC17" i="73"/>
  <c r="AE17" i="73"/>
  <c r="AD17" i="73"/>
  <c r="AC17" i="73"/>
  <c r="AB17" i="73"/>
  <c r="AA17" i="73"/>
  <c r="DF16" i="73"/>
  <c r="DE16" i="73"/>
  <c r="DD16" i="73"/>
  <c r="DC16" i="73"/>
  <c r="DB16" i="73"/>
  <c r="DA16" i="73"/>
  <c r="CZ16" i="73"/>
  <c r="CY16" i="73"/>
  <c r="CC16" i="73"/>
  <c r="CB16" i="73"/>
  <c r="BF16" i="73"/>
  <c r="BE16" i="73"/>
  <c r="BD16" i="73"/>
  <c r="BC16" i="73"/>
  <c r="AE16" i="73"/>
  <c r="AD16" i="73"/>
  <c r="AC16" i="73"/>
  <c r="AB16" i="73"/>
  <c r="AA16" i="73"/>
  <c r="DF15" i="73"/>
  <c r="DE15" i="73"/>
  <c r="DD15" i="73"/>
  <c r="DC15" i="73"/>
  <c r="DB15" i="73"/>
  <c r="DA15" i="73"/>
  <c r="CZ15" i="73"/>
  <c r="CY15" i="73"/>
  <c r="CC15" i="73"/>
  <c r="CB15" i="73"/>
  <c r="BF15" i="73"/>
  <c r="BE15" i="73"/>
  <c r="BD15" i="73"/>
  <c r="BC15" i="73"/>
  <c r="AE15" i="73"/>
  <c r="AD15" i="73"/>
  <c r="AC15" i="73"/>
  <c r="AB15" i="73"/>
  <c r="AA15" i="73"/>
  <c r="DF14" i="73"/>
  <c r="DE14" i="73"/>
  <c r="DD14" i="73"/>
  <c r="DC14" i="73"/>
  <c r="DB14" i="73"/>
  <c r="DA14" i="73"/>
  <c r="CZ14" i="73"/>
  <c r="CY14" i="73"/>
  <c r="CC14" i="73"/>
  <c r="CB14" i="73"/>
  <c r="BF14" i="73"/>
  <c r="BE14" i="73"/>
  <c r="BD14" i="73"/>
  <c r="BC14" i="73"/>
  <c r="AE14" i="73"/>
  <c r="AD14" i="73"/>
  <c r="AC14" i="73"/>
  <c r="AB14" i="73"/>
  <c r="AA14" i="73"/>
  <c r="A14" i="73"/>
  <c r="AO92" i="72"/>
  <c r="BL92" i="72" s="1"/>
  <c r="AO91" i="72"/>
  <c r="BL91" i="72" s="1"/>
  <c r="AO90" i="72"/>
  <c r="BL90" i="72" s="1"/>
  <c r="AO89" i="72"/>
  <c r="BL89" i="72" s="1"/>
  <c r="A51" i="72"/>
  <c r="A50" i="72"/>
  <c r="A49" i="72"/>
  <c r="A48" i="72"/>
  <c r="A46" i="72"/>
  <c r="R44" i="72"/>
  <c r="DF43" i="72"/>
  <c r="DE43" i="72"/>
  <c r="DD43" i="72"/>
  <c r="DC43" i="72"/>
  <c r="DB43" i="72"/>
  <c r="DA43" i="72"/>
  <c r="CZ43" i="72"/>
  <c r="CY43" i="72"/>
  <c r="CC43" i="72"/>
  <c r="CB43" i="72"/>
  <c r="BF43" i="72"/>
  <c r="BE43" i="72"/>
  <c r="BD43" i="72"/>
  <c r="BC43" i="72"/>
  <c r="AE43" i="72"/>
  <c r="AD43" i="72"/>
  <c r="AC43" i="72"/>
  <c r="AB43" i="72"/>
  <c r="AA43" i="72"/>
  <c r="DF42" i="72"/>
  <c r="DE42" i="72"/>
  <c r="DD42" i="72"/>
  <c r="DC42" i="72"/>
  <c r="DB42" i="72"/>
  <c r="DA42" i="72"/>
  <c r="CZ42" i="72"/>
  <c r="CY42" i="72"/>
  <c r="CC42" i="72"/>
  <c r="CB42" i="72"/>
  <c r="BF42" i="72"/>
  <c r="BE42" i="72"/>
  <c r="BD42" i="72"/>
  <c r="BC42" i="72"/>
  <c r="AE42" i="72"/>
  <c r="AD42" i="72"/>
  <c r="AC42" i="72"/>
  <c r="AB42" i="72"/>
  <c r="AA42" i="72"/>
  <c r="DF41" i="72"/>
  <c r="DE41" i="72"/>
  <c r="DD41" i="72"/>
  <c r="DC41" i="72"/>
  <c r="DB41" i="72"/>
  <c r="DA41" i="72"/>
  <c r="CZ41" i="72"/>
  <c r="CY41" i="72"/>
  <c r="CC41" i="72"/>
  <c r="CB41" i="72"/>
  <c r="BF41" i="72"/>
  <c r="BE41" i="72"/>
  <c r="BD41" i="72"/>
  <c r="BC41" i="72"/>
  <c r="AE41" i="72"/>
  <c r="AD41" i="72"/>
  <c r="AC41" i="72"/>
  <c r="AB41" i="72"/>
  <c r="AA41" i="72"/>
  <c r="DF40" i="72"/>
  <c r="DE40" i="72"/>
  <c r="DD40" i="72"/>
  <c r="DC40" i="72"/>
  <c r="DB40" i="72"/>
  <c r="DA40" i="72"/>
  <c r="CZ40" i="72"/>
  <c r="CY40" i="72"/>
  <c r="CC40" i="72"/>
  <c r="CB40" i="72"/>
  <c r="BF40" i="72"/>
  <c r="BE40" i="72"/>
  <c r="BD40" i="72"/>
  <c r="BC40" i="72"/>
  <c r="AE40" i="72"/>
  <c r="AD40" i="72"/>
  <c r="AC40" i="72"/>
  <c r="AB40" i="72"/>
  <c r="AA40" i="72"/>
  <c r="DF39" i="72"/>
  <c r="DE39" i="72"/>
  <c r="DD39" i="72"/>
  <c r="DC39" i="72"/>
  <c r="DB39" i="72"/>
  <c r="DA39" i="72"/>
  <c r="CZ39" i="72"/>
  <c r="CY39" i="72"/>
  <c r="CC39" i="72"/>
  <c r="CB39" i="72"/>
  <c r="BF39" i="72"/>
  <c r="BE39" i="72"/>
  <c r="BD39" i="72"/>
  <c r="BC39" i="72"/>
  <c r="AE39" i="72"/>
  <c r="AD39" i="72"/>
  <c r="AC39" i="72"/>
  <c r="AB39" i="72"/>
  <c r="AA39" i="72"/>
  <c r="DF38" i="72"/>
  <c r="DE38" i="72"/>
  <c r="DD38" i="72"/>
  <c r="DC38" i="72"/>
  <c r="DB38" i="72"/>
  <c r="DA38" i="72"/>
  <c r="CZ38" i="72"/>
  <c r="CY38" i="72"/>
  <c r="CC38" i="72"/>
  <c r="CB38" i="72"/>
  <c r="BF38" i="72"/>
  <c r="BE38" i="72"/>
  <c r="BD38" i="72"/>
  <c r="BC38" i="72"/>
  <c r="AE38" i="72"/>
  <c r="AD38" i="72"/>
  <c r="AC38" i="72"/>
  <c r="AB38" i="72"/>
  <c r="AA38" i="72"/>
  <c r="DF37" i="72"/>
  <c r="DE37" i="72"/>
  <c r="DD37" i="72"/>
  <c r="DC37" i="72"/>
  <c r="DB37" i="72"/>
  <c r="DA37" i="72"/>
  <c r="CZ37" i="72"/>
  <c r="CY37" i="72"/>
  <c r="CC37" i="72"/>
  <c r="CB37" i="72"/>
  <c r="BF37" i="72"/>
  <c r="BE37" i="72"/>
  <c r="BD37" i="72"/>
  <c r="BC37" i="72"/>
  <c r="AE37" i="72"/>
  <c r="AD37" i="72"/>
  <c r="AC37" i="72"/>
  <c r="AB37" i="72"/>
  <c r="AA37" i="72"/>
  <c r="DF36" i="72"/>
  <c r="DE36" i="72"/>
  <c r="DD36" i="72"/>
  <c r="DC36" i="72"/>
  <c r="DB36" i="72"/>
  <c r="DA36" i="72"/>
  <c r="CZ36" i="72"/>
  <c r="CY36" i="72"/>
  <c r="CC36" i="72"/>
  <c r="CB36" i="72"/>
  <c r="BF36" i="72"/>
  <c r="BE36" i="72"/>
  <c r="BD36" i="72"/>
  <c r="BC36" i="72"/>
  <c r="AE36" i="72"/>
  <c r="AD36" i="72"/>
  <c r="AC36" i="72"/>
  <c r="AB36" i="72"/>
  <c r="AA36" i="72"/>
  <c r="DF35" i="72"/>
  <c r="DE35" i="72"/>
  <c r="DD35" i="72"/>
  <c r="DC35" i="72"/>
  <c r="DB35" i="72"/>
  <c r="DA35" i="72"/>
  <c r="CZ35" i="72"/>
  <c r="CY35" i="72"/>
  <c r="CC35" i="72"/>
  <c r="CB35" i="72"/>
  <c r="BF35" i="72"/>
  <c r="BE35" i="72"/>
  <c r="BD35" i="72"/>
  <c r="BC35" i="72"/>
  <c r="AE35" i="72"/>
  <c r="AD35" i="72"/>
  <c r="AC35" i="72"/>
  <c r="AB35" i="72"/>
  <c r="AA35" i="72"/>
  <c r="DF34" i="72"/>
  <c r="DE34" i="72"/>
  <c r="DD34" i="72"/>
  <c r="DC34" i="72"/>
  <c r="DB34" i="72"/>
  <c r="DA34" i="72"/>
  <c r="CZ34" i="72"/>
  <c r="CY34" i="72"/>
  <c r="CC34" i="72"/>
  <c r="CB34" i="72"/>
  <c r="BF34" i="72"/>
  <c r="BE34" i="72"/>
  <c r="BD34" i="72"/>
  <c r="BC34" i="72"/>
  <c r="AE34" i="72"/>
  <c r="AD34" i="72"/>
  <c r="AC34" i="72"/>
  <c r="AB34" i="72"/>
  <c r="AA34" i="72"/>
  <c r="DF33" i="72"/>
  <c r="DE33" i="72"/>
  <c r="DD33" i="72"/>
  <c r="DC33" i="72"/>
  <c r="DB33" i="72"/>
  <c r="DA33" i="72"/>
  <c r="CZ33" i="72"/>
  <c r="CY33" i="72"/>
  <c r="CC33" i="72"/>
  <c r="CB33" i="72"/>
  <c r="BF33" i="72"/>
  <c r="BE33" i="72"/>
  <c r="BD33" i="72"/>
  <c r="BC33" i="72"/>
  <c r="AE33" i="72"/>
  <c r="AD33" i="72"/>
  <c r="AC33" i="72"/>
  <c r="AB33" i="72"/>
  <c r="AA33" i="72"/>
  <c r="DF32" i="72"/>
  <c r="DE32" i="72"/>
  <c r="DD32" i="72"/>
  <c r="DC32" i="72"/>
  <c r="DB32" i="72"/>
  <c r="DA32" i="72"/>
  <c r="CZ32" i="72"/>
  <c r="CY32" i="72"/>
  <c r="CC32" i="72"/>
  <c r="CB32" i="72"/>
  <c r="BF32" i="72"/>
  <c r="BE32" i="72"/>
  <c r="BD32" i="72"/>
  <c r="BC32" i="72"/>
  <c r="AE32" i="72"/>
  <c r="AD32" i="72"/>
  <c r="AC32" i="72"/>
  <c r="AB32" i="72"/>
  <c r="AA32" i="72"/>
  <c r="DF31" i="72"/>
  <c r="DE31" i="72"/>
  <c r="DD31" i="72"/>
  <c r="DC31" i="72"/>
  <c r="DB31" i="72"/>
  <c r="DA31" i="72"/>
  <c r="CZ31" i="72"/>
  <c r="CY31" i="72"/>
  <c r="CC31" i="72"/>
  <c r="CB31" i="72"/>
  <c r="BF31" i="72"/>
  <c r="BE31" i="72"/>
  <c r="BD31" i="72"/>
  <c r="BC31" i="72"/>
  <c r="AE31" i="72"/>
  <c r="AD31" i="72"/>
  <c r="AC31" i="72"/>
  <c r="AB31" i="72"/>
  <c r="AA31" i="72"/>
  <c r="DF30" i="72"/>
  <c r="DE30" i="72"/>
  <c r="DD30" i="72"/>
  <c r="DC30" i="72"/>
  <c r="DB30" i="72"/>
  <c r="DA30" i="72"/>
  <c r="CZ30" i="72"/>
  <c r="CY30" i="72"/>
  <c r="CC30" i="72"/>
  <c r="CB30" i="72"/>
  <c r="BF30" i="72"/>
  <c r="BE30" i="72"/>
  <c r="BD30" i="72"/>
  <c r="BC30" i="72"/>
  <c r="AE30" i="72"/>
  <c r="AD30" i="72"/>
  <c r="AC30" i="72"/>
  <c r="AB30" i="72"/>
  <c r="AA30" i="72"/>
  <c r="DF29" i="72"/>
  <c r="DE29" i="72"/>
  <c r="DD29" i="72"/>
  <c r="DC29" i="72"/>
  <c r="DB29" i="72"/>
  <c r="DA29" i="72"/>
  <c r="CZ29" i="72"/>
  <c r="CY29" i="72"/>
  <c r="CC29" i="72"/>
  <c r="CB29" i="72"/>
  <c r="BF29" i="72"/>
  <c r="BE29" i="72"/>
  <c r="BD29" i="72"/>
  <c r="BC29" i="72"/>
  <c r="AE29" i="72"/>
  <c r="AD29" i="72"/>
  <c r="AC29" i="72"/>
  <c r="AB29" i="72"/>
  <c r="AA29" i="72"/>
  <c r="DF28" i="72"/>
  <c r="DE28" i="72"/>
  <c r="DD28" i="72"/>
  <c r="DC28" i="72"/>
  <c r="DB28" i="72"/>
  <c r="DA28" i="72"/>
  <c r="CZ28" i="72"/>
  <c r="CY28" i="72"/>
  <c r="CC28" i="72"/>
  <c r="CB28" i="72"/>
  <c r="BF28" i="72"/>
  <c r="BE28" i="72"/>
  <c r="BD28" i="72"/>
  <c r="BC28" i="72"/>
  <c r="AE28" i="72"/>
  <c r="AD28" i="72"/>
  <c r="AC28" i="72"/>
  <c r="AB28" i="72"/>
  <c r="AA28" i="72"/>
  <c r="DF27" i="72"/>
  <c r="DE27" i="72"/>
  <c r="DD27" i="72"/>
  <c r="DC27" i="72"/>
  <c r="DB27" i="72"/>
  <c r="DA27" i="72"/>
  <c r="CZ27" i="72"/>
  <c r="CY27" i="72"/>
  <c r="CC27" i="72"/>
  <c r="CB27" i="72"/>
  <c r="BF27" i="72"/>
  <c r="BE27" i="72"/>
  <c r="BD27" i="72"/>
  <c r="BC27" i="72"/>
  <c r="AE27" i="72"/>
  <c r="AD27" i="72"/>
  <c r="AC27" i="72"/>
  <c r="AB27" i="72"/>
  <c r="AA27" i="72"/>
  <c r="DF26" i="72"/>
  <c r="DE26" i="72"/>
  <c r="DD26" i="72"/>
  <c r="DC26" i="72"/>
  <c r="DB26" i="72"/>
  <c r="DA26" i="72"/>
  <c r="CZ26" i="72"/>
  <c r="CY26" i="72"/>
  <c r="CC26" i="72"/>
  <c r="CB26" i="72"/>
  <c r="BF26" i="72"/>
  <c r="BE26" i="72"/>
  <c r="BD26" i="72"/>
  <c r="BC26" i="72"/>
  <c r="AE26" i="72"/>
  <c r="AD26" i="72"/>
  <c r="AC26" i="72"/>
  <c r="AB26" i="72"/>
  <c r="AA26" i="72"/>
  <c r="DF25" i="72"/>
  <c r="DE25" i="72"/>
  <c r="DD25" i="72"/>
  <c r="DC25" i="72"/>
  <c r="DB25" i="72"/>
  <c r="DA25" i="72"/>
  <c r="CZ25" i="72"/>
  <c r="CY25" i="72"/>
  <c r="CC25" i="72"/>
  <c r="CB25" i="72"/>
  <c r="BF25" i="72"/>
  <c r="BE25" i="72"/>
  <c r="BD25" i="72"/>
  <c r="BC25" i="72"/>
  <c r="AE25" i="72"/>
  <c r="AD25" i="72"/>
  <c r="AC25" i="72"/>
  <c r="AB25" i="72"/>
  <c r="AA25" i="72"/>
  <c r="DF24" i="72"/>
  <c r="DE24" i="72"/>
  <c r="DD24" i="72"/>
  <c r="DC24" i="72"/>
  <c r="DB24" i="72"/>
  <c r="DA24" i="72"/>
  <c r="CZ24" i="72"/>
  <c r="CY24" i="72"/>
  <c r="CC24" i="72"/>
  <c r="CB24" i="72"/>
  <c r="BF24" i="72"/>
  <c r="BE24" i="72"/>
  <c r="BD24" i="72"/>
  <c r="BC24" i="72"/>
  <c r="AE24" i="72"/>
  <c r="AD24" i="72"/>
  <c r="AC24" i="72"/>
  <c r="AB24" i="72"/>
  <c r="AA24" i="72"/>
  <c r="DF23" i="72"/>
  <c r="DE23" i="72"/>
  <c r="DD23" i="72"/>
  <c r="DC23" i="72"/>
  <c r="DB23" i="72"/>
  <c r="DA23" i="72"/>
  <c r="CZ23" i="72"/>
  <c r="CY23" i="72"/>
  <c r="CC23" i="72"/>
  <c r="CB23" i="72"/>
  <c r="BF23" i="72"/>
  <c r="BE23" i="72"/>
  <c r="BD23" i="72"/>
  <c r="BC23" i="72"/>
  <c r="AE23" i="72"/>
  <c r="AD23" i="72"/>
  <c r="AC23" i="72"/>
  <c r="AB23" i="72"/>
  <c r="AA23" i="72"/>
  <c r="DF22" i="72"/>
  <c r="DE22" i="72"/>
  <c r="DD22" i="72"/>
  <c r="DC22" i="72"/>
  <c r="DB22" i="72"/>
  <c r="DA22" i="72"/>
  <c r="CZ22" i="72"/>
  <c r="CY22" i="72"/>
  <c r="CC22" i="72"/>
  <c r="CB22" i="72"/>
  <c r="BF22" i="72"/>
  <c r="BE22" i="72"/>
  <c r="BD22" i="72"/>
  <c r="BC22" i="72"/>
  <c r="AE22" i="72"/>
  <c r="AD22" i="72"/>
  <c r="AC22" i="72"/>
  <c r="AB22" i="72"/>
  <c r="AA22" i="72"/>
  <c r="DF21" i="72"/>
  <c r="DE21" i="72"/>
  <c r="DD21" i="72"/>
  <c r="DC21" i="72"/>
  <c r="DB21" i="72"/>
  <c r="DA21" i="72"/>
  <c r="CZ21" i="72"/>
  <c r="CY21" i="72"/>
  <c r="CC21" i="72"/>
  <c r="CB21" i="72"/>
  <c r="BF21" i="72"/>
  <c r="BE21" i="72"/>
  <c r="BD21" i="72"/>
  <c r="BC21" i="72"/>
  <c r="AE21" i="72"/>
  <c r="AD21" i="72"/>
  <c r="AC21" i="72"/>
  <c r="AB21" i="72"/>
  <c r="AA21" i="72"/>
  <c r="DF20" i="72"/>
  <c r="DE20" i="72"/>
  <c r="DD20" i="72"/>
  <c r="DC20" i="72"/>
  <c r="DB20" i="72"/>
  <c r="DA20" i="72"/>
  <c r="CZ20" i="72"/>
  <c r="CY20" i="72"/>
  <c r="CC20" i="72"/>
  <c r="CB20" i="72"/>
  <c r="BF20" i="72"/>
  <c r="BE20" i="72"/>
  <c r="BD20" i="72"/>
  <c r="BC20" i="72"/>
  <c r="AE20" i="72"/>
  <c r="AD20" i="72"/>
  <c r="AC20" i="72"/>
  <c r="AB20" i="72"/>
  <c r="AA20" i="72"/>
  <c r="DF19" i="72"/>
  <c r="DE19" i="72"/>
  <c r="DD19" i="72"/>
  <c r="DC19" i="72"/>
  <c r="DB19" i="72"/>
  <c r="DA19" i="72"/>
  <c r="CZ19" i="72"/>
  <c r="CY19" i="72"/>
  <c r="CC19" i="72"/>
  <c r="CB19" i="72"/>
  <c r="BF19" i="72"/>
  <c r="BE19" i="72"/>
  <c r="BD19" i="72"/>
  <c r="BC19" i="72"/>
  <c r="AE19" i="72"/>
  <c r="AD19" i="72"/>
  <c r="AC19" i="72"/>
  <c r="AB19" i="72"/>
  <c r="AA19" i="72"/>
  <c r="DF18" i="72"/>
  <c r="DE18" i="72"/>
  <c r="DD18" i="72"/>
  <c r="DC18" i="72"/>
  <c r="DB18" i="72"/>
  <c r="DA18" i="72"/>
  <c r="CZ18" i="72"/>
  <c r="CY18" i="72"/>
  <c r="CC18" i="72"/>
  <c r="CB18" i="72"/>
  <c r="BF18" i="72"/>
  <c r="BE18" i="72"/>
  <c r="BD18" i="72"/>
  <c r="BC18" i="72"/>
  <c r="AE18" i="72"/>
  <c r="AD18" i="72"/>
  <c r="AC18" i="72"/>
  <c r="AB18" i="72"/>
  <c r="AA18" i="72"/>
  <c r="DF17" i="72"/>
  <c r="DE17" i="72"/>
  <c r="DD17" i="72"/>
  <c r="DC17" i="72"/>
  <c r="DB17" i="72"/>
  <c r="DA17" i="72"/>
  <c r="CZ17" i="72"/>
  <c r="CY17" i="72"/>
  <c r="CC17" i="72"/>
  <c r="CB17" i="72"/>
  <c r="BF17" i="72"/>
  <c r="BE17" i="72"/>
  <c r="BD17" i="72"/>
  <c r="BC17" i="72"/>
  <c r="AE17" i="72"/>
  <c r="AD17" i="72"/>
  <c r="AC17" i="72"/>
  <c r="AB17" i="72"/>
  <c r="AA17" i="72"/>
  <c r="DF16" i="72"/>
  <c r="DE16" i="72"/>
  <c r="DD16" i="72"/>
  <c r="DC16" i="72"/>
  <c r="DB16" i="72"/>
  <c r="DA16" i="72"/>
  <c r="CZ16" i="72"/>
  <c r="CY16" i="72"/>
  <c r="CC16" i="72"/>
  <c r="CB16" i="72"/>
  <c r="BF16" i="72"/>
  <c r="BE16" i="72"/>
  <c r="BD16" i="72"/>
  <c r="BC16" i="72"/>
  <c r="AE16" i="72"/>
  <c r="AD16" i="72"/>
  <c r="AC16" i="72"/>
  <c r="AB16" i="72"/>
  <c r="AA16" i="72"/>
  <c r="DF15" i="72"/>
  <c r="DE15" i="72"/>
  <c r="DD15" i="72"/>
  <c r="DC15" i="72"/>
  <c r="DB15" i="72"/>
  <c r="DA15" i="72"/>
  <c r="CZ15" i="72"/>
  <c r="CY15" i="72"/>
  <c r="CC15" i="72"/>
  <c r="CB15" i="72"/>
  <c r="BF15" i="72"/>
  <c r="BE15" i="72"/>
  <c r="BD15" i="72"/>
  <c r="BC15" i="72"/>
  <c r="AE15" i="72"/>
  <c r="AD15" i="72"/>
  <c r="AC15" i="72"/>
  <c r="AB15" i="72"/>
  <c r="AA15" i="72"/>
  <c r="DF14" i="72"/>
  <c r="DE14" i="72"/>
  <c r="DD14" i="72"/>
  <c r="DC14" i="72"/>
  <c r="DB14" i="72"/>
  <c r="DA14" i="72"/>
  <c r="CZ14" i="72"/>
  <c r="CY14" i="72"/>
  <c r="CC14" i="72"/>
  <c r="CB14" i="72"/>
  <c r="BF14" i="72"/>
  <c r="BE14" i="72"/>
  <c r="BD14" i="72"/>
  <c r="BC14" i="72"/>
  <c r="AE14" i="72"/>
  <c r="AD14" i="72"/>
  <c r="AC14" i="72"/>
  <c r="AB14" i="72"/>
  <c r="AA14" i="72"/>
  <c r="A14" i="72"/>
  <c r="AO93" i="71"/>
  <c r="BL93" i="71" s="1"/>
  <c r="AO92" i="71"/>
  <c r="BL92" i="71" s="1"/>
  <c r="AO91" i="71"/>
  <c r="BL91" i="71" s="1"/>
  <c r="AO90" i="71"/>
  <c r="BL90" i="71" s="1"/>
  <c r="A52" i="71"/>
  <c r="A51" i="71"/>
  <c r="A50" i="71"/>
  <c r="A49" i="71"/>
  <c r="A47" i="71"/>
  <c r="R45" i="71"/>
  <c r="DF44" i="71"/>
  <c r="DE44" i="71"/>
  <c r="DD44" i="71"/>
  <c r="DC44" i="71"/>
  <c r="DB44" i="71"/>
  <c r="DA44" i="71"/>
  <c r="CZ44" i="71"/>
  <c r="CY44" i="71"/>
  <c r="CC44" i="71"/>
  <c r="CB44" i="71"/>
  <c r="BF44" i="71"/>
  <c r="BE44" i="71"/>
  <c r="BD44" i="71"/>
  <c r="BC44" i="71"/>
  <c r="AE44" i="71"/>
  <c r="AD44" i="71"/>
  <c r="AC44" i="71"/>
  <c r="AB44" i="71"/>
  <c r="AA44" i="71"/>
  <c r="DF43" i="71"/>
  <c r="DE43" i="71"/>
  <c r="DD43" i="71"/>
  <c r="DC43" i="71"/>
  <c r="DB43" i="71"/>
  <c r="DA43" i="71"/>
  <c r="CZ43" i="71"/>
  <c r="CY43" i="71"/>
  <c r="CC43" i="71"/>
  <c r="CB43" i="71"/>
  <c r="BF43" i="71"/>
  <c r="BE43" i="71"/>
  <c r="BD43" i="71"/>
  <c r="BC43" i="71"/>
  <c r="AE43" i="71"/>
  <c r="AD43" i="71"/>
  <c r="AC43" i="71"/>
  <c r="AB43" i="71"/>
  <c r="AA43" i="71"/>
  <c r="DF42" i="71"/>
  <c r="DE42" i="71"/>
  <c r="DD42" i="71"/>
  <c r="DC42" i="71"/>
  <c r="DB42" i="71"/>
  <c r="DA42" i="71"/>
  <c r="CZ42" i="71"/>
  <c r="CY42" i="71"/>
  <c r="CC42" i="71"/>
  <c r="CB42" i="71"/>
  <c r="BF42" i="71"/>
  <c r="BE42" i="71"/>
  <c r="BD42" i="71"/>
  <c r="BC42" i="71"/>
  <c r="AE42" i="71"/>
  <c r="AD42" i="71"/>
  <c r="AC42" i="71"/>
  <c r="AB42" i="71"/>
  <c r="AA42" i="71"/>
  <c r="DF41" i="71"/>
  <c r="DE41" i="71"/>
  <c r="DD41" i="71"/>
  <c r="DC41" i="71"/>
  <c r="DB41" i="71"/>
  <c r="DA41" i="71"/>
  <c r="CZ41" i="71"/>
  <c r="CY41" i="71"/>
  <c r="CC41" i="71"/>
  <c r="CB41" i="71"/>
  <c r="BF41" i="71"/>
  <c r="BE41" i="71"/>
  <c r="BD41" i="71"/>
  <c r="BC41" i="71"/>
  <c r="AE41" i="71"/>
  <c r="AD41" i="71"/>
  <c r="AC41" i="71"/>
  <c r="AB41" i="71"/>
  <c r="AA41" i="71"/>
  <c r="DF40" i="71"/>
  <c r="DE40" i="71"/>
  <c r="DD40" i="71"/>
  <c r="DC40" i="71"/>
  <c r="DB40" i="71"/>
  <c r="DA40" i="71"/>
  <c r="CZ40" i="71"/>
  <c r="CY40" i="71"/>
  <c r="CC40" i="71"/>
  <c r="CB40" i="71"/>
  <c r="BF40" i="71"/>
  <c r="BE40" i="71"/>
  <c r="BD40" i="71"/>
  <c r="BC40" i="71"/>
  <c r="AE40" i="71"/>
  <c r="AD40" i="71"/>
  <c r="AC40" i="71"/>
  <c r="AB40" i="71"/>
  <c r="AA40" i="71"/>
  <c r="DF39" i="71"/>
  <c r="DE39" i="71"/>
  <c r="DD39" i="71"/>
  <c r="DC39" i="71"/>
  <c r="DB39" i="71"/>
  <c r="DA39" i="71"/>
  <c r="CZ39" i="71"/>
  <c r="CY39" i="71"/>
  <c r="CC39" i="71"/>
  <c r="CB39" i="71"/>
  <c r="BF39" i="71"/>
  <c r="BE39" i="71"/>
  <c r="BD39" i="71"/>
  <c r="BC39" i="71"/>
  <c r="AE39" i="71"/>
  <c r="AD39" i="71"/>
  <c r="AC39" i="71"/>
  <c r="AB39" i="71"/>
  <c r="AA39" i="71"/>
  <c r="DF38" i="71"/>
  <c r="DE38" i="71"/>
  <c r="DD38" i="71"/>
  <c r="DC38" i="71"/>
  <c r="DB38" i="71"/>
  <c r="DA38" i="71"/>
  <c r="CZ38" i="71"/>
  <c r="CY38" i="71"/>
  <c r="CC38" i="71"/>
  <c r="CB38" i="71"/>
  <c r="BF38" i="71"/>
  <c r="BE38" i="71"/>
  <c r="BD38" i="71"/>
  <c r="BC38" i="71"/>
  <c r="AE38" i="71"/>
  <c r="AD38" i="71"/>
  <c r="AC38" i="71"/>
  <c r="AB38" i="71"/>
  <c r="AA38" i="71"/>
  <c r="DF37" i="71"/>
  <c r="DE37" i="71"/>
  <c r="DD37" i="71"/>
  <c r="DC37" i="71"/>
  <c r="DB37" i="71"/>
  <c r="DA37" i="71"/>
  <c r="CZ37" i="71"/>
  <c r="CY37" i="71"/>
  <c r="CC37" i="71"/>
  <c r="CB37" i="71"/>
  <c r="BF37" i="71"/>
  <c r="BE37" i="71"/>
  <c r="BD37" i="71"/>
  <c r="BC37" i="71"/>
  <c r="AE37" i="71"/>
  <c r="AD37" i="71"/>
  <c r="AC37" i="71"/>
  <c r="AB37" i="71"/>
  <c r="AA37" i="71"/>
  <c r="DF36" i="71"/>
  <c r="DE36" i="71"/>
  <c r="DD36" i="71"/>
  <c r="DC36" i="71"/>
  <c r="DB36" i="71"/>
  <c r="DA36" i="71"/>
  <c r="CZ36" i="71"/>
  <c r="CY36" i="71"/>
  <c r="CC36" i="71"/>
  <c r="CB36" i="71"/>
  <c r="BF36" i="71"/>
  <c r="BE36" i="71"/>
  <c r="BD36" i="71"/>
  <c r="BC36" i="71"/>
  <c r="AE36" i="71"/>
  <c r="AD36" i="71"/>
  <c r="AC36" i="71"/>
  <c r="AB36" i="71"/>
  <c r="AA36" i="71"/>
  <c r="DF35" i="71"/>
  <c r="DE35" i="71"/>
  <c r="DD35" i="71"/>
  <c r="DC35" i="71"/>
  <c r="DB35" i="71"/>
  <c r="DA35" i="71"/>
  <c r="CZ35" i="71"/>
  <c r="CY35" i="71"/>
  <c r="CC35" i="71"/>
  <c r="CB35" i="71"/>
  <c r="BF35" i="71"/>
  <c r="BE35" i="71"/>
  <c r="BD35" i="71"/>
  <c r="BC35" i="71"/>
  <c r="AE35" i="71"/>
  <c r="AD35" i="71"/>
  <c r="AC35" i="71"/>
  <c r="AB35" i="71"/>
  <c r="AA35" i="71"/>
  <c r="DF34" i="71"/>
  <c r="DE34" i="71"/>
  <c r="DD34" i="71"/>
  <c r="DC34" i="71"/>
  <c r="DB34" i="71"/>
  <c r="DA34" i="71"/>
  <c r="CZ34" i="71"/>
  <c r="CY34" i="71"/>
  <c r="CC34" i="71"/>
  <c r="CB34" i="71"/>
  <c r="BF34" i="71"/>
  <c r="BE34" i="71"/>
  <c r="BD34" i="71"/>
  <c r="BC34" i="71"/>
  <c r="AE34" i="71"/>
  <c r="AD34" i="71"/>
  <c r="AC34" i="71"/>
  <c r="AB34" i="71"/>
  <c r="AA34" i="71"/>
  <c r="DF33" i="71"/>
  <c r="DE33" i="71"/>
  <c r="DD33" i="71"/>
  <c r="DC33" i="71"/>
  <c r="DB33" i="71"/>
  <c r="DA33" i="71"/>
  <c r="CZ33" i="71"/>
  <c r="CY33" i="71"/>
  <c r="CC33" i="71"/>
  <c r="CB33" i="71"/>
  <c r="BF33" i="71"/>
  <c r="BE33" i="71"/>
  <c r="BD33" i="71"/>
  <c r="BC33" i="71"/>
  <c r="AE33" i="71"/>
  <c r="AD33" i="71"/>
  <c r="AC33" i="71"/>
  <c r="AB33" i="71"/>
  <c r="AA33" i="71"/>
  <c r="DF32" i="71"/>
  <c r="DE32" i="71"/>
  <c r="DD32" i="71"/>
  <c r="DC32" i="71"/>
  <c r="DB32" i="71"/>
  <c r="DA32" i="71"/>
  <c r="CZ32" i="71"/>
  <c r="CY32" i="71"/>
  <c r="CC32" i="71"/>
  <c r="CB32" i="71"/>
  <c r="BF32" i="71"/>
  <c r="BE32" i="71"/>
  <c r="BD32" i="71"/>
  <c r="BC32" i="71"/>
  <c r="AE32" i="71"/>
  <c r="AD32" i="71"/>
  <c r="AC32" i="71"/>
  <c r="AB32" i="71"/>
  <c r="AA32" i="71"/>
  <c r="DF31" i="71"/>
  <c r="DE31" i="71"/>
  <c r="DD31" i="71"/>
  <c r="DC31" i="71"/>
  <c r="DB31" i="71"/>
  <c r="DA31" i="71"/>
  <c r="CZ31" i="71"/>
  <c r="CY31" i="71"/>
  <c r="CC31" i="71"/>
  <c r="CB31" i="71"/>
  <c r="BF31" i="71"/>
  <c r="BE31" i="71"/>
  <c r="BD31" i="71"/>
  <c r="BC31" i="71"/>
  <c r="AE31" i="71"/>
  <c r="AD31" i="71"/>
  <c r="AC31" i="71"/>
  <c r="AB31" i="71"/>
  <c r="AA31" i="71"/>
  <c r="DF30" i="71"/>
  <c r="DE30" i="71"/>
  <c r="DD30" i="71"/>
  <c r="DC30" i="71"/>
  <c r="DB30" i="71"/>
  <c r="DA30" i="71"/>
  <c r="CZ30" i="71"/>
  <c r="CY30" i="71"/>
  <c r="CC30" i="71"/>
  <c r="CB30" i="71"/>
  <c r="BF30" i="71"/>
  <c r="BE30" i="71"/>
  <c r="BD30" i="71"/>
  <c r="BC30" i="71"/>
  <c r="AE30" i="71"/>
  <c r="AD30" i="71"/>
  <c r="AC30" i="71"/>
  <c r="AB30" i="71"/>
  <c r="AA30" i="71"/>
  <c r="DF29" i="71"/>
  <c r="DE29" i="71"/>
  <c r="DD29" i="71"/>
  <c r="DC29" i="71"/>
  <c r="DB29" i="71"/>
  <c r="DA29" i="71"/>
  <c r="CZ29" i="71"/>
  <c r="CY29" i="71"/>
  <c r="CC29" i="71"/>
  <c r="CB29" i="71"/>
  <c r="BF29" i="71"/>
  <c r="BE29" i="71"/>
  <c r="BD29" i="71"/>
  <c r="BC29" i="71"/>
  <c r="AE29" i="71"/>
  <c r="AD29" i="71"/>
  <c r="AC29" i="71"/>
  <c r="AB29" i="71"/>
  <c r="AA29" i="71"/>
  <c r="DF28" i="71"/>
  <c r="DE28" i="71"/>
  <c r="DD28" i="71"/>
  <c r="DC28" i="71"/>
  <c r="DB28" i="71"/>
  <c r="DA28" i="71"/>
  <c r="CZ28" i="71"/>
  <c r="CY28" i="71"/>
  <c r="CC28" i="71"/>
  <c r="CB28" i="71"/>
  <c r="BF28" i="71"/>
  <c r="BE28" i="71"/>
  <c r="BD28" i="71"/>
  <c r="BC28" i="71"/>
  <c r="AE28" i="71"/>
  <c r="AD28" i="71"/>
  <c r="AC28" i="71"/>
  <c r="AB28" i="71"/>
  <c r="AA28" i="71"/>
  <c r="DF27" i="71"/>
  <c r="DE27" i="71"/>
  <c r="DD27" i="71"/>
  <c r="DC27" i="71"/>
  <c r="DB27" i="71"/>
  <c r="DA27" i="71"/>
  <c r="CZ27" i="71"/>
  <c r="CY27" i="71"/>
  <c r="CC27" i="71"/>
  <c r="CB27" i="71"/>
  <c r="BF27" i="71"/>
  <c r="BE27" i="71"/>
  <c r="BD27" i="71"/>
  <c r="BC27" i="71"/>
  <c r="AE27" i="71"/>
  <c r="AD27" i="71"/>
  <c r="AC27" i="71"/>
  <c r="AB27" i="71"/>
  <c r="AA27" i="71"/>
  <c r="DF26" i="71"/>
  <c r="DE26" i="71"/>
  <c r="DD26" i="71"/>
  <c r="DC26" i="71"/>
  <c r="DB26" i="71"/>
  <c r="DA26" i="71"/>
  <c r="CZ26" i="71"/>
  <c r="CY26" i="71"/>
  <c r="CC26" i="71"/>
  <c r="CB26" i="71"/>
  <c r="BF26" i="71"/>
  <c r="BE26" i="71"/>
  <c r="BD26" i="71"/>
  <c r="BC26" i="71"/>
  <c r="AE26" i="71"/>
  <c r="AD26" i="71"/>
  <c r="AC26" i="71"/>
  <c r="AB26" i="71"/>
  <c r="AA26" i="71"/>
  <c r="DF25" i="71"/>
  <c r="DE25" i="71"/>
  <c r="DD25" i="71"/>
  <c r="DC25" i="71"/>
  <c r="DB25" i="71"/>
  <c r="DA25" i="71"/>
  <c r="CZ25" i="71"/>
  <c r="CY25" i="71"/>
  <c r="CC25" i="71"/>
  <c r="CB25" i="71"/>
  <c r="BF25" i="71"/>
  <c r="BE25" i="71"/>
  <c r="BD25" i="71"/>
  <c r="BC25" i="71"/>
  <c r="AE25" i="71"/>
  <c r="AD25" i="71"/>
  <c r="AC25" i="71"/>
  <c r="AB25" i="71"/>
  <c r="AA25" i="71"/>
  <c r="DF24" i="71"/>
  <c r="DE24" i="71"/>
  <c r="DD24" i="71"/>
  <c r="DC24" i="71"/>
  <c r="DB24" i="71"/>
  <c r="DA24" i="71"/>
  <c r="CZ24" i="71"/>
  <c r="CY24" i="71"/>
  <c r="CC24" i="71"/>
  <c r="CB24" i="71"/>
  <c r="BF24" i="71"/>
  <c r="BE24" i="71"/>
  <c r="BD24" i="71"/>
  <c r="BC24" i="71"/>
  <c r="AE24" i="71"/>
  <c r="AD24" i="71"/>
  <c r="AC24" i="71"/>
  <c r="AB24" i="71"/>
  <c r="AA24" i="71"/>
  <c r="DF23" i="71"/>
  <c r="DE23" i="71"/>
  <c r="DD23" i="71"/>
  <c r="DC23" i="71"/>
  <c r="DB23" i="71"/>
  <c r="DA23" i="71"/>
  <c r="CZ23" i="71"/>
  <c r="CY23" i="71"/>
  <c r="CC23" i="71"/>
  <c r="CB23" i="71"/>
  <c r="BF23" i="71"/>
  <c r="BE23" i="71"/>
  <c r="BD23" i="71"/>
  <c r="BC23" i="71"/>
  <c r="AE23" i="71"/>
  <c r="AD23" i="71"/>
  <c r="AC23" i="71"/>
  <c r="AB23" i="71"/>
  <c r="AA23" i="71"/>
  <c r="DF22" i="71"/>
  <c r="DE22" i="71"/>
  <c r="DD22" i="71"/>
  <c r="DC22" i="71"/>
  <c r="DB22" i="71"/>
  <c r="DA22" i="71"/>
  <c r="CZ22" i="71"/>
  <c r="CY22" i="71"/>
  <c r="CC22" i="71"/>
  <c r="CB22" i="71"/>
  <c r="BF22" i="71"/>
  <c r="BE22" i="71"/>
  <c r="BD22" i="71"/>
  <c r="BC22" i="71"/>
  <c r="AE22" i="71"/>
  <c r="AD22" i="71"/>
  <c r="AC22" i="71"/>
  <c r="AB22" i="71"/>
  <c r="AA22" i="71"/>
  <c r="DF21" i="71"/>
  <c r="DE21" i="71"/>
  <c r="DD21" i="71"/>
  <c r="DC21" i="71"/>
  <c r="DB21" i="71"/>
  <c r="DA21" i="71"/>
  <c r="CZ21" i="71"/>
  <c r="CY21" i="71"/>
  <c r="CC21" i="71"/>
  <c r="CB21" i="71"/>
  <c r="BF21" i="71"/>
  <c r="BE21" i="71"/>
  <c r="BD21" i="71"/>
  <c r="BC21" i="71"/>
  <c r="AE21" i="71"/>
  <c r="AD21" i="71"/>
  <c r="AC21" i="71"/>
  <c r="AB21" i="71"/>
  <c r="AA21" i="71"/>
  <c r="DF20" i="71"/>
  <c r="DE20" i="71"/>
  <c r="DD20" i="71"/>
  <c r="DC20" i="71"/>
  <c r="DB20" i="71"/>
  <c r="DA20" i="71"/>
  <c r="CZ20" i="71"/>
  <c r="CY20" i="71"/>
  <c r="CC20" i="71"/>
  <c r="CB20" i="71"/>
  <c r="BF20" i="71"/>
  <c r="BE20" i="71"/>
  <c r="BD20" i="71"/>
  <c r="BC20" i="71"/>
  <c r="AE20" i="71"/>
  <c r="AD20" i="71"/>
  <c r="AC20" i="71"/>
  <c r="AB20" i="71"/>
  <c r="AA20" i="71"/>
  <c r="DF19" i="71"/>
  <c r="DE19" i="71"/>
  <c r="DD19" i="71"/>
  <c r="DC19" i="71"/>
  <c r="DB19" i="71"/>
  <c r="DA19" i="71"/>
  <c r="CZ19" i="71"/>
  <c r="CY19" i="71"/>
  <c r="CC19" i="71"/>
  <c r="CB19" i="71"/>
  <c r="BF19" i="71"/>
  <c r="BE19" i="71"/>
  <c r="BD19" i="71"/>
  <c r="BC19" i="71"/>
  <c r="AE19" i="71"/>
  <c r="AD19" i="71"/>
  <c r="AC19" i="71"/>
  <c r="AB19" i="71"/>
  <c r="AA19" i="71"/>
  <c r="DF18" i="71"/>
  <c r="DE18" i="71"/>
  <c r="DD18" i="71"/>
  <c r="DC18" i="71"/>
  <c r="DB18" i="71"/>
  <c r="DA18" i="71"/>
  <c r="CZ18" i="71"/>
  <c r="CY18" i="71"/>
  <c r="CC18" i="71"/>
  <c r="CB18" i="71"/>
  <c r="BF18" i="71"/>
  <c r="BE18" i="71"/>
  <c r="BD18" i="71"/>
  <c r="BC18" i="71"/>
  <c r="AE18" i="71"/>
  <c r="AD18" i="71"/>
  <c r="AC18" i="71"/>
  <c r="AB18" i="71"/>
  <c r="AA18" i="71"/>
  <c r="DF17" i="71"/>
  <c r="DE17" i="71"/>
  <c r="DD17" i="71"/>
  <c r="DC17" i="71"/>
  <c r="DB17" i="71"/>
  <c r="DA17" i="71"/>
  <c r="CZ17" i="71"/>
  <c r="CY17" i="71"/>
  <c r="CC17" i="71"/>
  <c r="CB17" i="71"/>
  <c r="BF17" i="71"/>
  <c r="BE17" i="71"/>
  <c r="BD17" i="71"/>
  <c r="BC17" i="71"/>
  <c r="AE17" i="71"/>
  <c r="AD17" i="71"/>
  <c r="AC17" i="71"/>
  <c r="AB17" i="71"/>
  <c r="AA17" i="71"/>
  <c r="DF16" i="71"/>
  <c r="DE16" i="71"/>
  <c r="DD16" i="71"/>
  <c r="DC16" i="71"/>
  <c r="DB16" i="71"/>
  <c r="DA16" i="71"/>
  <c r="CZ16" i="71"/>
  <c r="CY16" i="71"/>
  <c r="CC16" i="71"/>
  <c r="CB16" i="71"/>
  <c r="BF16" i="71"/>
  <c r="BE16" i="71"/>
  <c r="BD16" i="71"/>
  <c r="BC16" i="71"/>
  <c r="AE16" i="71"/>
  <c r="AD16" i="71"/>
  <c r="AC16" i="71"/>
  <c r="AB16" i="71"/>
  <c r="AA16" i="71"/>
  <c r="DF15" i="71"/>
  <c r="DE15" i="71"/>
  <c r="DD15" i="71"/>
  <c r="DC15" i="71"/>
  <c r="DB15" i="71"/>
  <c r="DA15" i="71"/>
  <c r="CZ15" i="71"/>
  <c r="CY15" i="71"/>
  <c r="CC15" i="71"/>
  <c r="CB15" i="71"/>
  <c r="BF15" i="71"/>
  <c r="BE15" i="71"/>
  <c r="BD15" i="71"/>
  <c r="BC15" i="71"/>
  <c r="AE15" i="71"/>
  <c r="AD15" i="71"/>
  <c r="AC15" i="71"/>
  <c r="AB15" i="71"/>
  <c r="AA15" i="71"/>
  <c r="DF14" i="71"/>
  <c r="DE14" i="71"/>
  <c r="DD14" i="71"/>
  <c r="DC14" i="71"/>
  <c r="DB14" i="71"/>
  <c r="DA14" i="71"/>
  <c r="CZ14" i="71"/>
  <c r="CY14" i="71"/>
  <c r="CC14" i="71"/>
  <c r="CB14" i="71"/>
  <c r="BF14" i="71"/>
  <c r="BE14" i="71"/>
  <c r="BD14" i="71"/>
  <c r="BC14" i="71"/>
  <c r="AE14" i="71"/>
  <c r="AD14" i="71"/>
  <c r="AC14" i="71"/>
  <c r="AB14" i="71"/>
  <c r="AA14" i="71"/>
  <c r="A14" i="71"/>
  <c r="AO92" i="70"/>
  <c r="BL92" i="70" s="1"/>
  <c r="AO91" i="70"/>
  <c r="BL91" i="70" s="1"/>
  <c r="AO90" i="70"/>
  <c r="BL90" i="70" s="1"/>
  <c r="AO89" i="70"/>
  <c r="BL89" i="70" s="1"/>
  <c r="A51" i="70"/>
  <c r="A50" i="70"/>
  <c r="A49" i="70"/>
  <c r="A48" i="70"/>
  <c r="A46" i="70"/>
  <c r="R44" i="70"/>
  <c r="DF43" i="70"/>
  <c r="DE43" i="70"/>
  <c r="DD43" i="70"/>
  <c r="DC43" i="70"/>
  <c r="DB43" i="70"/>
  <c r="DA43" i="70"/>
  <c r="CZ43" i="70"/>
  <c r="CY43" i="70"/>
  <c r="CC43" i="70"/>
  <c r="CB43" i="70"/>
  <c r="BF43" i="70"/>
  <c r="BE43" i="70"/>
  <c r="BD43" i="70"/>
  <c r="BC43" i="70"/>
  <c r="AE43" i="70"/>
  <c r="AD43" i="70"/>
  <c r="AC43" i="70"/>
  <c r="AB43" i="70"/>
  <c r="AA43" i="70"/>
  <c r="DF42" i="70"/>
  <c r="DE42" i="70"/>
  <c r="DD42" i="70"/>
  <c r="DC42" i="70"/>
  <c r="DB42" i="70"/>
  <c r="DA42" i="70"/>
  <c r="CZ42" i="70"/>
  <c r="CY42" i="70"/>
  <c r="CC42" i="70"/>
  <c r="CB42" i="70"/>
  <c r="BF42" i="70"/>
  <c r="BE42" i="70"/>
  <c r="BD42" i="70"/>
  <c r="BC42" i="70"/>
  <c r="AE42" i="70"/>
  <c r="AD42" i="70"/>
  <c r="AC42" i="70"/>
  <c r="AB42" i="70"/>
  <c r="AA42" i="70"/>
  <c r="DF41" i="70"/>
  <c r="DE41" i="70"/>
  <c r="DD41" i="70"/>
  <c r="DC41" i="70"/>
  <c r="DB41" i="70"/>
  <c r="DA41" i="70"/>
  <c r="CZ41" i="70"/>
  <c r="CY41" i="70"/>
  <c r="CC41" i="70"/>
  <c r="CB41" i="70"/>
  <c r="BF41" i="70"/>
  <c r="BE41" i="70"/>
  <c r="BD41" i="70"/>
  <c r="BC41" i="70"/>
  <c r="AE41" i="70"/>
  <c r="AD41" i="70"/>
  <c r="AC41" i="70"/>
  <c r="AB41" i="70"/>
  <c r="AA41" i="70"/>
  <c r="DF40" i="70"/>
  <c r="DE40" i="70"/>
  <c r="DD40" i="70"/>
  <c r="DC40" i="70"/>
  <c r="DB40" i="70"/>
  <c r="DA40" i="70"/>
  <c r="CZ40" i="70"/>
  <c r="CY40" i="70"/>
  <c r="CC40" i="70"/>
  <c r="CB40" i="70"/>
  <c r="BF40" i="70"/>
  <c r="BE40" i="70"/>
  <c r="BD40" i="70"/>
  <c r="BC40" i="70"/>
  <c r="AE40" i="70"/>
  <c r="AD40" i="70"/>
  <c r="AC40" i="70"/>
  <c r="AB40" i="70"/>
  <c r="AA40" i="70"/>
  <c r="DF39" i="70"/>
  <c r="DE39" i="70"/>
  <c r="DD39" i="70"/>
  <c r="DC39" i="70"/>
  <c r="DB39" i="70"/>
  <c r="DA39" i="70"/>
  <c r="CZ39" i="70"/>
  <c r="CY39" i="70"/>
  <c r="CC39" i="70"/>
  <c r="CB39" i="70"/>
  <c r="BF39" i="70"/>
  <c r="BE39" i="70"/>
  <c r="BD39" i="70"/>
  <c r="BC39" i="70"/>
  <c r="AE39" i="70"/>
  <c r="AD39" i="70"/>
  <c r="AC39" i="70"/>
  <c r="AB39" i="70"/>
  <c r="AA39" i="70"/>
  <c r="DF38" i="70"/>
  <c r="DE38" i="70"/>
  <c r="DD38" i="70"/>
  <c r="DC38" i="70"/>
  <c r="DB38" i="70"/>
  <c r="DA38" i="70"/>
  <c r="CZ38" i="70"/>
  <c r="CY38" i="70"/>
  <c r="CC38" i="70"/>
  <c r="CB38" i="70"/>
  <c r="BF38" i="70"/>
  <c r="BE38" i="70"/>
  <c r="BD38" i="70"/>
  <c r="BC38" i="70"/>
  <c r="AE38" i="70"/>
  <c r="AD38" i="70"/>
  <c r="AC38" i="70"/>
  <c r="AB38" i="70"/>
  <c r="AA38" i="70"/>
  <c r="DF37" i="70"/>
  <c r="DE37" i="70"/>
  <c r="DD37" i="70"/>
  <c r="DC37" i="70"/>
  <c r="DB37" i="70"/>
  <c r="DA37" i="70"/>
  <c r="CZ37" i="70"/>
  <c r="CY37" i="70"/>
  <c r="CC37" i="70"/>
  <c r="CB37" i="70"/>
  <c r="BF37" i="70"/>
  <c r="BE37" i="70"/>
  <c r="BD37" i="70"/>
  <c r="BC37" i="70"/>
  <c r="AE37" i="70"/>
  <c r="AD37" i="70"/>
  <c r="AC37" i="70"/>
  <c r="AB37" i="70"/>
  <c r="AA37" i="70"/>
  <c r="DF36" i="70"/>
  <c r="DE36" i="70"/>
  <c r="DD36" i="70"/>
  <c r="DC36" i="70"/>
  <c r="DB36" i="70"/>
  <c r="DA36" i="70"/>
  <c r="CZ36" i="70"/>
  <c r="CY36" i="70"/>
  <c r="CC36" i="70"/>
  <c r="CB36" i="70"/>
  <c r="BF36" i="70"/>
  <c r="BE36" i="70"/>
  <c r="BD36" i="70"/>
  <c r="BC36" i="70"/>
  <c r="AE36" i="70"/>
  <c r="AD36" i="70"/>
  <c r="AC36" i="70"/>
  <c r="AB36" i="70"/>
  <c r="AA36" i="70"/>
  <c r="DF35" i="70"/>
  <c r="DE35" i="70"/>
  <c r="DD35" i="70"/>
  <c r="DC35" i="70"/>
  <c r="DB35" i="70"/>
  <c r="DA35" i="70"/>
  <c r="CZ35" i="70"/>
  <c r="CY35" i="70"/>
  <c r="CC35" i="70"/>
  <c r="CB35" i="70"/>
  <c r="BF35" i="70"/>
  <c r="BE35" i="70"/>
  <c r="BD35" i="70"/>
  <c r="BC35" i="70"/>
  <c r="AE35" i="70"/>
  <c r="AD35" i="70"/>
  <c r="AC35" i="70"/>
  <c r="AB35" i="70"/>
  <c r="AA35" i="70"/>
  <c r="DF34" i="70"/>
  <c r="DE34" i="70"/>
  <c r="DD34" i="70"/>
  <c r="DC34" i="70"/>
  <c r="DB34" i="70"/>
  <c r="DA34" i="70"/>
  <c r="CZ34" i="70"/>
  <c r="CY34" i="70"/>
  <c r="CC34" i="70"/>
  <c r="CB34" i="70"/>
  <c r="BF34" i="70"/>
  <c r="BE34" i="70"/>
  <c r="BD34" i="70"/>
  <c r="BC34" i="70"/>
  <c r="AE34" i="70"/>
  <c r="AD34" i="70"/>
  <c r="AC34" i="70"/>
  <c r="AB34" i="70"/>
  <c r="AA34" i="70"/>
  <c r="DF33" i="70"/>
  <c r="DE33" i="70"/>
  <c r="DD33" i="70"/>
  <c r="DC33" i="70"/>
  <c r="DB33" i="70"/>
  <c r="DA33" i="70"/>
  <c r="CZ33" i="70"/>
  <c r="CY33" i="70"/>
  <c r="CC33" i="70"/>
  <c r="CB33" i="70"/>
  <c r="BF33" i="70"/>
  <c r="BE33" i="70"/>
  <c r="BD33" i="70"/>
  <c r="BC33" i="70"/>
  <c r="AE33" i="70"/>
  <c r="AD33" i="70"/>
  <c r="AC33" i="70"/>
  <c r="AB33" i="70"/>
  <c r="AA33" i="70"/>
  <c r="DF32" i="70"/>
  <c r="DE32" i="70"/>
  <c r="DD32" i="70"/>
  <c r="DC32" i="70"/>
  <c r="DB32" i="70"/>
  <c r="DA32" i="70"/>
  <c r="CZ32" i="70"/>
  <c r="CY32" i="70"/>
  <c r="CC32" i="70"/>
  <c r="CB32" i="70"/>
  <c r="BF32" i="70"/>
  <c r="BE32" i="70"/>
  <c r="BD32" i="70"/>
  <c r="BC32" i="70"/>
  <c r="AE32" i="70"/>
  <c r="AD32" i="70"/>
  <c r="AC32" i="70"/>
  <c r="AB32" i="70"/>
  <c r="AA32" i="70"/>
  <c r="DF31" i="70"/>
  <c r="DE31" i="70"/>
  <c r="DD31" i="70"/>
  <c r="DC31" i="70"/>
  <c r="DB31" i="70"/>
  <c r="DA31" i="70"/>
  <c r="CZ31" i="70"/>
  <c r="CY31" i="70"/>
  <c r="CC31" i="70"/>
  <c r="CB31" i="70"/>
  <c r="BF31" i="70"/>
  <c r="BE31" i="70"/>
  <c r="BD31" i="70"/>
  <c r="BC31" i="70"/>
  <c r="AE31" i="70"/>
  <c r="AD31" i="70"/>
  <c r="AC31" i="70"/>
  <c r="AB31" i="70"/>
  <c r="AA31" i="70"/>
  <c r="DF30" i="70"/>
  <c r="DE30" i="70"/>
  <c r="DD30" i="70"/>
  <c r="DC30" i="70"/>
  <c r="DB30" i="70"/>
  <c r="DA30" i="70"/>
  <c r="CZ30" i="70"/>
  <c r="CY30" i="70"/>
  <c r="CC30" i="70"/>
  <c r="CB30" i="70"/>
  <c r="BF30" i="70"/>
  <c r="BE30" i="70"/>
  <c r="BD30" i="70"/>
  <c r="BC30" i="70"/>
  <c r="AE30" i="70"/>
  <c r="AD30" i="70"/>
  <c r="AC30" i="70"/>
  <c r="AB30" i="70"/>
  <c r="AA30" i="70"/>
  <c r="DF29" i="70"/>
  <c r="DE29" i="70"/>
  <c r="DD29" i="70"/>
  <c r="DC29" i="70"/>
  <c r="DB29" i="70"/>
  <c r="DA29" i="70"/>
  <c r="CZ29" i="70"/>
  <c r="CY29" i="70"/>
  <c r="CC29" i="70"/>
  <c r="CB29" i="70"/>
  <c r="BF29" i="70"/>
  <c r="BE29" i="70"/>
  <c r="BD29" i="70"/>
  <c r="BC29" i="70"/>
  <c r="AE29" i="70"/>
  <c r="AD29" i="70"/>
  <c r="AC29" i="70"/>
  <c r="AB29" i="70"/>
  <c r="AA29" i="70"/>
  <c r="DF28" i="70"/>
  <c r="DE28" i="70"/>
  <c r="DD28" i="70"/>
  <c r="DC28" i="70"/>
  <c r="DB28" i="70"/>
  <c r="DA28" i="70"/>
  <c r="CZ28" i="70"/>
  <c r="CY28" i="70"/>
  <c r="CC28" i="70"/>
  <c r="CB28" i="70"/>
  <c r="BF28" i="70"/>
  <c r="BE28" i="70"/>
  <c r="BD28" i="70"/>
  <c r="BC28" i="70"/>
  <c r="AE28" i="70"/>
  <c r="AD28" i="70"/>
  <c r="AC28" i="70"/>
  <c r="AB28" i="70"/>
  <c r="AA28" i="70"/>
  <c r="DF27" i="70"/>
  <c r="DE27" i="70"/>
  <c r="DD27" i="70"/>
  <c r="DC27" i="70"/>
  <c r="DB27" i="70"/>
  <c r="DA27" i="70"/>
  <c r="CZ27" i="70"/>
  <c r="CY27" i="70"/>
  <c r="CC27" i="70"/>
  <c r="CB27" i="70"/>
  <c r="BF27" i="70"/>
  <c r="BE27" i="70"/>
  <c r="BD27" i="70"/>
  <c r="BC27" i="70"/>
  <c r="AE27" i="70"/>
  <c r="AD27" i="70"/>
  <c r="AC27" i="70"/>
  <c r="AB27" i="70"/>
  <c r="AA27" i="70"/>
  <c r="DF26" i="70"/>
  <c r="DE26" i="70"/>
  <c r="DD26" i="70"/>
  <c r="DC26" i="70"/>
  <c r="DB26" i="70"/>
  <c r="DA26" i="70"/>
  <c r="CZ26" i="70"/>
  <c r="CY26" i="70"/>
  <c r="CC26" i="70"/>
  <c r="CB26" i="70"/>
  <c r="BF26" i="70"/>
  <c r="BE26" i="70"/>
  <c r="BD26" i="70"/>
  <c r="BC26" i="70"/>
  <c r="AE26" i="70"/>
  <c r="AD26" i="70"/>
  <c r="AC26" i="70"/>
  <c r="AB26" i="70"/>
  <c r="AA26" i="70"/>
  <c r="DF25" i="70"/>
  <c r="DE25" i="70"/>
  <c r="DD25" i="70"/>
  <c r="DC25" i="70"/>
  <c r="DB25" i="70"/>
  <c r="DA25" i="70"/>
  <c r="CZ25" i="70"/>
  <c r="CY25" i="70"/>
  <c r="CC25" i="70"/>
  <c r="CB25" i="70"/>
  <c r="BF25" i="70"/>
  <c r="BE25" i="70"/>
  <c r="BD25" i="70"/>
  <c r="BC25" i="70"/>
  <c r="AE25" i="70"/>
  <c r="AD25" i="70"/>
  <c r="AC25" i="70"/>
  <c r="AB25" i="70"/>
  <c r="AA25" i="70"/>
  <c r="DF24" i="70"/>
  <c r="DE24" i="70"/>
  <c r="DD24" i="70"/>
  <c r="DC24" i="70"/>
  <c r="DB24" i="70"/>
  <c r="DA24" i="70"/>
  <c r="CZ24" i="70"/>
  <c r="CY24" i="70"/>
  <c r="CC24" i="70"/>
  <c r="CB24" i="70"/>
  <c r="BF24" i="70"/>
  <c r="BE24" i="70"/>
  <c r="BD24" i="70"/>
  <c r="BC24" i="70"/>
  <c r="AE24" i="70"/>
  <c r="AD24" i="70"/>
  <c r="AC24" i="70"/>
  <c r="AB24" i="70"/>
  <c r="AA24" i="70"/>
  <c r="DF23" i="70"/>
  <c r="DE23" i="70"/>
  <c r="DD23" i="70"/>
  <c r="DC23" i="70"/>
  <c r="DB23" i="70"/>
  <c r="DA23" i="70"/>
  <c r="CZ23" i="70"/>
  <c r="CY23" i="70"/>
  <c r="CC23" i="70"/>
  <c r="CB23" i="70"/>
  <c r="BF23" i="70"/>
  <c r="BE23" i="70"/>
  <c r="BD23" i="70"/>
  <c r="BC23" i="70"/>
  <c r="AE23" i="70"/>
  <c r="AD23" i="70"/>
  <c r="AC23" i="70"/>
  <c r="AB23" i="70"/>
  <c r="AA23" i="70"/>
  <c r="DF22" i="70"/>
  <c r="DE22" i="70"/>
  <c r="DD22" i="70"/>
  <c r="DC22" i="70"/>
  <c r="DB22" i="70"/>
  <c r="DA22" i="70"/>
  <c r="CZ22" i="70"/>
  <c r="CY22" i="70"/>
  <c r="CC22" i="70"/>
  <c r="CB22" i="70"/>
  <c r="BF22" i="70"/>
  <c r="BE22" i="70"/>
  <c r="BD22" i="70"/>
  <c r="BC22" i="70"/>
  <c r="AE22" i="70"/>
  <c r="AD22" i="70"/>
  <c r="AC22" i="70"/>
  <c r="AB22" i="70"/>
  <c r="AA22" i="70"/>
  <c r="DF21" i="70"/>
  <c r="DE21" i="70"/>
  <c r="DD21" i="70"/>
  <c r="DC21" i="70"/>
  <c r="DB21" i="70"/>
  <c r="DA21" i="70"/>
  <c r="CZ21" i="70"/>
  <c r="CY21" i="70"/>
  <c r="CC21" i="70"/>
  <c r="CB21" i="70"/>
  <c r="BF21" i="70"/>
  <c r="BE21" i="70"/>
  <c r="BD21" i="70"/>
  <c r="BC21" i="70"/>
  <c r="AE21" i="70"/>
  <c r="AD21" i="70"/>
  <c r="AC21" i="70"/>
  <c r="AB21" i="70"/>
  <c r="AA21" i="70"/>
  <c r="DF20" i="70"/>
  <c r="DE20" i="70"/>
  <c r="DD20" i="70"/>
  <c r="DC20" i="70"/>
  <c r="DB20" i="70"/>
  <c r="DA20" i="70"/>
  <c r="CZ20" i="70"/>
  <c r="CY20" i="70"/>
  <c r="CC20" i="70"/>
  <c r="CB20" i="70"/>
  <c r="BF20" i="70"/>
  <c r="BE20" i="70"/>
  <c r="BD20" i="70"/>
  <c r="BC20" i="70"/>
  <c r="AE20" i="70"/>
  <c r="AD20" i="70"/>
  <c r="AC20" i="70"/>
  <c r="AB20" i="70"/>
  <c r="AA20" i="70"/>
  <c r="DF19" i="70"/>
  <c r="DE19" i="70"/>
  <c r="DD19" i="70"/>
  <c r="DC19" i="70"/>
  <c r="DB19" i="70"/>
  <c r="DA19" i="70"/>
  <c r="CZ19" i="70"/>
  <c r="CY19" i="70"/>
  <c r="CC19" i="70"/>
  <c r="CB19" i="70"/>
  <c r="BF19" i="70"/>
  <c r="BE19" i="70"/>
  <c r="BD19" i="70"/>
  <c r="BC19" i="70"/>
  <c r="AE19" i="70"/>
  <c r="AD19" i="70"/>
  <c r="AC19" i="70"/>
  <c r="AB19" i="70"/>
  <c r="AA19" i="70"/>
  <c r="DF18" i="70"/>
  <c r="DE18" i="70"/>
  <c r="DD18" i="70"/>
  <c r="DC18" i="70"/>
  <c r="DB18" i="70"/>
  <c r="DA18" i="70"/>
  <c r="CZ18" i="70"/>
  <c r="CY18" i="70"/>
  <c r="CC18" i="70"/>
  <c r="CB18" i="70"/>
  <c r="BF18" i="70"/>
  <c r="BE18" i="70"/>
  <c r="BD18" i="70"/>
  <c r="BC18" i="70"/>
  <c r="AE18" i="70"/>
  <c r="AD18" i="70"/>
  <c r="AC18" i="70"/>
  <c r="AB18" i="70"/>
  <c r="AA18" i="70"/>
  <c r="DF17" i="70"/>
  <c r="DE17" i="70"/>
  <c r="DD17" i="70"/>
  <c r="DC17" i="70"/>
  <c r="DB17" i="70"/>
  <c r="DA17" i="70"/>
  <c r="CZ17" i="70"/>
  <c r="CY17" i="70"/>
  <c r="CC17" i="70"/>
  <c r="CB17" i="70"/>
  <c r="BF17" i="70"/>
  <c r="BE17" i="70"/>
  <c r="BD17" i="70"/>
  <c r="BC17" i="70"/>
  <c r="AE17" i="70"/>
  <c r="AD17" i="70"/>
  <c r="AC17" i="70"/>
  <c r="AB17" i="70"/>
  <c r="AA17" i="70"/>
  <c r="DF16" i="70"/>
  <c r="DE16" i="70"/>
  <c r="DD16" i="70"/>
  <c r="DC16" i="70"/>
  <c r="DB16" i="70"/>
  <c r="DA16" i="70"/>
  <c r="CZ16" i="70"/>
  <c r="CY16" i="70"/>
  <c r="CC16" i="70"/>
  <c r="CB16" i="70"/>
  <c r="BF16" i="70"/>
  <c r="BE16" i="70"/>
  <c r="BD16" i="70"/>
  <c r="BC16" i="70"/>
  <c r="AE16" i="70"/>
  <c r="AD16" i="70"/>
  <c r="AC16" i="70"/>
  <c r="AB16" i="70"/>
  <c r="AA16" i="70"/>
  <c r="DF15" i="70"/>
  <c r="DE15" i="70"/>
  <c r="DD15" i="70"/>
  <c r="DC15" i="70"/>
  <c r="DB15" i="70"/>
  <c r="DA15" i="70"/>
  <c r="CZ15" i="70"/>
  <c r="CY15" i="70"/>
  <c r="CC15" i="70"/>
  <c r="CB15" i="70"/>
  <c r="BF15" i="70"/>
  <c r="BE15" i="70"/>
  <c r="BD15" i="70"/>
  <c r="BC15" i="70"/>
  <c r="AE15" i="70"/>
  <c r="AD15" i="70"/>
  <c r="AC15" i="70"/>
  <c r="AB15" i="70"/>
  <c r="AA15" i="70"/>
  <c r="DF14" i="70"/>
  <c r="DE14" i="70"/>
  <c r="DD14" i="70"/>
  <c r="DC14" i="70"/>
  <c r="DB14" i="70"/>
  <c r="DA14" i="70"/>
  <c r="CZ14" i="70"/>
  <c r="CY14" i="70"/>
  <c r="CC14" i="70"/>
  <c r="CB14" i="70"/>
  <c r="BF14" i="70"/>
  <c r="BE14" i="70"/>
  <c r="BD14" i="70"/>
  <c r="BC14" i="70"/>
  <c r="AE14" i="70"/>
  <c r="AD14" i="70"/>
  <c r="AC14" i="70"/>
  <c r="AB14" i="70"/>
  <c r="AA14" i="70"/>
  <c r="A14" i="70"/>
  <c r="AO93" i="69"/>
  <c r="BL93" i="69" s="1"/>
  <c r="AO92" i="69"/>
  <c r="BL92" i="69" s="1"/>
  <c r="AO91" i="69"/>
  <c r="BL91" i="69" s="1"/>
  <c r="AO90" i="69"/>
  <c r="BL90" i="69" s="1"/>
  <c r="A52" i="69"/>
  <c r="A51" i="69"/>
  <c r="A50" i="69"/>
  <c r="A49" i="69"/>
  <c r="A47" i="69"/>
  <c r="R45" i="69"/>
  <c r="DF44" i="69"/>
  <c r="DE44" i="69"/>
  <c r="DD44" i="69"/>
  <c r="DC44" i="69"/>
  <c r="DB44" i="69"/>
  <c r="DA44" i="69"/>
  <c r="CZ44" i="69"/>
  <c r="CY44" i="69"/>
  <c r="CC44" i="69"/>
  <c r="CB44" i="69"/>
  <c r="BF44" i="69"/>
  <c r="BE44" i="69"/>
  <c r="BD44" i="69"/>
  <c r="BC44" i="69"/>
  <c r="AE44" i="69"/>
  <c r="AD44" i="69"/>
  <c r="AC44" i="69"/>
  <c r="AB44" i="69"/>
  <c r="AA44" i="69"/>
  <c r="DF43" i="69"/>
  <c r="DE43" i="69"/>
  <c r="DD43" i="69"/>
  <c r="DC43" i="69"/>
  <c r="DB43" i="69"/>
  <c r="DA43" i="69"/>
  <c r="CZ43" i="69"/>
  <c r="CY43" i="69"/>
  <c r="CC43" i="69"/>
  <c r="CB43" i="69"/>
  <c r="BF43" i="69"/>
  <c r="BE43" i="69"/>
  <c r="BD43" i="69"/>
  <c r="BC43" i="69"/>
  <c r="AE43" i="69"/>
  <c r="AD43" i="69"/>
  <c r="AC43" i="69"/>
  <c r="AB43" i="69"/>
  <c r="AA43" i="69"/>
  <c r="DF42" i="69"/>
  <c r="DE42" i="69"/>
  <c r="DD42" i="69"/>
  <c r="DC42" i="69"/>
  <c r="DB42" i="69"/>
  <c r="DA42" i="69"/>
  <c r="CZ42" i="69"/>
  <c r="CY42" i="69"/>
  <c r="CC42" i="69"/>
  <c r="CB42" i="69"/>
  <c r="BF42" i="69"/>
  <c r="BE42" i="69"/>
  <c r="BD42" i="69"/>
  <c r="BC42" i="69"/>
  <c r="AE42" i="69"/>
  <c r="AD42" i="69"/>
  <c r="AC42" i="69"/>
  <c r="AB42" i="69"/>
  <c r="AA42" i="69"/>
  <c r="DF41" i="69"/>
  <c r="DE41" i="69"/>
  <c r="DD41" i="69"/>
  <c r="DC41" i="69"/>
  <c r="DB41" i="69"/>
  <c r="DA41" i="69"/>
  <c r="CZ41" i="69"/>
  <c r="CY41" i="69"/>
  <c r="CC41" i="69"/>
  <c r="CB41" i="69"/>
  <c r="BF41" i="69"/>
  <c r="BE41" i="69"/>
  <c r="BD41" i="69"/>
  <c r="BC41" i="69"/>
  <c r="AE41" i="69"/>
  <c r="AD41" i="69"/>
  <c r="AC41" i="69"/>
  <c r="AB41" i="69"/>
  <c r="AA41" i="69"/>
  <c r="DF40" i="69"/>
  <c r="DE40" i="69"/>
  <c r="DD40" i="69"/>
  <c r="DC40" i="69"/>
  <c r="DB40" i="69"/>
  <c r="DA40" i="69"/>
  <c r="CZ40" i="69"/>
  <c r="CY40" i="69"/>
  <c r="CC40" i="69"/>
  <c r="CB40" i="69"/>
  <c r="BF40" i="69"/>
  <c r="BE40" i="69"/>
  <c r="BD40" i="69"/>
  <c r="BC40" i="69"/>
  <c r="AE40" i="69"/>
  <c r="AD40" i="69"/>
  <c r="AC40" i="69"/>
  <c r="AB40" i="69"/>
  <c r="AA40" i="69"/>
  <c r="DF39" i="69"/>
  <c r="DE39" i="69"/>
  <c r="DD39" i="69"/>
  <c r="DC39" i="69"/>
  <c r="DB39" i="69"/>
  <c r="DA39" i="69"/>
  <c r="CZ39" i="69"/>
  <c r="CY39" i="69"/>
  <c r="CC39" i="69"/>
  <c r="CB39" i="69"/>
  <c r="BF39" i="69"/>
  <c r="BE39" i="69"/>
  <c r="BD39" i="69"/>
  <c r="BC39" i="69"/>
  <c r="AE39" i="69"/>
  <c r="AD39" i="69"/>
  <c r="AC39" i="69"/>
  <c r="AB39" i="69"/>
  <c r="AA39" i="69"/>
  <c r="DF38" i="69"/>
  <c r="DE38" i="69"/>
  <c r="DD38" i="69"/>
  <c r="DC38" i="69"/>
  <c r="DB38" i="69"/>
  <c r="DA38" i="69"/>
  <c r="CZ38" i="69"/>
  <c r="CY38" i="69"/>
  <c r="CC38" i="69"/>
  <c r="CB38" i="69"/>
  <c r="BF38" i="69"/>
  <c r="BE38" i="69"/>
  <c r="BD38" i="69"/>
  <c r="BC38" i="69"/>
  <c r="AE38" i="69"/>
  <c r="AD38" i="69"/>
  <c r="AC38" i="69"/>
  <c r="AB38" i="69"/>
  <c r="AA38" i="69"/>
  <c r="DF37" i="69"/>
  <c r="DE37" i="69"/>
  <c r="DD37" i="69"/>
  <c r="DC37" i="69"/>
  <c r="DB37" i="69"/>
  <c r="DA37" i="69"/>
  <c r="CZ37" i="69"/>
  <c r="CY37" i="69"/>
  <c r="CC37" i="69"/>
  <c r="CB37" i="69"/>
  <c r="BF37" i="69"/>
  <c r="BE37" i="69"/>
  <c r="BD37" i="69"/>
  <c r="BC37" i="69"/>
  <c r="AE37" i="69"/>
  <c r="AD37" i="69"/>
  <c r="AC37" i="69"/>
  <c r="AB37" i="69"/>
  <c r="AA37" i="69"/>
  <c r="DF36" i="69"/>
  <c r="DE36" i="69"/>
  <c r="DD36" i="69"/>
  <c r="DC36" i="69"/>
  <c r="DB36" i="69"/>
  <c r="DA36" i="69"/>
  <c r="CZ36" i="69"/>
  <c r="CY36" i="69"/>
  <c r="CC36" i="69"/>
  <c r="CB36" i="69"/>
  <c r="BF36" i="69"/>
  <c r="BE36" i="69"/>
  <c r="BD36" i="69"/>
  <c r="BC36" i="69"/>
  <c r="AE36" i="69"/>
  <c r="AD36" i="69"/>
  <c r="AC36" i="69"/>
  <c r="AB36" i="69"/>
  <c r="AA36" i="69"/>
  <c r="DF35" i="69"/>
  <c r="DE35" i="69"/>
  <c r="DD35" i="69"/>
  <c r="DC35" i="69"/>
  <c r="DB35" i="69"/>
  <c r="DA35" i="69"/>
  <c r="CZ35" i="69"/>
  <c r="CY35" i="69"/>
  <c r="CC35" i="69"/>
  <c r="CB35" i="69"/>
  <c r="BF35" i="69"/>
  <c r="BE35" i="69"/>
  <c r="BD35" i="69"/>
  <c r="BC35" i="69"/>
  <c r="AE35" i="69"/>
  <c r="AD35" i="69"/>
  <c r="AC35" i="69"/>
  <c r="AB35" i="69"/>
  <c r="AA35" i="69"/>
  <c r="DF34" i="69"/>
  <c r="DE34" i="69"/>
  <c r="DD34" i="69"/>
  <c r="DC34" i="69"/>
  <c r="DB34" i="69"/>
  <c r="DA34" i="69"/>
  <c r="CZ34" i="69"/>
  <c r="CY34" i="69"/>
  <c r="CC34" i="69"/>
  <c r="CB34" i="69"/>
  <c r="BF34" i="69"/>
  <c r="BE34" i="69"/>
  <c r="BD34" i="69"/>
  <c r="BC34" i="69"/>
  <c r="AE34" i="69"/>
  <c r="AD34" i="69"/>
  <c r="AC34" i="69"/>
  <c r="AB34" i="69"/>
  <c r="AA34" i="69"/>
  <c r="DF33" i="69"/>
  <c r="DE33" i="69"/>
  <c r="DD33" i="69"/>
  <c r="DC33" i="69"/>
  <c r="DB33" i="69"/>
  <c r="DA33" i="69"/>
  <c r="CZ33" i="69"/>
  <c r="CY33" i="69"/>
  <c r="CC33" i="69"/>
  <c r="CB33" i="69"/>
  <c r="BF33" i="69"/>
  <c r="BE33" i="69"/>
  <c r="BD33" i="69"/>
  <c r="BC33" i="69"/>
  <c r="AE33" i="69"/>
  <c r="AD33" i="69"/>
  <c r="AC33" i="69"/>
  <c r="AB33" i="69"/>
  <c r="AA33" i="69"/>
  <c r="DF32" i="69"/>
  <c r="DE32" i="69"/>
  <c r="DD32" i="69"/>
  <c r="DC32" i="69"/>
  <c r="DB32" i="69"/>
  <c r="DA32" i="69"/>
  <c r="CZ32" i="69"/>
  <c r="CY32" i="69"/>
  <c r="CC32" i="69"/>
  <c r="CB32" i="69"/>
  <c r="BF32" i="69"/>
  <c r="BE32" i="69"/>
  <c r="BD32" i="69"/>
  <c r="BC32" i="69"/>
  <c r="AE32" i="69"/>
  <c r="AD32" i="69"/>
  <c r="AC32" i="69"/>
  <c r="AB32" i="69"/>
  <c r="AA32" i="69"/>
  <c r="DF31" i="69"/>
  <c r="DE31" i="69"/>
  <c r="DD31" i="69"/>
  <c r="DC31" i="69"/>
  <c r="DB31" i="69"/>
  <c r="DA31" i="69"/>
  <c r="CZ31" i="69"/>
  <c r="CY31" i="69"/>
  <c r="CC31" i="69"/>
  <c r="CB31" i="69"/>
  <c r="BF31" i="69"/>
  <c r="BE31" i="69"/>
  <c r="BD31" i="69"/>
  <c r="BC31" i="69"/>
  <c r="AE31" i="69"/>
  <c r="AD31" i="69"/>
  <c r="AC31" i="69"/>
  <c r="AB31" i="69"/>
  <c r="AA31" i="69"/>
  <c r="DF30" i="69"/>
  <c r="DE30" i="69"/>
  <c r="DD30" i="69"/>
  <c r="DC30" i="69"/>
  <c r="DB30" i="69"/>
  <c r="DA30" i="69"/>
  <c r="CZ30" i="69"/>
  <c r="CY30" i="69"/>
  <c r="CC30" i="69"/>
  <c r="CB30" i="69"/>
  <c r="BF30" i="69"/>
  <c r="BE30" i="69"/>
  <c r="BD30" i="69"/>
  <c r="BC30" i="69"/>
  <c r="AE30" i="69"/>
  <c r="AD30" i="69"/>
  <c r="AC30" i="69"/>
  <c r="AB30" i="69"/>
  <c r="AA30" i="69"/>
  <c r="DF29" i="69"/>
  <c r="DE29" i="69"/>
  <c r="DD29" i="69"/>
  <c r="DC29" i="69"/>
  <c r="DB29" i="69"/>
  <c r="DA29" i="69"/>
  <c r="CZ29" i="69"/>
  <c r="CY29" i="69"/>
  <c r="CC29" i="69"/>
  <c r="CB29" i="69"/>
  <c r="BF29" i="69"/>
  <c r="BE29" i="69"/>
  <c r="BD29" i="69"/>
  <c r="BC29" i="69"/>
  <c r="AE29" i="69"/>
  <c r="AD29" i="69"/>
  <c r="AC29" i="69"/>
  <c r="AB29" i="69"/>
  <c r="AA29" i="69"/>
  <c r="DF28" i="69"/>
  <c r="DE28" i="69"/>
  <c r="DD28" i="69"/>
  <c r="DC28" i="69"/>
  <c r="DB28" i="69"/>
  <c r="DA28" i="69"/>
  <c r="CZ28" i="69"/>
  <c r="CY28" i="69"/>
  <c r="CC28" i="69"/>
  <c r="CB28" i="69"/>
  <c r="BF28" i="69"/>
  <c r="BE28" i="69"/>
  <c r="BD28" i="69"/>
  <c r="BC28" i="69"/>
  <c r="AE28" i="69"/>
  <c r="AD28" i="69"/>
  <c r="AC28" i="69"/>
  <c r="AB28" i="69"/>
  <c r="AA28" i="69"/>
  <c r="DF27" i="69"/>
  <c r="DE27" i="69"/>
  <c r="DD27" i="69"/>
  <c r="DC27" i="69"/>
  <c r="DB27" i="69"/>
  <c r="DA27" i="69"/>
  <c r="CZ27" i="69"/>
  <c r="CY27" i="69"/>
  <c r="CC27" i="69"/>
  <c r="CB27" i="69"/>
  <c r="BF27" i="69"/>
  <c r="BE27" i="69"/>
  <c r="BD27" i="69"/>
  <c r="BC27" i="69"/>
  <c r="AE27" i="69"/>
  <c r="AD27" i="69"/>
  <c r="AC27" i="69"/>
  <c r="AB27" i="69"/>
  <c r="AA27" i="69"/>
  <c r="DF26" i="69"/>
  <c r="DE26" i="69"/>
  <c r="DD26" i="69"/>
  <c r="DC26" i="69"/>
  <c r="DB26" i="69"/>
  <c r="DA26" i="69"/>
  <c r="CZ26" i="69"/>
  <c r="CY26" i="69"/>
  <c r="CC26" i="69"/>
  <c r="CB26" i="69"/>
  <c r="BF26" i="69"/>
  <c r="BE26" i="69"/>
  <c r="BD26" i="69"/>
  <c r="BC26" i="69"/>
  <c r="AE26" i="69"/>
  <c r="AD26" i="69"/>
  <c r="AC26" i="69"/>
  <c r="AB26" i="69"/>
  <c r="AA26" i="69"/>
  <c r="DF25" i="69"/>
  <c r="DE25" i="69"/>
  <c r="DD25" i="69"/>
  <c r="DC25" i="69"/>
  <c r="DB25" i="69"/>
  <c r="DA25" i="69"/>
  <c r="CZ25" i="69"/>
  <c r="CY25" i="69"/>
  <c r="CC25" i="69"/>
  <c r="CB25" i="69"/>
  <c r="BF25" i="69"/>
  <c r="BE25" i="69"/>
  <c r="BD25" i="69"/>
  <c r="BC25" i="69"/>
  <c r="AE25" i="69"/>
  <c r="AD25" i="69"/>
  <c r="AC25" i="69"/>
  <c r="AB25" i="69"/>
  <c r="AA25" i="69"/>
  <c r="DF24" i="69"/>
  <c r="DE24" i="69"/>
  <c r="DD24" i="69"/>
  <c r="DC24" i="69"/>
  <c r="DB24" i="69"/>
  <c r="DA24" i="69"/>
  <c r="CZ24" i="69"/>
  <c r="CY24" i="69"/>
  <c r="CC24" i="69"/>
  <c r="CB24" i="69"/>
  <c r="BF24" i="69"/>
  <c r="BE24" i="69"/>
  <c r="BD24" i="69"/>
  <c r="BC24" i="69"/>
  <c r="AE24" i="69"/>
  <c r="AD24" i="69"/>
  <c r="AC24" i="69"/>
  <c r="AB24" i="69"/>
  <c r="AA24" i="69"/>
  <c r="DF23" i="69"/>
  <c r="DE23" i="69"/>
  <c r="DD23" i="69"/>
  <c r="DC23" i="69"/>
  <c r="DB23" i="69"/>
  <c r="DA23" i="69"/>
  <c r="CZ23" i="69"/>
  <c r="CY23" i="69"/>
  <c r="CC23" i="69"/>
  <c r="CB23" i="69"/>
  <c r="BF23" i="69"/>
  <c r="BE23" i="69"/>
  <c r="BD23" i="69"/>
  <c r="BC23" i="69"/>
  <c r="AE23" i="69"/>
  <c r="AD23" i="69"/>
  <c r="AC23" i="69"/>
  <c r="AB23" i="69"/>
  <c r="AA23" i="69"/>
  <c r="DF22" i="69"/>
  <c r="DE22" i="69"/>
  <c r="DD22" i="69"/>
  <c r="DC22" i="69"/>
  <c r="DB22" i="69"/>
  <c r="DA22" i="69"/>
  <c r="CZ22" i="69"/>
  <c r="CY22" i="69"/>
  <c r="CC22" i="69"/>
  <c r="CB22" i="69"/>
  <c r="BF22" i="69"/>
  <c r="BE22" i="69"/>
  <c r="BD22" i="69"/>
  <c r="BC22" i="69"/>
  <c r="AE22" i="69"/>
  <c r="AD22" i="69"/>
  <c r="AC22" i="69"/>
  <c r="AB22" i="69"/>
  <c r="AA22" i="69"/>
  <c r="DF21" i="69"/>
  <c r="DE21" i="69"/>
  <c r="DD21" i="69"/>
  <c r="DC21" i="69"/>
  <c r="DB21" i="69"/>
  <c r="DA21" i="69"/>
  <c r="CZ21" i="69"/>
  <c r="CY21" i="69"/>
  <c r="CC21" i="69"/>
  <c r="CB21" i="69"/>
  <c r="BF21" i="69"/>
  <c r="BE21" i="69"/>
  <c r="BD21" i="69"/>
  <c r="BC21" i="69"/>
  <c r="AE21" i="69"/>
  <c r="AD21" i="69"/>
  <c r="AC21" i="69"/>
  <c r="AB21" i="69"/>
  <c r="AA21" i="69"/>
  <c r="DF20" i="69"/>
  <c r="DE20" i="69"/>
  <c r="DD20" i="69"/>
  <c r="DC20" i="69"/>
  <c r="DB20" i="69"/>
  <c r="DA20" i="69"/>
  <c r="CZ20" i="69"/>
  <c r="CY20" i="69"/>
  <c r="CC20" i="69"/>
  <c r="CB20" i="69"/>
  <c r="BF20" i="69"/>
  <c r="BE20" i="69"/>
  <c r="BD20" i="69"/>
  <c r="BC20" i="69"/>
  <c r="AE20" i="69"/>
  <c r="AD20" i="69"/>
  <c r="AC20" i="69"/>
  <c r="AB20" i="69"/>
  <c r="AA20" i="69"/>
  <c r="DF19" i="69"/>
  <c r="DE19" i="69"/>
  <c r="DD19" i="69"/>
  <c r="DC19" i="69"/>
  <c r="DB19" i="69"/>
  <c r="DA19" i="69"/>
  <c r="CZ19" i="69"/>
  <c r="CY19" i="69"/>
  <c r="CC19" i="69"/>
  <c r="CB19" i="69"/>
  <c r="BF19" i="69"/>
  <c r="BE19" i="69"/>
  <c r="BD19" i="69"/>
  <c r="BC19" i="69"/>
  <c r="AE19" i="69"/>
  <c r="AD19" i="69"/>
  <c r="AC19" i="69"/>
  <c r="AB19" i="69"/>
  <c r="AA19" i="69"/>
  <c r="DF18" i="69"/>
  <c r="DE18" i="69"/>
  <c r="DD18" i="69"/>
  <c r="DC18" i="69"/>
  <c r="DB18" i="69"/>
  <c r="DA18" i="69"/>
  <c r="CZ18" i="69"/>
  <c r="CY18" i="69"/>
  <c r="CC18" i="69"/>
  <c r="CB18" i="69"/>
  <c r="BF18" i="69"/>
  <c r="BE18" i="69"/>
  <c r="BD18" i="69"/>
  <c r="BC18" i="69"/>
  <c r="AE18" i="69"/>
  <c r="AD18" i="69"/>
  <c r="AC18" i="69"/>
  <c r="AB18" i="69"/>
  <c r="AA18" i="69"/>
  <c r="DF17" i="69"/>
  <c r="DE17" i="69"/>
  <c r="DD17" i="69"/>
  <c r="DC17" i="69"/>
  <c r="DB17" i="69"/>
  <c r="DA17" i="69"/>
  <c r="CZ17" i="69"/>
  <c r="CY17" i="69"/>
  <c r="CC17" i="69"/>
  <c r="CB17" i="69"/>
  <c r="BF17" i="69"/>
  <c r="BE17" i="69"/>
  <c r="BD17" i="69"/>
  <c r="BC17" i="69"/>
  <c r="AE17" i="69"/>
  <c r="AD17" i="69"/>
  <c r="AC17" i="69"/>
  <c r="AB17" i="69"/>
  <c r="AA17" i="69"/>
  <c r="DF16" i="69"/>
  <c r="DE16" i="69"/>
  <c r="DD16" i="69"/>
  <c r="DC16" i="69"/>
  <c r="DB16" i="69"/>
  <c r="DA16" i="69"/>
  <c r="CZ16" i="69"/>
  <c r="CY16" i="69"/>
  <c r="CC16" i="69"/>
  <c r="CB16" i="69"/>
  <c r="BF16" i="69"/>
  <c r="BE16" i="69"/>
  <c r="BD16" i="69"/>
  <c r="BC16" i="69"/>
  <c r="AE16" i="69"/>
  <c r="AD16" i="69"/>
  <c r="AC16" i="69"/>
  <c r="AB16" i="69"/>
  <c r="AA16" i="69"/>
  <c r="DF15" i="69"/>
  <c r="DE15" i="69"/>
  <c r="DD15" i="69"/>
  <c r="DC15" i="69"/>
  <c r="DB15" i="69"/>
  <c r="DA15" i="69"/>
  <c r="CZ15" i="69"/>
  <c r="CY15" i="69"/>
  <c r="CC15" i="69"/>
  <c r="CB15" i="69"/>
  <c r="BF15" i="69"/>
  <c r="BE15" i="69"/>
  <c r="BD15" i="69"/>
  <c r="BC15" i="69"/>
  <c r="AE15" i="69"/>
  <c r="AD15" i="69"/>
  <c r="AC15" i="69"/>
  <c r="AB15" i="69"/>
  <c r="AA15" i="69"/>
  <c r="DF14" i="69"/>
  <c r="DE14" i="69"/>
  <c r="DD14" i="69"/>
  <c r="DC14" i="69"/>
  <c r="DB14" i="69"/>
  <c r="DA14" i="69"/>
  <c r="CZ14" i="69"/>
  <c r="CY14" i="69"/>
  <c r="CC14" i="69"/>
  <c r="CB14" i="69"/>
  <c r="BF14" i="69"/>
  <c r="BE14" i="69"/>
  <c r="BD14" i="69"/>
  <c r="BC14" i="69"/>
  <c r="AE14" i="69"/>
  <c r="AD14" i="69"/>
  <c r="AC14" i="69"/>
  <c r="AB14" i="69"/>
  <c r="AA14" i="69"/>
  <c r="A14" i="69"/>
  <c r="AO91" i="68"/>
  <c r="BL91" i="68" s="1"/>
  <c r="AO90" i="68"/>
  <c r="BL90" i="68" s="1"/>
  <c r="AO89" i="68"/>
  <c r="BL89" i="68" s="1"/>
  <c r="AO88" i="68"/>
  <c r="BL88" i="68" s="1"/>
  <c r="A54" i="68"/>
  <c r="A50" i="68"/>
  <c r="A49" i="68"/>
  <c r="A48" i="68"/>
  <c r="A47" i="68"/>
  <c r="A45" i="68"/>
  <c r="AE40" i="68"/>
  <c r="AD40" i="68"/>
  <c r="AC40" i="68"/>
  <c r="AB40" i="68"/>
  <c r="AA40" i="68"/>
  <c r="DF39" i="68"/>
  <c r="DE39" i="68"/>
  <c r="DD39" i="68"/>
  <c r="DC39" i="68"/>
  <c r="DB39" i="68"/>
  <c r="DA39" i="68"/>
  <c r="CZ39" i="68"/>
  <c r="CY39" i="68"/>
  <c r="CC39" i="68"/>
  <c r="CB39" i="68"/>
  <c r="BF39" i="68"/>
  <c r="BE39" i="68"/>
  <c r="BD39" i="68"/>
  <c r="BC39" i="68"/>
  <c r="AE39" i="68"/>
  <c r="AD39" i="68"/>
  <c r="AC39" i="68"/>
  <c r="AB39" i="68"/>
  <c r="AA39" i="68"/>
  <c r="DF38" i="68"/>
  <c r="DE38" i="68"/>
  <c r="DD38" i="68"/>
  <c r="DC38" i="68"/>
  <c r="DB38" i="68"/>
  <c r="DA38" i="68"/>
  <c r="CZ38" i="68"/>
  <c r="CY38" i="68"/>
  <c r="CC38" i="68"/>
  <c r="CB38" i="68"/>
  <c r="BF38" i="68"/>
  <c r="BE38" i="68"/>
  <c r="BD38" i="68"/>
  <c r="BC38" i="68"/>
  <c r="AE38" i="68"/>
  <c r="AD38" i="68"/>
  <c r="AC38" i="68"/>
  <c r="AB38" i="68"/>
  <c r="AA38" i="68"/>
  <c r="DF37" i="68"/>
  <c r="DE37" i="68"/>
  <c r="DD37" i="68"/>
  <c r="DC37" i="68"/>
  <c r="DB37" i="68"/>
  <c r="DA37" i="68"/>
  <c r="CZ37" i="68"/>
  <c r="CY37" i="68"/>
  <c r="CC37" i="68"/>
  <c r="CB37" i="68"/>
  <c r="BF37" i="68"/>
  <c r="BE37" i="68"/>
  <c r="BD37" i="68"/>
  <c r="BC37" i="68"/>
  <c r="AE37" i="68"/>
  <c r="AD37" i="68"/>
  <c r="AC37" i="68"/>
  <c r="AB37" i="68"/>
  <c r="AA37" i="68"/>
  <c r="DF36" i="68"/>
  <c r="DE36" i="68"/>
  <c r="DD36" i="68"/>
  <c r="DC36" i="68"/>
  <c r="DB36" i="68"/>
  <c r="DA36" i="68"/>
  <c r="CZ36" i="68"/>
  <c r="CY36" i="68"/>
  <c r="CC36" i="68"/>
  <c r="CB36" i="68"/>
  <c r="BF36" i="68"/>
  <c r="BE36" i="68"/>
  <c r="BD36" i="68"/>
  <c r="BC36" i="68"/>
  <c r="AE36" i="68"/>
  <c r="AD36" i="68"/>
  <c r="AC36" i="68"/>
  <c r="AB36" i="68"/>
  <c r="AA36" i="68"/>
  <c r="DF35" i="68"/>
  <c r="DE35" i="68"/>
  <c r="DD35" i="68"/>
  <c r="DC35" i="68"/>
  <c r="DB35" i="68"/>
  <c r="DA35" i="68"/>
  <c r="CZ35" i="68"/>
  <c r="CY35" i="68"/>
  <c r="CC35" i="68"/>
  <c r="CB35" i="68"/>
  <c r="BF35" i="68"/>
  <c r="BE35" i="68"/>
  <c r="BD35" i="68"/>
  <c r="BC35" i="68"/>
  <c r="AE35" i="68"/>
  <c r="AD35" i="68"/>
  <c r="AC35" i="68"/>
  <c r="AB35" i="68"/>
  <c r="AA35" i="68"/>
  <c r="DF34" i="68"/>
  <c r="DE34" i="68"/>
  <c r="DD34" i="68"/>
  <c r="DC34" i="68"/>
  <c r="DB34" i="68"/>
  <c r="DA34" i="68"/>
  <c r="CZ34" i="68"/>
  <c r="CY34" i="68"/>
  <c r="CC34" i="68"/>
  <c r="CB34" i="68"/>
  <c r="BF34" i="68"/>
  <c r="BE34" i="68"/>
  <c r="BD34" i="68"/>
  <c r="BC34" i="68"/>
  <c r="AE34" i="68"/>
  <c r="AD34" i="68"/>
  <c r="AC34" i="68"/>
  <c r="AB34" i="68"/>
  <c r="AA34" i="68"/>
  <c r="DF33" i="68"/>
  <c r="DE33" i="68"/>
  <c r="DD33" i="68"/>
  <c r="DC33" i="68"/>
  <c r="DB33" i="68"/>
  <c r="DA33" i="68"/>
  <c r="CZ33" i="68"/>
  <c r="CY33" i="68"/>
  <c r="CC33" i="68"/>
  <c r="CB33" i="68"/>
  <c r="BF33" i="68"/>
  <c r="BE33" i="68"/>
  <c r="BD33" i="68"/>
  <c r="BC33" i="68"/>
  <c r="AE33" i="68"/>
  <c r="AD33" i="68"/>
  <c r="AC33" i="68"/>
  <c r="AB33" i="68"/>
  <c r="AA33" i="68"/>
  <c r="DF32" i="68"/>
  <c r="DE32" i="68"/>
  <c r="DD32" i="68"/>
  <c r="DC32" i="68"/>
  <c r="DB32" i="68"/>
  <c r="DA32" i="68"/>
  <c r="CZ32" i="68"/>
  <c r="CY32" i="68"/>
  <c r="CC32" i="68"/>
  <c r="CB32" i="68"/>
  <c r="BF32" i="68"/>
  <c r="BE32" i="68"/>
  <c r="BD32" i="68"/>
  <c r="BC32" i="68"/>
  <c r="AE32" i="68"/>
  <c r="AD32" i="68"/>
  <c r="AC32" i="68"/>
  <c r="AB32" i="68"/>
  <c r="AA32" i="68"/>
  <c r="DF31" i="68"/>
  <c r="DE31" i="68"/>
  <c r="DD31" i="68"/>
  <c r="DC31" i="68"/>
  <c r="DB31" i="68"/>
  <c r="DA31" i="68"/>
  <c r="CZ31" i="68"/>
  <c r="CY31" i="68"/>
  <c r="CC31" i="68"/>
  <c r="CB31" i="68"/>
  <c r="BF31" i="68"/>
  <c r="BE31" i="68"/>
  <c r="BD31" i="68"/>
  <c r="BC31" i="68"/>
  <c r="AE31" i="68"/>
  <c r="AD31" i="68"/>
  <c r="AC31" i="68"/>
  <c r="AB31" i="68"/>
  <c r="AA31" i="68"/>
  <c r="DF30" i="68"/>
  <c r="DE30" i="68"/>
  <c r="DD30" i="68"/>
  <c r="DC30" i="68"/>
  <c r="DB30" i="68"/>
  <c r="DA30" i="68"/>
  <c r="CZ30" i="68"/>
  <c r="CY30" i="68"/>
  <c r="CC30" i="68"/>
  <c r="CB30" i="68"/>
  <c r="BF30" i="68"/>
  <c r="BE30" i="68"/>
  <c r="BD30" i="68"/>
  <c r="BC30" i="68"/>
  <c r="AE30" i="68"/>
  <c r="AD30" i="68"/>
  <c r="AC30" i="68"/>
  <c r="AB30" i="68"/>
  <c r="AA30" i="68"/>
  <c r="DF29" i="68"/>
  <c r="DE29" i="68"/>
  <c r="DD29" i="68"/>
  <c r="DC29" i="68"/>
  <c r="DB29" i="68"/>
  <c r="DA29" i="68"/>
  <c r="CZ29" i="68"/>
  <c r="CY29" i="68"/>
  <c r="CC29" i="68"/>
  <c r="CB29" i="68"/>
  <c r="BF29" i="68"/>
  <c r="BE29" i="68"/>
  <c r="BD29" i="68"/>
  <c r="BC29" i="68"/>
  <c r="AE29" i="68"/>
  <c r="AD29" i="68"/>
  <c r="AC29" i="68"/>
  <c r="AB29" i="68"/>
  <c r="AA29" i="68"/>
  <c r="DF28" i="68"/>
  <c r="DE28" i="68"/>
  <c r="DD28" i="68"/>
  <c r="DC28" i="68"/>
  <c r="DB28" i="68"/>
  <c r="DA28" i="68"/>
  <c r="CZ28" i="68"/>
  <c r="CY28" i="68"/>
  <c r="CC28" i="68"/>
  <c r="CB28" i="68"/>
  <c r="BF28" i="68"/>
  <c r="BE28" i="68"/>
  <c r="BD28" i="68"/>
  <c r="BC28" i="68"/>
  <c r="AE28" i="68"/>
  <c r="AD28" i="68"/>
  <c r="AC28" i="68"/>
  <c r="AB28" i="68"/>
  <c r="AA28" i="68"/>
  <c r="DF27" i="68"/>
  <c r="DE27" i="68"/>
  <c r="DD27" i="68"/>
  <c r="DC27" i="68"/>
  <c r="DB27" i="68"/>
  <c r="DA27" i="68"/>
  <c r="CZ27" i="68"/>
  <c r="CY27" i="68"/>
  <c r="CC27" i="68"/>
  <c r="CB27" i="68"/>
  <c r="BF27" i="68"/>
  <c r="BE27" i="68"/>
  <c r="BD27" i="68"/>
  <c r="BC27" i="68"/>
  <c r="AE27" i="68"/>
  <c r="AD27" i="68"/>
  <c r="AC27" i="68"/>
  <c r="AB27" i="68"/>
  <c r="AA27" i="68"/>
  <c r="DF26" i="68"/>
  <c r="DE26" i="68"/>
  <c r="DD26" i="68"/>
  <c r="DC26" i="68"/>
  <c r="DB26" i="68"/>
  <c r="DA26" i="68"/>
  <c r="CZ26" i="68"/>
  <c r="CY26" i="68"/>
  <c r="CC26" i="68"/>
  <c r="CB26" i="68"/>
  <c r="BF26" i="68"/>
  <c r="BE26" i="68"/>
  <c r="BD26" i="68"/>
  <c r="BC26" i="68"/>
  <c r="AE26" i="68"/>
  <c r="AD26" i="68"/>
  <c r="AC26" i="68"/>
  <c r="AB26" i="68"/>
  <c r="AA26" i="68"/>
  <c r="DF25" i="68"/>
  <c r="DE25" i="68"/>
  <c r="DD25" i="68"/>
  <c r="DC25" i="68"/>
  <c r="DB25" i="68"/>
  <c r="DA25" i="68"/>
  <c r="CZ25" i="68"/>
  <c r="CY25" i="68"/>
  <c r="CC25" i="68"/>
  <c r="CB25" i="68"/>
  <c r="BF25" i="68"/>
  <c r="BE25" i="68"/>
  <c r="BD25" i="68"/>
  <c r="BC25" i="68"/>
  <c r="AE25" i="68"/>
  <c r="AD25" i="68"/>
  <c r="AC25" i="68"/>
  <c r="AB25" i="68"/>
  <c r="AA25" i="68"/>
  <c r="DF24" i="68"/>
  <c r="DE24" i="68"/>
  <c r="DD24" i="68"/>
  <c r="DC24" i="68"/>
  <c r="DB24" i="68"/>
  <c r="DA24" i="68"/>
  <c r="CZ24" i="68"/>
  <c r="CY24" i="68"/>
  <c r="CC24" i="68"/>
  <c r="CB24" i="68"/>
  <c r="BF24" i="68"/>
  <c r="BE24" i="68"/>
  <c r="BD24" i="68"/>
  <c r="BC24" i="68"/>
  <c r="AE24" i="68"/>
  <c r="AD24" i="68"/>
  <c r="AC24" i="68"/>
  <c r="AB24" i="68"/>
  <c r="AA24" i="68"/>
  <c r="DF23" i="68"/>
  <c r="DE23" i="68"/>
  <c r="DD23" i="68"/>
  <c r="DC23" i="68"/>
  <c r="DB23" i="68"/>
  <c r="DA23" i="68"/>
  <c r="CZ23" i="68"/>
  <c r="CY23" i="68"/>
  <c r="CC23" i="68"/>
  <c r="CB23" i="68"/>
  <c r="BF23" i="68"/>
  <c r="BE23" i="68"/>
  <c r="BD23" i="68"/>
  <c r="BC23" i="68"/>
  <c r="AE23" i="68"/>
  <c r="AD23" i="68"/>
  <c r="AC23" i="68"/>
  <c r="AB23" i="68"/>
  <c r="AA23" i="68"/>
  <c r="DF22" i="68"/>
  <c r="DE22" i="68"/>
  <c r="DD22" i="68"/>
  <c r="DC22" i="68"/>
  <c r="DB22" i="68"/>
  <c r="DA22" i="68"/>
  <c r="CZ22" i="68"/>
  <c r="CY22" i="68"/>
  <c r="CC22" i="68"/>
  <c r="CB22" i="68"/>
  <c r="BF22" i="68"/>
  <c r="BE22" i="68"/>
  <c r="BD22" i="68"/>
  <c r="BC22" i="68"/>
  <c r="AE22" i="68"/>
  <c r="AD22" i="68"/>
  <c r="AC22" i="68"/>
  <c r="AB22" i="68"/>
  <c r="AA22" i="68"/>
  <c r="DF21" i="68"/>
  <c r="DE21" i="68"/>
  <c r="DD21" i="68"/>
  <c r="DC21" i="68"/>
  <c r="DB21" i="68"/>
  <c r="DA21" i="68"/>
  <c r="CZ21" i="68"/>
  <c r="CY21" i="68"/>
  <c r="CC21" i="68"/>
  <c r="CB21" i="68"/>
  <c r="BF21" i="68"/>
  <c r="BE21" i="68"/>
  <c r="BD21" i="68"/>
  <c r="BC21" i="68"/>
  <c r="AE21" i="68"/>
  <c r="AD21" i="68"/>
  <c r="AC21" i="68"/>
  <c r="AB21" i="68"/>
  <c r="AA21" i="68"/>
  <c r="DF20" i="68"/>
  <c r="DE20" i="68"/>
  <c r="DD20" i="68"/>
  <c r="DC20" i="68"/>
  <c r="DB20" i="68"/>
  <c r="DA20" i="68"/>
  <c r="CZ20" i="68"/>
  <c r="CY20" i="68"/>
  <c r="CC20" i="68"/>
  <c r="CB20" i="68"/>
  <c r="BF20" i="68"/>
  <c r="BE20" i="68"/>
  <c r="BD20" i="68"/>
  <c r="BC20" i="68"/>
  <c r="AE20" i="68"/>
  <c r="AD20" i="68"/>
  <c r="AC20" i="68"/>
  <c r="AB20" i="68"/>
  <c r="AA20" i="68"/>
  <c r="DF19" i="68"/>
  <c r="DE19" i="68"/>
  <c r="DD19" i="68"/>
  <c r="DC19" i="68"/>
  <c r="DB19" i="68"/>
  <c r="DA19" i="68"/>
  <c r="CZ19" i="68"/>
  <c r="CY19" i="68"/>
  <c r="CC19" i="68"/>
  <c r="CB19" i="68"/>
  <c r="BF19" i="68"/>
  <c r="BE19" i="68"/>
  <c r="BD19" i="68"/>
  <c r="BC19" i="68"/>
  <c r="AE19" i="68"/>
  <c r="AD19" i="68"/>
  <c r="AC19" i="68"/>
  <c r="AB19" i="68"/>
  <c r="AA19" i="68"/>
  <c r="DF18" i="68"/>
  <c r="DE18" i="68"/>
  <c r="DD18" i="68"/>
  <c r="DC18" i="68"/>
  <c r="DB18" i="68"/>
  <c r="DA18" i="68"/>
  <c r="CZ18" i="68"/>
  <c r="CY18" i="68"/>
  <c r="CC18" i="68"/>
  <c r="CB18" i="68"/>
  <c r="BF18" i="68"/>
  <c r="BE18" i="68"/>
  <c r="BD18" i="68"/>
  <c r="BC18" i="68"/>
  <c r="AE18" i="68"/>
  <c r="AD18" i="68"/>
  <c r="AC18" i="68"/>
  <c r="AB18" i="68"/>
  <c r="AA18" i="68"/>
  <c r="DF17" i="68"/>
  <c r="DE17" i="68"/>
  <c r="DD17" i="68"/>
  <c r="DC17" i="68"/>
  <c r="DB17" i="68"/>
  <c r="DA17" i="68"/>
  <c r="CZ17" i="68"/>
  <c r="CY17" i="68"/>
  <c r="CC17" i="68"/>
  <c r="CB17" i="68"/>
  <c r="BF17" i="68"/>
  <c r="BE17" i="68"/>
  <c r="BD17" i="68"/>
  <c r="BC17" i="68"/>
  <c r="AE17" i="68"/>
  <c r="AD17" i="68"/>
  <c r="AC17" i="68"/>
  <c r="AB17" i="68"/>
  <c r="AA17" i="68"/>
  <c r="DF16" i="68"/>
  <c r="DE16" i="68"/>
  <c r="DD16" i="68"/>
  <c r="DC16" i="68"/>
  <c r="DB16" i="68"/>
  <c r="DA16" i="68"/>
  <c r="CZ16" i="68"/>
  <c r="CY16" i="68"/>
  <c r="CC16" i="68"/>
  <c r="CB16" i="68"/>
  <c r="BF16" i="68"/>
  <c r="BE16" i="68"/>
  <c r="BD16" i="68"/>
  <c r="BC16" i="68"/>
  <c r="AE16" i="68"/>
  <c r="AD16" i="68"/>
  <c r="AC16" i="68"/>
  <c r="AB16" i="68"/>
  <c r="AA16" i="68"/>
  <c r="DF15" i="68"/>
  <c r="DE15" i="68"/>
  <c r="DD15" i="68"/>
  <c r="DC15" i="68"/>
  <c r="DB15" i="68"/>
  <c r="DA15" i="68"/>
  <c r="CZ15" i="68"/>
  <c r="CY15" i="68"/>
  <c r="CC15" i="68"/>
  <c r="CB15" i="68"/>
  <c r="BF15" i="68"/>
  <c r="BE15" i="68"/>
  <c r="BD15" i="68"/>
  <c r="BC15" i="68"/>
  <c r="AE15" i="68"/>
  <c r="AD15" i="68"/>
  <c r="AC15" i="68"/>
  <c r="AB15" i="68"/>
  <c r="AA15" i="68"/>
  <c r="DF14" i="68"/>
  <c r="DE14" i="68"/>
  <c r="DD14" i="68"/>
  <c r="DC14" i="68"/>
  <c r="DB14" i="68"/>
  <c r="DA14" i="68"/>
  <c r="CZ14" i="68"/>
  <c r="CY14" i="68"/>
  <c r="CC14" i="68"/>
  <c r="CB14" i="68"/>
  <c r="BF14" i="68"/>
  <c r="BE14" i="68"/>
  <c r="BD14" i="68"/>
  <c r="BC14" i="68"/>
  <c r="AE14" i="68"/>
  <c r="AD14" i="68"/>
  <c r="AC14" i="68"/>
  <c r="AB14" i="68"/>
  <c r="A14" i="68"/>
  <c r="AO93" i="67"/>
  <c r="BL93" i="67" s="1"/>
  <c r="AO92" i="67"/>
  <c r="BL92" i="67" s="1"/>
  <c r="AO91" i="67"/>
  <c r="BL91" i="67" s="1"/>
  <c r="AO90" i="67"/>
  <c r="BL90" i="67" s="1"/>
  <c r="A52" i="67"/>
  <c r="A51" i="67"/>
  <c r="A50" i="67"/>
  <c r="A49" i="67"/>
  <c r="A47" i="67"/>
  <c r="R45" i="67"/>
  <c r="DF44" i="67"/>
  <c r="DE44" i="67"/>
  <c r="DD44" i="67"/>
  <c r="DC44" i="67"/>
  <c r="DB44" i="67"/>
  <c r="DA44" i="67"/>
  <c r="CZ44" i="67"/>
  <c r="CY44" i="67"/>
  <c r="CC44" i="67"/>
  <c r="CB44" i="67"/>
  <c r="BF44" i="67"/>
  <c r="BE44" i="67"/>
  <c r="BD44" i="67"/>
  <c r="BC44" i="67"/>
  <c r="AE44" i="67"/>
  <c r="AD44" i="67"/>
  <c r="AC44" i="67"/>
  <c r="AB44" i="67"/>
  <c r="AA44" i="67"/>
  <c r="DF43" i="67"/>
  <c r="DE43" i="67"/>
  <c r="DD43" i="67"/>
  <c r="DC43" i="67"/>
  <c r="DB43" i="67"/>
  <c r="DA43" i="67"/>
  <c r="CZ43" i="67"/>
  <c r="CY43" i="67"/>
  <c r="CC43" i="67"/>
  <c r="CB43" i="67"/>
  <c r="BF43" i="67"/>
  <c r="BE43" i="67"/>
  <c r="BD43" i="67"/>
  <c r="BC43" i="67"/>
  <c r="AE43" i="67"/>
  <c r="AD43" i="67"/>
  <c r="AC43" i="67"/>
  <c r="AB43" i="67"/>
  <c r="AA43" i="67"/>
  <c r="DF42" i="67"/>
  <c r="DE42" i="67"/>
  <c r="DD42" i="67"/>
  <c r="DC42" i="67"/>
  <c r="DB42" i="67"/>
  <c r="DA42" i="67"/>
  <c r="CZ42" i="67"/>
  <c r="CY42" i="67"/>
  <c r="CC42" i="67"/>
  <c r="CB42" i="67"/>
  <c r="BF42" i="67"/>
  <c r="BE42" i="67"/>
  <c r="BD42" i="67"/>
  <c r="BC42" i="67"/>
  <c r="AE42" i="67"/>
  <c r="AD42" i="67"/>
  <c r="AC42" i="67"/>
  <c r="AB42" i="67"/>
  <c r="AA42" i="67"/>
  <c r="DF41" i="67"/>
  <c r="DE41" i="67"/>
  <c r="DD41" i="67"/>
  <c r="DC41" i="67"/>
  <c r="DB41" i="67"/>
  <c r="DA41" i="67"/>
  <c r="CZ41" i="67"/>
  <c r="CY41" i="67"/>
  <c r="CC41" i="67"/>
  <c r="CB41" i="67"/>
  <c r="BF41" i="67"/>
  <c r="BE41" i="67"/>
  <c r="BD41" i="67"/>
  <c r="BC41" i="67"/>
  <c r="AE41" i="67"/>
  <c r="AD41" i="67"/>
  <c r="AC41" i="67"/>
  <c r="AB41" i="67"/>
  <c r="AA41" i="67"/>
  <c r="DF40" i="67"/>
  <c r="DE40" i="67"/>
  <c r="DD40" i="67"/>
  <c r="DC40" i="67"/>
  <c r="DB40" i="67"/>
  <c r="DA40" i="67"/>
  <c r="CZ40" i="67"/>
  <c r="CY40" i="67"/>
  <c r="CC40" i="67"/>
  <c r="CB40" i="67"/>
  <c r="BF40" i="67"/>
  <c r="BE40" i="67"/>
  <c r="BD40" i="67"/>
  <c r="BC40" i="67"/>
  <c r="AE40" i="67"/>
  <c r="AD40" i="67"/>
  <c r="AC40" i="67"/>
  <c r="AB40" i="67"/>
  <c r="AA40" i="67"/>
  <c r="DF39" i="67"/>
  <c r="DE39" i="67"/>
  <c r="DD39" i="67"/>
  <c r="DC39" i="67"/>
  <c r="DB39" i="67"/>
  <c r="DA39" i="67"/>
  <c r="CZ39" i="67"/>
  <c r="CY39" i="67"/>
  <c r="CC39" i="67"/>
  <c r="CB39" i="67"/>
  <c r="BF39" i="67"/>
  <c r="BE39" i="67"/>
  <c r="BD39" i="67"/>
  <c r="BC39" i="67"/>
  <c r="AE39" i="67"/>
  <c r="AD39" i="67"/>
  <c r="AC39" i="67"/>
  <c r="AB39" i="67"/>
  <c r="AA39" i="67"/>
  <c r="DF38" i="67"/>
  <c r="DE38" i="67"/>
  <c r="DD38" i="67"/>
  <c r="DC38" i="67"/>
  <c r="DB38" i="67"/>
  <c r="DA38" i="67"/>
  <c r="CZ38" i="67"/>
  <c r="CY38" i="67"/>
  <c r="CC38" i="67"/>
  <c r="CB38" i="67"/>
  <c r="BF38" i="67"/>
  <c r="BE38" i="67"/>
  <c r="BD38" i="67"/>
  <c r="BC38" i="67"/>
  <c r="AE38" i="67"/>
  <c r="AD38" i="67"/>
  <c r="AC38" i="67"/>
  <c r="AB38" i="67"/>
  <c r="AA38" i="67"/>
  <c r="DF37" i="67"/>
  <c r="DE37" i="67"/>
  <c r="DD37" i="67"/>
  <c r="DC37" i="67"/>
  <c r="DB37" i="67"/>
  <c r="DA37" i="67"/>
  <c r="CZ37" i="67"/>
  <c r="CY37" i="67"/>
  <c r="CC37" i="67"/>
  <c r="CB37" i="67"/>
  <c r="BF37" i="67"/>
  <c r="BE37" i="67"/>
  <c r="BD37" i="67"/>
  <c r="BC37" i="67"/>
  <c r="AE37" i="67"/>
  <c r="AD37" i="67"/>
  <c r="AC37" i="67"/>
  <c r="AB37" i="67"/>
  <c r="AA37" i="67"/>
  <c r="DF36" i="67"/>
  <c r="DE36" i="67"/>
  <c r="DD36" i="67"/>
  <c r="DC36" i="67"/>
  <c r="DB36" i="67"/>
  <c r="DA36" i="67"/>
  <c r="CZ36" i="67"/>
  <c r="CY36" i="67"/>
  <c r="CC36" i="67"/>
  <c r="CB36" i="67"/>
  <c r="BF36" i="67"/>
  <c r="BE36" i="67"/>
  <c r="BD36" i="67"/>
  <c r="BC36" i="67"/>
  <c r="AE36" i="67"/>
  <c r="AD36" i="67"/>
  <c r="AC36" i="67"/>
  <c r="AB36" i="67"/>
  <c r="AA36" i="67"/>
  <c r="DF35" i="67"/>
  <c r="DE35" i="67"/>
  <c r="DD35" i="67"/>
  <c r="DC35" i="67"/>
  <c r="DB35" i="67"/>
  <c r="DA35" i="67"/>
  <c r="CZ35" i="67"/>
  <c r="CY35" i="67"/>
  <c r="CC35" i="67"/>
  <c r="CB35" i="67"/>
  <c r="BF35" i="67"/>
  <c r="BE35" i="67"/>
  <c r="BD35" i="67"/>
  <c r="BC35" i="67"/>
  <c r="AE35" i="67"/>
  <c r="AD35" i="67"/>
  <c r="AC35" i="67"/>
  <c r="AB35" i="67"/>
  <c r="AA35" i="67"/>
  <c r="DF34" i="67"/>
  <c r="DE34" i="67"/>
  <c r="DD34" i="67"/>
  <c r="DC34" i="67"/>
  <c r="DB34" i="67"/>
  <c r="DA34" i="67"/>
  <c r="CZ34" i="67"/>
  <c r="CY34" i="67"/>
  <c r="CC34" i="67"/>
  <c r="CB34" i="67"/>
  <c r="BF34" i="67"/>
  <c r="BE34" i="67"/>
  <c r="BD34" i="67"/>
  <c r="BC34" i="67"/>
  <c r="AE34" i="67"/>
  <c r="AD34" i="67"/>
  <c r="AC34" i="67"/>
  <c r="AB34" i="67"/>
  <c r="AA34" i="67"/>
  <c r="DF33" i="67"/>
  <c r="DE33" i="67"/>
  <c r="DD33" i="67"/>
  <c r="DC33" i="67"/>
  <c r="DB33" i="67"/>
  <c r="DA33" i="67"/>
  <c r="CZ33" i="67"/>
  <c r="CY33" i="67"/>
  <c r="CC33" i="67"/>
  <c r="CB33" i="67"/>
  <c r="BF33" i="67"/>
  <c r="BE33" i="67"/>
  <c r="BD33" i="67"/>
  <c r="BC33" i="67"/>
  <c r="AE33" i="67"/>
  <c r="AD33" i="67"/>
  <c r="AC33" i="67"/>
  <c r="AB33" i="67"/>
  <c r="AA33" i="67"/>
  <c r="DF32" i="67"/>
  <c r="DE32" i="67"/>
  <c r="DD32" i="67"/>
  <c r="DC32" i="67"/>
  <c r="DB32" i="67"/>
  <c r="DA32" i="67"/>
  <c r="CZ32" i="67"/>
  <c r="CY32" i="67"/>
  <c r="CC32" i="67"/>
  <c r="CB32" i="67"/>
  <c r="BF32" i="67"/>
  <c r="BE32" i="67"/>
  <c r="BD32" i="67"/>
  <c r="BC32" i="67"/>
  <c r="AE32" i="67"/>
  <c r="AD32" i="67"/>
  <c r="AC32" i="67"/>
  <c r="AB32" i="67"/>
  <c r="AA32" i="67"/>
  <c r="DF31" i="67"/>
  <c r="DE31" i="67"/>
  <c r="DD31" i="67"/>
  <c r="DC31" i="67"/>
  <c r="DB31" i="67"/>
  <c r="DA31" i="67"/>
  <c r="CZ31" i="67"/>
  <c r="CY31" i="67"/>
  <c r="CC31" i="67"/>
  <c r="CB31" i="67"/>
  <c r="BF31" i="67"/>
  <c r="BE31" i="67"/>
  <c r="BD31" i="67"/>
  <c r="BC31" i="67"/>
  <c r="AE31" i="67"/>
  <c r="AD31" i="67"/>
  <c r="AC31" i="67"/>
  <c r="AB31" i="67"/>
  <c r="AA31" i="67"/>
  <c r="DF30" i="67"/>
  <c r="DE30" i="67"/>
  <c r="DD30" i="67"/>
  <c r="DC30" i="67"/>
  <c r="DB30" i="67"/>
  <c r="DA30" i="67"/>
  <c r="CZ30" i="67"/>
  <c r="CY30" i="67"/>
  <c r="CC30" i="67"/>
  <c r="CB30" i="67"/>
  <c r="BF30" i="67"/>
  <c r="BE30" i="67"/>
  <c r="BD30" i="67"/>
  <c r="BC30" i="67"/>
  <c r="AE30" i="67"/>
  <c r="AD30" i="67"/>
  <c r="AC30" i="67"/>
  <c r="AB30" i="67"/>
  <c r="AA30" i="67"/>
  <c r="DF29" i="67"/>
  <c r="DE29" i="67"/>
  <c r="DD29" i="67"/>
  <c r="DC29" i="67"/>
  <c r="DB29" i="67"/>
  <c r="DA29" i="67"/>
  <c r="CZ29" i="67"/>
  <c r="CY29" i="67"/>
  <c r="CC29" i="67"/>
  <c r="CB29" i="67"/>
  <c r="BF29" i="67"/>
  <c r="BE29" i="67"/>
  <c r="BD29" i="67"/>
  <c r="BC29" i="67"/>
  <c r="AE29" i="67"/>
  <c r="AD29" i="67"/>
  <c r="AC29" i="67"/>
  <c r="AB29" i="67"/>
  <c r="AA29" i="67"/>
  <c r="DF28" i="67"/>
  <c r="DE28" i="67"/>
  <c r="DD28" i="67"/>
  <c r="DC28" i="67"/>
  <c r="DB28" i="67"/>
  <c r="DA28" i="67"/>
  <c r="CZ28" i="67"/>
  <c r="CY28" i="67"/>
  <c r="CC28" i="67"/>
  <c r="CB28" i="67"/>
  <c r="BF28" i="67"/>
  <c r="BE28" i="67"/>
  <c r="BD28" i="67"/>
  <c r="BC28" i="67"/>
  <c r="AE28" i="67"/>
  <c r="AD28" i="67"/>
  <c r="AC28" i="67"/>
  <c r="AB28" i="67"/>
  <c r="AA28" i="67"/>
  <c r="DF27" i="67"/>
  <c r="DE27" i="67"/>
  <c r="DD27" i="67"/>
  <c r="DC27" i="67"/>
  <c r="DB27" i="67"/>
  <c r="DA27" i="67"/>
  <c r="CZ27" i="67"/>
  <c r="CY27" i="67"/>
  <c r="CC27" i="67"/>
  <c r="CB27" i="67"/>
  <c r="BF27" i="67"/>
  <c r="BE27" i="67"/>
  <c r="BD27" i="67"/>
  <c r="BC27" i="67"/>
  <c r="AE27" i="67"/>
  <c r="AD27" i="67"/>
  <c r="AC27" i="67"/>
  <c r="AB27" i="67"/>
  <c r="AA27" i="67"/>
  <c r="DF26" i="67"/>
  <c r="DE26" i="67"/>
  <c r="DD26" i="67"/>
  <c r="DC26" i="67"/>
  <c r="DB26" i="67"/>
  <c r="DA26" i="67"/>
  <c r="CZ26" i="67"/>
  <c r="CY26" i="67"/>
  <c r="CC26" i="67"/>
  <c r="CB26" i="67"/>
  <c r="BF26" i="67"/>
  <c r="BE26" i="67"/>
  <c r="BD26" i="67"/>
  <c r="BC26" i="67"/>
  <c r="AE26" i="67"/>
  <c r="AD26" i="67"/>
  <c r="AC26" i="67"/>
  <c r="AB26" i="67"/>
  <c r="AA26" i="67"/>
  <c r="DF25" i="67"/>
  <c r="DE25" i="67"/>
  <c r="DD25" i="67"/>
  <c r="DC25" i="67"/>
  <c r="DB25" i="67"/>
  <c r="DA25" i="67"/>
  <c r="CZ25" i="67"/>
  <c r="CY25" i="67"/>
  <c r="CC25" i="67"/>
  <c r="CB25" i="67"/>
  <c r="BF25" i="67"/>
  <c r="BE25" i="67"/>
  <c r="BD25" i="67"/>
  <c r="BC25" i="67"/>
  <c r="AE25" i="67"/>
  <c r="AD25" i="67"/>
  <c r="AC25" i="67"/>
  <c r="AB25" i="67"/>
  <c r="AA25" i="67"/>
  <c r="DF24" i="67"/>
  <c r="DE24" i="67"/>
  <c r="DD24" i="67"/>
  <c r="DC24" i="67"/>
  <c r="DB24" i="67"/>
  <c r="DA24" i="67"/>
  <c r="CZ24" i="67"/>
  <c r="CY24" i="67"/>
  <c r="CC24" i="67"/>
  <c r="CB24" i="67"/>
  <c r="BF24" i="67"/>
  <c r="BE24" i="67"/>
  <c r="BD24" i="67"/>
  <c r="BC24" i="67"/>
  <c r="AE24" i="67"/>
  <c r="AD24" i="67"/>
  <c r="AC24" i="67"/>
  <c r="AB24" i="67"/>
  <c r="AA24" i="67"/>
  <c r="DF23" i="67"/>
  <c r="DE23" i="67"/>
  <c r="DD23" i="67"/>
  <c r="DC23" i="67"/>
  <c r="DB23" i="67"/>
  <c r="DA23" i="67"/>
  <c r="CZ23" i="67"/>
  <c r="CY23" i="67"/>
  <c r="CC23" i="67"/>
  <c r="CB23" i="67"/>
  <c r="BF23" i="67"/>
  <c r="BE23" i="67"/>
  <c r="BD23" i="67"/>
  <c r="BC23" i="67"/>
  <c r="AE23" i="67"/>
  <c r="AD23" i="67"/>
  <c r="AC23" i="67"/>
  <c r="AB23" i="67"/>
  <c r="AA23" i="67"/>
  <c r="DF22" i="67"/>
  <c r="DE22" i="67"/>
  <c r="DD22" i="67"/>
  <c r="DC22" i="67"/>
  <c r="DB22" i="67"/>
  <c r="DA22" i="67"/>
  <c r="CZ22" i="67"/>
  <c r="CY22" i="67"/>
  <c r="CC22" i="67"/>
  <c r="CB22" i="67"/>
  <c r="BF22" i="67"/>
  <c r="BE22" i="67"/>
  <c r="BD22" i="67"/>
  <c r="BC22" i="67"/>
  <c r="AE22" i="67"/>
  <c r="AD22" i="67"/>
  <c r="AC22" i="67"/>
  <c r="AB22" i="67"/>
  <c r="AA22" i="67"/>
  <c r="DF21" i="67"/>
  <c r="DE21" i="67"/>
  <c r="DD21" i="67"/>
  <c r="DC21" i="67"/>
  <c r="DB21" i="67"/>
  <c r="DA21" i="67"/>
  <c r="CZ21" i="67"/>
  <c r="CY21" i="67"/>
  <c r="CC21" i="67"/>
  <c r="CB21" i="67"/>
  <c r="BF21" i="67"/>
  <c r="BE21" i="67"/>
  <c r="BD21" i="67"/>
  <c r="BC21" i="67"/>
  <c r="AE21" i="67"/>
  <c r="AD21" i="67"/>
  <c r="AC21" i="67"/>
  <c r="AB21" i="67"/>
  <c r="AA21" i="67"/>
  <c r="DF20" i="67"/>
  <c r="DE20" i="67"/>
  <c r="DD20" i="67"/>
  <c r="DC20" i="67"/>
  <c r="DB20" i="67"/>
  <c r="DA20" i="67"/>
  <c r="CZ20" i="67"/>
  <c r="CY20" i="67"/>
  <c r="CC20" i="67"/>
  <c r="CB20" i="67"/>
  <c r="BF20" i="67"/>
  <c r="BE20" i="67"/>
  <c r="BD20" i="67"/>
  <c r="BC20" i="67"/>
  <c r="AE20" i="67"/>
  <c r="AD20" i="67"/>
  <c r="AC20" i="67"/>
  <c r="AB20" i="67"/>
  <c r="AA20" i="67"/>
  <c r="DF19" i="67"/>
  <c r="DE19" i="67"/>
  <c r="DD19" i="67"/>
  <c r="DC19" i="67"/>
  <c r="DB19" i="67"/>
  <c r="DA19" i="67"/>
  <c r="CZ19" i="67"/>
  <c r="CY19" i="67"/>
  <c r="CC19" i="67"/>
  <c r="CB19" i="67"/>
  <c r="BF19" i="67"/>
  <c r="BE19" i="67"/>
  <c r="BD19" i="67"/>
  <c r="BC19" i="67"/>
  <c r="AE19" i="67"/>
  <c r="AD19" i="67"/>
  <c r="AC19" i="67"/>
  <c r="AB19" i="67"/>
  <c r="AA19" i="67"/>
  <c r="DF18" i="67"/>
  <c r="DE18" i="67"/>
  <c r="DD18" i="67"/>
  <c r="DC18" i="67"/>
  <c r="DB18" i="67"/>
  <c r="DA18" i="67"/>
  <c r="CZ18" i="67"/>
  <c r="CY18" i="67"/>
  <c r="CC18" i="67"/>
  <c r="CB18" i="67"/>
  <c r="BF18" i="67"/>
  <c r="BE18" i="67"/>
  <c r="BD18" i="67"/>
  <c r="BC18" i="67"/>
  <c r="AE18" i="67"/>
  <c r="AD18" i="67"/>
  <c r="AC18" i="67"/>
  <c r="AB18" i="67"/>
  <c r="AA18" i="67"/>
  <c r="DF17" i="67"/>
  <c r="DE17" i="67"/>
  <c r="DD17" i="67"/>
  <c r="DC17" i="67"/>
  <c r="DB17" i="67"/>
  <c r="DA17" i="67"/>
  <c r="CZ17" i="67"/>
  <c r="CY17" i="67"/>
  <c r="CC17" i="67"/>
  <c r="CB17" i="67"/>
  <c r="BF17" i="67"/>
  <c r="BE17" i="67"/>
  <c r="BD17" i="67"/>
  <c r="BC17" i="67"/>
  <c r="AE17" i="67"/>
  <c r="AD17" i="67"/>
  <c r="AC17" i="67"/>
  <c r="AB17" i="67"/>
  <c r="AA17" i="67"/>
  <c r="DF16" i="67"/>
  <c r="DE16" i="67"/>
  <c r="DD16" i="67"/>
  <c r="DC16" i="67"/>
  <c r="DB16" i="67"/>
  <c r="DA16" i="67"/>
  <c r="CZ16" i="67"/>
  <c r="CY16" i="67"/>
  <c r="CC16" i="67"/>
  <c r="CB16" i="67"/>
  <c r="BF16" i="67"/>
  <c r="BE16" i="67"/>
  <c r="BD16" i="67"/>
  <c r="BC16" i="67"/>
  <c r="AE16" i="67"/>
  <c r="AD16" i="67"/>
  <c r="AC16" i="67"/>
  <c r="AB16" i="67"/>
  <c r="AA16" i="67"/>
  <c r="DF15" i="67"/>
  <c r="DE15" i="67"/>
  <c r="DD15" i="67"/>
  <c r="DC15" i="67"/>
  <c r="DB15" i="67"/>
  <c r="DA15" i="67"/>
  <c r="CZ15" i="67"/>
  <c r="CY15" i="67"/>
  <c r="CC15" i="67"/>
  <c r="CB15" i="67"/>
  <c r="BF15" i="67"/>
  <c r="BE15" i="67"/>
  <c r="BD15" i="67"/>
  <c r="BC15" i="67"/>
  <c r="AE15" i="67"/>
  <c r="AD15" i="67"/>
  <c r="AC15" i="67"/>
  <c r="AB15" i="67"/>
  <c r="AA15" i="67"/>
  <c r="DF14" i="67"/>
  <c r="DE14" i="67"/>
  <c r="DD14" i="67"/>
  <c r="DC14" i="67"/>
  <c r="DB14" i="67"/>
  <c r="DA14" i="67"/>
  <c r="CZ14" i="67"/>
  <c r="CY14" i="67"/>
  <c r="CC14" i="67"/>
  <c r="CB14" i="67"/>
  <c r="BF14" i="67"/>
  <c r="BE14" i="67"/>
  <c r="BD14" i="67"/>
  <c r="BC14" i="67"/>
  <c r="AE14" i="67"/>
  <c r="AD14" i="67"/>
  <c r="AC14" i="67"/>
  <c r="AB14" i="67"/>
  <c r="AA14" i="67"/>
  <c r="A14" i="67"/>
  <c r="AO93" i="66"/>
  <c r="BL93" i="66" s="1"/>
  <c r="AO92" i="66"/>
  <c r="BL92" i="66" s="1"/>
  <c r="AO91" i="66"/>
  <c r="BL91" i="66" s="1"/>
  <c r="AO90" i="66"/>
  <c r="BL90" i="66" s="1"/>
  <c r="A52" i="66"/>
  <c r="A51" i="66"/>
  <c r="A50" i="66"/>
  <c r="A49" i="66"/>
  <c r="A47" i="66"/>
  <c r="R45" i="66"/>
  <c r="DF44" i="66"/>
  <c r="DE44" i="66"/>
  <c r="DD44" i="66"/>
  <c r="DC44" i="66"/>
  <c r="DB44" i="66"/>
  <c r="DA44" i="66"/>
  <c r="CZ44" i="66"/>
  <c r="CY44" i="66"/>
  <c r="CC44" i="66"/>
  <c r="CB44" i="66"/>
  <c r="BF44" i="66"/>
  <c r="BE44" i="66"/>
  <c r="BD44" i="66"/>
  <c r="BC44" i="66"/>
  <c r="AE44" i="66"/>
  <c r="AD44" i="66"/>
  <c r="AC44" i="66"/>
  <c r="AB44" i="66"/>
  <c r="AA44" i="66"/>
  <c r="DF43" i="66"/>
  <c r="DE43" i="66"/>
  <c r="DD43" i="66"/>
  <c r="DC43" i="66"/>
  <c r="DB43" i="66"/>
  <c r="DA43" i="66"/>
  <c r="CZ43" i="66"/>
  <c r="CY43" i="66"/>
  <c r="CC43" i="66"/>
  <c r="CB43" i="66"/>
  <c r="BF43" i="66"/>
  <c r="BE43" i="66"/>
  <c r="BD43" i="66"/>
  <c r="BC43" i="66"/>
  <c r="AE43" i="66"/>
  <c r="AD43" i="66"/>
  <c r="AC43" i="66"/>
  <c r="AB43" i="66"/>
  <c r="AA43" i="66"/>
  <c r="DF42" i="66"/>
  <c r="DE42" i="66"/>
  <c r="DD42" i="66"/>
  <c r="DC42" i="66"/>
  <c r="DB42" i="66"/>
  <c r="DA42" i="66"/>
  <c r="CZ42" i="66"/>
  <c r="CY42" i="66"/>
  <c r="CC42" i="66"/>
  <c r="CB42" i="66"/>
  <c r="BF42" i="66"/>
  <c r="BE42" i="66"/>
  <c r="BD42" i="66"/>
  <c r="BC42" i="66"/>
  <c r="AE42" i="66"/>
  <c r="AD42" i="66"/>
  <c r="AC42" i="66"/>
  <c r="AB42" i="66"/>
  <c r="AA42" i="66"/>
  <c r="DF41" i="66"/>
  <c r="DE41" i="66"/>
  <c r="DD41" i="66"/>
  <c r="DC41" i="66"/>
  <c r="DB41" i="66"/>
  <c r="DA41" i="66"/>
  <c r="CZ41" i="66"/>
  <c r="CY41" i="66"/>
  <c r="CC41" i="66"/>
  <c r="CB41" i="66"/>
  <c r="BF41" i="66"/>
  <c r="BE41" i="66"/>
  <c r="BD41" i="66"/>
  <c r="BC41" i="66"/>
  <c r="AE41" i="66"/>
  <c r="AD41" i="66"/>
  <c r="AC41" i="66"/>
  <c r="AB41" i="66"/>
  <c r="AA41" i="66"/>
  <c r="DF40" i="66"/>
  <c r="DE40" i="66"/>
  <c r="DD40" i="66"/>
  <c r="DC40" i="66"/>
  <c r="DB40" i="66"/>
  <c r="DA40" i="66"/>
  <c r="CZ40" i="66"/>
  <c r="CY40" i="66"/>
  <c r="CC40" i="66"/>
  <c r="CB40" i="66"/>
  <c r="BF40" i="66"/>
  <c r="BE40" i="66"/>
  <c r="BD40" i="66"/>
  <c r="BC40" i="66"/>
  <c r="AE40" i="66"/>
  <c r="AD40" i="66"/>
  <c r="AC40" i="66"/>
  <c r="AB40" i="66"/>
  <c r="AA40" i="66"/>
  <c r="DF39" i="66"/>
  <c r="DE39" i="66"/>
  <c r="DD39" i="66"/>
  <c r="DC39" i="66"/>
  <c r="DB39" i="66"/>
  <c r="DA39" i="66"/>
  <c r="CZ39" i="66"/>
  <c r="CY39" i="66"/>
  <c r="CC39" i="66"/>
  <c r="CB39" i="66"/>
  <c r="BF39" i="66"/>
  <c r="BE39" i="66"/>
  <c r="BD39" i="66"/>
  <c r="BC39" i="66"/>
  <c r="AE39" i="66"/>
  <c r="AD39" i="66"/>
  <c r="AC39" i="66"/>
  <c r="AB39" i="66"/>
  <c r="AA39" i="66"/>
  <c r="DF38" i="66"/>
  <c r="DE38" i="66"/>
  <c r="DD38" i="66"/>
  <c r="DC38" i="66"/>
  <c r="DB38" i="66"/>
  <c r="DA38" i="66"/>
  <c r="CZ38" i="66"/>
  <c r="CY38" i="66"/>
  <c r="CC38" i="66"/>
  <c r="CB38" i="66"/>
  <c r="BF38" i="66"/>
  <c r="BE38" i="66"/>
  <c r="BD38" i="66"/>
  <c r="BC38" i="66"/>
  <c r="AE38" i="66"/>
  <c r="AD38" i="66"/>
  <c r="AC38" i="66"/>
  <c r="AB38" i="66"/>
  <c r="AA38" i="66"/>
  <c r="DF37" i="66"/>
  <c r="DE37" i="66"/>
  <c r="DD37" i="66"/>
  <c r="DC37" i="66"/>
  <c r="DB37" i="66"/>
  <c r="DA37" i="66"/>
  <c r="CZ37" i="66"/>
  <c r="CY37" i="66"/>
  <c r="CC37" i="66"/>
  <c r="CB37" i="66"/>
  <c r="BF37" i="66"/>
  <c r="BE37" i="66"/>
  <c r="BD37" i="66"/>
  <c r="BC37" i="66"/>
  <c r="AE37" i="66"/>
  <c r="AD37" i="66"/>
  <c r="AC37" i="66"/>
  <c r="AB37" i="66"/>
  <c r="AA37" i="66"/>
  <c r="DF36" i="66"/>
  <c r="DE36" i="66"/>
  <c r="DD36" i="66"/>
  <c r="DC36" i="66"/>
  <c r="DB36" i="66"/>
  <c r="DA36" i="66"/>
  <c r="CZ36" i="66"/>
  <c r="CY36" i="66"/>
  <c r="CC36" i="66"/>
  <c r="CB36" i="66"/>
  <c r="BF36" i="66"/>
  <c r="BE36" i="66"/>
  <c r="BD36" i="66"/>
  <c r="BC36" i="66"/>
  <c r="AE36" i="66"/>
  <c r="AD36" i="66"/>
  <c r="AC36" i="66"/>
  <c r="AB36" i="66"/>
  <c r="AA36" i="66"/>
  <c r="DF35" i="66"/>
  <c r="DE35" i="66"/>
  <c r="DD35" i="66"/>
  <c r="DC35" i="66"/>
  <c r="DB35" i="66"/>
  <c r="DA35" i="66"/>
  <c r="CZ35" i="66"/>
  <c r="CY35" i="66"/>
  <c r="CC35" i="66"/>
  <c r="CB35" i="66"/>
  <c r="BF35" i="66"/>
  <c r="BE35" i="66"/>
  <c r="BD35" i="66"/>
  <c r="BC35" i="66"/>
  <c r="AE35" i="66"/>
  <c r="AD35" i="66"/>
  <c r="AC35" i="66"/>
  <c r="AB35" i="66"/>
  <c r="AA35" i="66"/>
  <c r="DF34" i="66"/>
  <c r="DE34" i="66"/>
  <c r="DD34" i="66"/>
  <c r="DC34" i="66"/>
  <c r="DB34" i="66"/>
  <c r="DA34" i="66"/>
  <c r="CZ34" i="66"/>
  <c r="CY34" i="66"/>
  <c r="CC34" i="66"/>
  <c r="CB34" i="66"/>
  <c r="BF34" i="66"/>
  <c r="BE34" i="66"/>
  <c r="BD34" i="66"/>
  <c r="BC34" i="66"/>
  <c r="AE34" i="66"/>
  <c r="AD34" i="66"/>
  <c r="AC34" i="66"/>
  <c r="AB34" i="66"/>
  <c r="AA34" i="66"/>
  <c r="DF33" i="66"/>
  <c r="DE33" i="66"/>
  <c r="DD33" i="66"/>
  <c r="DC33" i="66"/>
  <c r="DB33" i="66"/>
  <c r="DA33" i="66"/>
  <c r="CZ33" i="66"/>
  <c r="CY33" i="66"/>
  <c r="CC33" i="66"/>
  <c r="CB33" i="66"/>
  <c r="BF33" i="66"/>
  <c r="BE33" i="66"/>
  <c r="BD33" i="66"/>
  <c r="BC33" i="66"/>
  <c r="AE33" i="66"/>
  <c r="AD33" i="66"/>
  <c r="AC33" i="66"/>
  <c r="AB33" i="66"/>
  <c r="AA33" i="66"/>
  <c r="DF32" i="66"/>
  <c r="DE32" i="66"/>
  <c r="DD32" i="66"/>
  <c r="DC32" i="66"/>
  <c r="DB32" i="66"/>
  <c r="DA32" i="66"/>
  <c r="CZ32" i="66"/>
  <c r="CY32" i="66"/>
  <c r="CC32" i="66"/>
  <c r="CB32" i="66"/>
  <c r="BF32" i="66"/>
  <c r="BE32" i="66"/>
  <c r="BD32" i="66"/>
  <c r="BC32" i="66"/>
  <c r="AE32" i="66"/>
  <c r="AD32" i="66"/>
  <c r="AC32" i="66"/>
  <c r="AB32" i="66"/>
  <c r="AA32" i="66"/>
  <c r="DF31" i="66"/>
  <c r="DE31" i="66"/>
  <c r="DD31" i="66"/>
  <c r="DC31" i="66"/>
  <c r="DB31" i="66"/>
  <c r="DA31" i="66"/>
  <c r="CZ31" i="66"/>
  <c r="CY31" i="66"/>
  <c r="CC31" i="66"/>
  <c r="CB31" i="66"/>
  <c r="BF31" i="66"/>
  <c r="BE31" i="66"/>
  <c r="BD31" i="66"/>
  <c r="BC31" i="66"/>
  <c r="AE31" i="66"/>
  <c r="AD31" i="66"/>
  <c r="AC31" i="66"/>
  <c r="AB31" i="66"/>
  <c r="AA31" i="66"/>
  <c r="DF30" i="66"/>
  <c r="DE30" i="66"/>
  <c r="DD30" i="66"/>
  <c r="DC30" i="66"/>
  <c r="DB30" i="66"/>
  <c r="DA30" i="66"/>
  <c r="CZ30" i="66"/>
  <c r="CY30" i="66"/>
  <c r="CC30" i="66"/>
  <c r="CB30" i="66"/>
  <c r="BF30" i="66"/>
  <c r="BE30" i="66"/>
  <c r="BD30" i="66"/>
  <c r="BC30" i="66"/>
  <c r="AE30" i="66"/>
  <c r="AD30" i="66"/>
  <c r="AC30" i="66"/>
  <c r="AB30" i="66"/>
  <c r="AA30" i="66"/>
  <c r="DF29" i="66"/>
  <c r="DE29" i="66"/>
  <c r="DD29" i="66"/>
  <c r="DC29" i="66"/>
  <c r="DB29" i="66"/>
  <c r="DA29" i="66"/>
  <c r="CZ29" i="66"/>
  <c r="CY29" i="66"/>
  <c r="CC29" i="66"/>
  <c r="CB29" i="66"/>
  <c r="BF29" i="66"/>
  <c r="BE29" i="66"/>
  <c r="BD29" i="66"/>
  <c r="BC29" i="66"/>
  <c r="AE29" i="66"/>
  <c r="AD29" i="66"/>
  <c r="AC29" i="66"/>
  <c r="AB29" i="66"/>
  <c r="AA29" i="66"/>
  <c r="DF28" i="66"/>
  <c r="DE28" i="66"/>
  <c r="DD28" i="66"/>
  <c r="DC28" i="66"/>
  <c r="DB28" i="66"/>
  <c r="DA28" i="66"/>
  <c r="CZ28" i="66"/>
  <c r="CY28" i="66"/>
  <c r="CC28" i="66"/>
  <c r="CB28" i="66"/>
  <c r="BF28" i="66"/>
  <c r="BE28" i="66"/>
  <c r="BD28" i="66"/>
  <c r="BC28" i="66"/>
  <c r="AE28" i="66"/>
  <c r="AD28" i="66"/>
  <c r="AC28" i="66"/>
  <c r="AB28" i="66"/>
  <c r="AA28" i="66"/>
  <c r="DF27" i="66"/>
  <c r="DE27" i="66"/>
  <c r="DD27" i="66"/>
  <c r="DC27" i="66"/>
  <c r="DB27" i="66"/>
  <c r="DA27" i="66"/>
  <c r="CZ27" i="66"/>
  <c r="CY27" i="66"/>
  <c r="CC27" i="66"/>
  <c r="CB27" i="66"/>
  <c r="BF27" i="66"/>
  <c r="BE27" i="66"/>
  <c r="BD27" i="66"/>
  <c r="BC27" i="66"/>
  <c r="AE27" i="66"/>
  <c r="AD27" i="66"/>
  <c r="AC27" i="66"/>
  <c r="AB27" i="66"/>
  <c r="AA27" i="66"/>
  <c r="DF26" i="66"/>
  <c r="DE26" i="66"/>
  <c r="DD26" i="66"/>
  <c r="DC26" i="66"/>
  <c r="DB26" i="66"/>
  <c r="DA26" i="66"/>
  <c r="CZ26" i="66"/>
  <c r="CY26" i="66"/>
  <c r="CC26" i="66"/>
  <c r="CB26" i="66"/>
  <c r="BF26" i="66"/>
  <c r="BE26" i="66"/>
  <c r="BD26" i="66"/>
  <c r="BC26" i="66"/>
  <c r="AE26" i="66"/>
  <c r="AD26" i="66"/>
  <c r="AC26" i="66"/>
  <c r="AB26" i="66"/>
  <c r="AA26" i="66"/>
  <c r="DF25" i="66"/>
  <c r="DE25" i="66"/>
  <c r="DD25" i="66"/>
  <c r="DC25" i="66"/>
  <c r="DB25" i="66"/>
  <c r="DA25" i="66"/>
  <c r="CZ25" i="66"/>
  <c r="CY25" i="66"/>
  <c r="CC25" i="66"/>
  <c r="CB25" i="66"/>
  <c r="BF25" i="66"/>
  <c r="BE25" i="66"/>
  <c r="BD25" i="66"/>
  <c r="BC25" i="66"/>
  <c r="AE25" i="66"/>
  <c r="AD25" i="66"/>
  <c r="AC25" i="66"/>
  <c r="AB25" i="66"/>
  <c r="AA25" i="66"/>
  <c r="DF24" i="66"/>
  <c r="DE24" i="66"/>
  <c r="DD24" i="66"/>
  <c r="DC24" i="66"/>
  <c r="DB24" i="66"/>
  <c r="DA24" i="66"/>
  <c r="CZ24" i="66"/>
  <c r="CY24" i="66"/>
  <c r="CC24" i="66"/>
  <c r="CB24" i="66"/>
  <c r="BF24" i="66"/>
  <c r="BE24" i="66"/>
  <c r="BD24" i="66"/>
  <c r="BC24" i="66"/>
  <c r="AE24" i="66"/>
  <c r="AD24" i="66"/>
  <c r="AC24" i="66"/>
  <c r="AB24" i="66"/>
  <c r="AA24" i="66"/>
  <c r="DF23" i="66"/>
  <c r="DE23" i="66"/>
  <c r="DD23" i="66"/>
  <c r="DC23" i="66"/>
  <c r="DB23" i="66"/>
  <c r="DA23" i="66"/>
  <c r="CZ23" i="66"/>
  <c r="CY23" i="66"/>
  <c r="CC23" i="66"/>
  <c r="CB23" i="66"/>
  <c r="BF23" i="66"/>
  <c r="BE23" i="66"/>
  <c r="BD23" i="66"/>
  <c r="BC23" i="66"/>
  <c r="AE23" i="66"/>
  <c r="AD23" i="66"/>
  <c r="AC23" i="66"/>
  <c r="AB23" i="66"/>
  <c r="AA23" i="66"/>
  <c r="DF22" i="66"/>
  <c r="DE22" i="66"/>
  <c r="DD22" i="66"/>
  <c r="DC22" i="66"/>
  <c r="DB22" i="66"/>
  <c r="DA22" i="66"/>
  <c r="CZ22" i="66"/>
  <c r="CY22" i="66"/>
  <c r="CC22" i="66"/>
  <c r="CB22" i="66"/>
  <c r="BF22" i="66"/>
  <c r="BE22" i="66"/>
  <c r="BD22" i="66"/>
  <c r="BC22" i="66"/>
  <c r="AE22" i="66"/>
  <c r="AD22" i="66"/>
  <c r="AC22" i="66"/>
  <c r="AB22" i="66"/>
  <c r="AA22" i="66"/>
  <c r="DF21" i="66"/>
  <c r="DE21" i="66"/>
  <c r="DD21" i="66"/>
  <c r="DC21" i="66"/>
  <c r="DB21" i="66"/>
  <c r="DA21" i="66"/>
  <c r="CZ21" i="66"/>
  <c r="CY21" i="66"/>
  <c r="CC21" i="66"/>
  <c r="CB21" i="66"/>
  <c r="BF21" i="66"/>
  <c r="BE21" i="66"/>
  <c r="BD21" i="66"/>
  <c r="BC21" i="66"/>
  <c r="AE21" i="66"/>
  <c r="AD21" i="66"/>
  <c r="AC21" i="66"/>
  <c r="AB21" i="66"/>
  <c r="AA21" i="66"/>
  <c r="DF20" i="66"/>
  <c r="DE20" i="66"/>
  <c r="DD20" i="66"/>
  <c r="DC20" i="66"/>
  <c r="DB20" i="66"/>
  <c r="DA20" i="66"/>
  <c r="CZ20" i="66"/>
  <c r="CY20" i="66"/>
  <c r="CC20" i="66"/>
  <c r="CB20" i="66"/>
  <c r="BF20" i="66"/>
  <c r="BE20" i="66"/>
  <c r="BD20" i="66"/>
  <c r="BC20" i="66"/>
  <c r="AE20" i="66"/>
  <c r="AD20" i="66"/>
  <c r="AC20" i="66"/>
  <c r="AB20" i="66"/>
  <c r="AA20" i="66"/>
  <c r="DF19" i="66"/>
  <c r="DE19" i="66"/>
  <c r="DD19" i="66"/>
  <c r="DC19" i="66"/>
  <c r="DB19" i="66"/>
  <c r="DA19" i="66"/>
  <c r="CZ19" i="66"/>
  <c r="CY19" i="66"/>
  <c r="CC19" i="66"/>
  <c r="CB19" i="66"/>
  <c r="BF19" i="66"/>
  <c r="BE19" i="66"/>
  <c r="BD19" i="66"/>
  <c r="BC19" i="66"/>
  <c r="AE19" i="66"/>
  <c r="AD19" i="66"/>
  <c r="AC19" i="66"/>
  <c r="AB19" i="66"/>
  <c r="AA19" i="66"/>
  <c r="DF18" i="66"/>
  <c r="DE18" i="66"/>
  <c r="DD18" i="66"/>
  <c r="DC18" i="66"/>
  <c r="DB18" i="66"/>
  <c r="DA18" i="66"/>
  <c r="CZ18" i="66"/>
  <c r="CY18" i="66"/>
  <c r="CC18" i="66"/>
  <c r="CB18" i="66"/>
  <c r="BF18" i="66"/>
  <c r="BE18" i="66"/>
  <c r="BD18" i="66"/>
  <c r="BC18" i="66"/>
  <c r="AE18" i="66"/>
  <c r="AD18" i="66"/>
  <c r="AC18" i="66"/>
  <c r="AB18" i="66"/>
  <c r="AA18" i="66"/>
  <c r="DF17" i="66"/>
  <c r="DE17" i="66"/>
  <c r="DD17" i="66"/>
  <c r="DC17" i="66"/>
  <c r="DB17" i="66"/>
  <c r="DA17" i="66"/>
  <c r="CZ17" i="66"/>
  <c r="CY17" i="66"/>
  <c r="CC17" i="66"/>
  <c r="CB17" i="66"/>
  <c r="BF17" i="66"/>
  <c r="BE17" i="66"/>
  <c r="BD17" i="66"/>
  <c r="BC17" i="66"/>
  <c r="AE17" i="66"/>
  <c r="AD17" i="66"/>
  <c r="AC17" i="66"/>
  <c r="AB17" i="66"/>
  <c r="AA17" i="66"/>
  <c r="DF16" i="66"/>
  <c r="DE16" i="66"/>
  <c r="DD16" i="66"/>
  <c r="DC16" i="66"/>
  <c r="DB16" i="66"/>
  <c r="DA16" i="66"/>
  <c r="CZ16" i="66"/>
  <c r="CY16" i="66"/>
  <c r="CC16" i="66"/>
  <c r="CB16" i="66"/>
  <c r="BF16" i="66"/>
  <c r="BE16" i="66"/>
  <c r="BD16" i="66"/>
  <c r="BC16" i="66"/>
  <c r="AE16" i="66"/>
  <c r="AD16" i="66"/>
  <c r="AC16" i="66"/>
  <c r="AB16" i="66"/>
  <c r="AA16" i="66"/>
  <c r="DF15" i="66"/>
  <c r="DE15" i="66"/>
  <c r="DD15" i="66"/>
  <c r="DC15" i="66"/>
  <c r="DB15" i="66"/>
  <c r="DA15" i="66"/>
  <c r="CZ15" i="66"/>
  <c r="CY15" i="66"/>
  <c r="CC15" i="66"/>
  <c r="CB15" i="66"/>
  <c r="BF15" i="66"/>
  <c r="BE15" i="66"/>
  <c r="BD15" i="66"/>
  <c r="BC15" i="66"/>
  <c r="AE15" i="66"/>
  <c r="AD15" i="66"/>
  <c r="AC15" i="66"/>
  <c r="AB15" i="66"/>
  <c r="AA15" i="66"/>
  <c r="DF14" i="66"/>
  <c r="DE14" i="66"/>
  <c r="DD14" i="66"/>
  <c r="DC14" i="66"/>
  <c r="DB14" i="66"/>
  <c r="DA14" i="66"/>
  <c r="CZ14" i="66"/>
  <c r="CY14" i="66"/>
  <c r="CC14" i="66"/>
  <c r="CB14" i="66"/>
  <c r="BF14" i="66"/>
  <c r="BE14" i="66"/>
  <c r="BD14" i="66"/>
  <c r="BC14" i="66"/>
  <c r="AE14" i="66"/>
  <c r="AD14" i="66"/>
  <c r="AC14" i="66"/>
  <c r="AB14" i="66"/>
  <c r="AA14" i="66"/>
  <c r="A14" i="66"/>
  <c r="AO92" i="65"/>
  <c r="BL92" i="65" s="1"/>
  <c r="AO91" i="65"/>
  <c r="BL91" i="65" s="1"/>
  <c r="AO90" i="65"/>
  <c r="BL90" i="65" s="1"/>
  <c r="AO89" i="65"/>
  <c r="BL89" i="65" s="1"/>
  <c r="A51" i="65"/>
  <c r="A50" i="65"/>
  <c r="A49" i="65"/>
  <c r="A48" i="65"/>
  <c r="A46" i="65"/>
  <c r="R44" i="65"/>
  <c r="DF43" i="65"/>
  <c r="DE43" i="65"/>
  <c r="DD43" i="65"/>
  <c r="DC43" i="65"/>
  <c r="DB43" i="65"/>
  <c r="DA43" i="65"/>
  <c r="CZ43" i="65"/>
  <c r="CY43" i="65"/>
  <c r="CC43" i="65"/>
  <c r="CB43" i="65"/>
  <c r="BF43" i="65"/>
  <c r="BE43" i="65"/>
  <c r="BD43" i="65"/>
  <c r="BC43" i="65"/>
  <c r="AE43" i="65"/>
  <c r="AD43" i="65"/>
  <c r="AC43" i="65"/>
  <c r="AB43" i="65"/>
  <c r="AA43" i="65"/>
  <c r="DF42" i="65"/>
  <c r="DE42" i="65"/>
  <c r="DD42" i="65"/>
  <c r="DC42" i="65"/>
  <c r="DB42" i="65"/>
  <c r="DA42" i="65"/>
  <c r="CZ42" i="65"/>
  <c r="CY42" i="65"/>
  <c r="CC42" i="65"/>
  <c r="CB42" i="65"/>
  <c r="BF42" i="65"/>
  <c r="BE42" i="65"/>
  <c r="BD42" i="65"/>
  <c r="BC42" i="65"/>
  <c r="AE42" i="65"/>
  <c r="AD42" i="65"/>
  <c r="AC42" i="65"/>
  <c r="AB42" i="65"/>
  <c r="AA42" i="65"/>
  <c r="DF41" i="65"/>
  <c r="DE41" i="65"/>
  <c r="DD41" i="65"/>
  <c r="DC41" i="65"/>
  <c r="DB41" i="65"/>
  <c r="DA41" i="65"/>
  <c r="CZ41" i="65"/>
  <c r="CY41" i="65"/>
  <c r="CC41" i="65"/>
  <c r="CB41" i="65"/>
  <c r="BF41" i="65"/>
  <c r="BE41" i="65"/>
  <c r="BD41" i="65"/>
  <c r="BC41" i="65"/>
  <c r="AE41" i="65"/>
  <c r="AD41" i="65"/>
  <c r="AC41" i="65"/>
  <c r="AB41" i="65"/>
  <c r="AA41" i="65"/>
  <c r="DF40" i="65"/>
  <c r="DE40" i="65"/>
  <c r="DD40" i="65"/>
  <c r="DC40" i="65"/>
  <c r="DB40" i="65"/>
  <c r="DA40" i="65"/>
  <c r="CZ40" i="65"/>
  <c r="CY40" i="65"/>
  <c r="CC40" i="65"/>
  <c r="CB40" i="65"/>
  <c r="BF40" i="65"/>
  <c r="BE40" i="65"/>
  <c r="BD40" i="65"/>
  <c r="BC40" i="65"/>
  <c r="AE40" i="65"/>
  <c r="AD40" i="65"/>
  <c r="AC40" i="65"/>
  <c r="AB40" i="65"/>
  <c r="AA40" i="65"/>
  <c r="DF39" i="65"/>
  <c r="DE39" i="65"/>
  <c r="DD39" i="65"/>
  <c r="DC39" i="65"/>
  <c r="DB39" i="65"/>
  <c r="DA39" i="65"/>
  <c r="CZ39" i="65"/>
  <c r="CY39" i="65"/>
  <c r="CC39" i="65"/>
  <c r="CB39" i="65"/>
  <c r="BF39" i="65"/>
  <c r="BE39" i="65"/>
  <c r="BD39" i="65"/>
  <c r="BC39" i="65"/>
  <c r="AE39" i="65"/>
  <c r="AD39" i="65"/>
  <c r="AC39" i="65"/>
  <c r="AB39" i="65"/>
  <c r="AA39" i="65"/>
  <c r="DF38" i="65"/>
  <c r="DE38" i="65"/>
  <c r="DD38" i="65"/>
  <c r="DC38" i="65"/>
  <c r="DB38" i="65"/>
  <c r="DA38" i="65"/>
  <c r="CZ38" i="65"/>
  <c r="CY38" i="65"/>
  <c r="CC38" i="65"/>
  <c r="CB38" i="65"/>
  <c r="BF38" i="65"/>
  <c r="BE38" i="65"/>
  <c r="BD38" i="65"/>
  <c r="BC38" i="65"/>
  <c r="AE38" i="65"/>
  <c r="AD38" i="65"/>
  <c r="AC38" i="65"/>
  <c r="AB38" i="65"/>
  <c r="AA38" i="65"/>
  <c r="DF37" i="65"/>
  <c r="DE37" i="65"/>
  <c r="DD37" i="65"/>
  <c r="DC37" i="65"/>
  <c r="DB37" i="65"/>
  <c r="DA37" i="65"/>
  <c r="CZ37" i="65"/>
  <c r="CY37" i="65"/>
  <c r="CC37" i="65"/>
  <c r="CB37" i="65"/>
  <c r="BF37" i="65"/>
  <c r="BE37" i="65"/>
  <c r="BD37" i="65"/>
  <c r="BC37" i="65"/>
  <c r="AE37" i="65"/>
  <c r="AD37" i="65"/>
  <c r="AC37" i="65"/>
  <c r="AB37" i="65"/>
  <c r="AA37" i="65"/>
  <c r="DF36" i="65"/>
  <c r="DE36" i="65"/>
  <c r="DD36" i="65"/>
  <c r="DC36" i="65"/>
  <c r="DB36" i="65"/>
  <c r="DA36" i="65"/>
  <c r="CZ36" i="65"/>
  <c r="CY36" i="65"/>
  <c r="CC36" i="65"/>
  <c r="CB36" i="65"/>
  <c r="BF36" i="65"/>
  <c r="BE36" i="65"/>
  <c r="BD36" i="65"/>
  <c r="BC36" i="65"/>
  <c r="AE36" i="65"/>
  <c r="AD36" i="65"/>
  <c r="AC36" i="65"/>
  <c r="AB36" i="65"/>
  <c r="AA36" i="65"/>
  <c r="DF35" i="65"/>
  <c r="DE35" i="65"/>
  <c r="DD35" i="65"/>
  <c r="DC35" i="65"/>
  <c r="DB35" i="65"/>
  <c r="DA35" i="65"/>
  <c r="CZ35" i="65"/>
  <c r="CY35" i="65"/>
  <c r="CC35" i="65"/>
  <c r="CB35" i="65"/>
  <c r="BF35" i="65"/>
  <c r="BE35" i="65"/>
  <c r="BD35" i="65"/>
  <c r="BC35" i="65"/>
  <c r="AE35" i="65"/>
  <c r="AD35" i="65"/>
  <c r="AC35" i="65"/>
  <c r="AB35" i="65"/>
  <c r="AA35" i="65"/>
  <c r="DF34" i="65"/>
  <c r="DE34" i="65"/>
  <c r="DD34" i="65"/>
  <c r="DC34" i="65"/>
  <c r="DB34" i="65"/>
  <c r="DA34" i="65"/>
  <c r="CZ34" i="65"/>
  <c r="CY34" i="65"/>
  <c r="CC34" i="65"/>
  <c r="CB34" i="65"/>
  <c r="BF34" i="65"/>
  <c r="BE34" i="65"/>
  <c r="BD34" i="65"/>
  <c r="BC34" i="65"/>
  <c r="AE34" i="65"/>
  <c r="AD34" i="65"/>
  <c r="AC34" i="65"/>
  <c r="AB34" i="65"/>
  <c r="AA34" i="65"/>
  <c r="DF33" i="65"/>
  <c r="DE33" i="65"/>
  <c r="DD33" i="65"/>
  <c r="DC33" i="65"/>
  <c r="DB33" i="65"/>
  <c r="DA33" i="65"/>
  <c r="CZ33" i="65"/>
  <c r="CY33" i="65"/>
  <c r="CC33" i="65"/>
  <c r="CB33" i="65"/>
  <c r="BF33" i="65"/>
  <c r="BE33" i="65"/>
  <c r="BD33" i="65"/>
  <c r="BC33" i="65"/>
  <c r="AE33" i="65"/>
  <c r="AD33" i="65"/>
  <c r="AC33" i="65"/>
  <c r="AB33" i="65"/>
  <c r="AA33" i="65"/>
  <c r="DF32" i="65"/>
  <c r="DE32" i="65"/>
  <c r="DD32" i="65"/>
  <c r="DC32" i="65"/>
  <c r="DB32" i="65"/>
  <c r="DA32" i="65"/>
  <c r="CZ32" i="65"/>
  <c r="CY32" i="65"/>
  <c r="CC32" i="65"/>
  <c r="CB32" i="65"/>
  <c r="BF32" i="65"/>
  <c r="BE32" i="65"/>
  <c r="BD32" i="65"/>
  <c r="BC32" i="65"/>
  <c r="AE32" i="65"/>
  <c r="AD32" i="65"/>
  <c r="AC32" i="65"/>
  <c r="AB32" i="65"/>
  <c r="AA32" i="65"/>
  <c r="DF31" i="65"/>
  <c r="DE31" i="65"/>
  <c r="DD31" i="65"/>
  <c r="DC31" i="65"/>
  <c r="DB31" i="65"/>
  <c r="DA31" i="65"/>
  <c r="CZ31" i="65"/>
  <c r="CY31" i="65"/>
  <c r="CC31" i="65"/>
  <c r="CB31" i="65"/>
  <c r="BF31" i="65"/>
  <c r="BE31" i="65"/>
  <c r="BD31" i="65"/>
  <c r="BC31" i="65"/>
  <c r="AE31" i="65"/>
  <c r="AD31" i="65"/>
  <c r="AC31" i="65"/>
  <c r="AB31" i="65"/>
  <c r="AA31" i="65"/>
  <c r="DF30" i="65"/>
  <c r="DE30" i="65"/>
  <c r="DD30" i="65"/>
  <c r="DC30" i="65"/>
  <c r="DB30" i="65"/>
  <c r="DA30" i="65"/>
  <c r="CZ30" i="65"/>
  <c r="CY30" i="65"/>
  <c r="CC30" i="65"/>
  <c r="CB30" i="65"/>
  <c r="BF30" i="65"/>
  <c r="BE30" i="65"/>
  <c r="BD30" i="65"/>
  <c r="BC30" i="65"/>
  <c r="AE30" i="65"/>
  <c r="AD30" i="65"/>
  <c r="AC30" i="65"/>
  <c r="AB30" i="65"/>
  <c r="AA30" i="65"/>
  <c r="DF29" i="65"/>
  <c r="DE29" i="65"/>
  <c r="DD29" i="65"/>
  <c r="DC29" i="65"/>
  <c r="DB29" i="65"/>
  <c r="DA29" i="65"/>
  <c r="CZ29" i="65"/>
  <c r="CY29" i="65"/>
  <c r="CC29" i="65"/>
  <c r="CB29" i="65"/>
  <c r="BF29" i="65"/>
  <c r="BE29" i="65"/>
  <c r="BD29" i="65"/>
  <c r="BC29" i="65"/>
  <c r="AE29" i="65"/>
  <c r="AD29" i="65"/>
  <c r="AC29" i="65"/>
  <c r="AB29" i="65"/>
  <c r="AA29" i="65"/>
  <c r="DF28" i="65"/>
  <c r="DE28" i="65"/>
  <c r="DD28" i="65"/>
  <c r="DC28" i="65"/>
  <c r="DB28" i="65"/>
  <c r="DA28" i="65"/>
  <c r="CZ28" i="65"/>
  <c r="CY28" i="65"/>
  <c r="CC28" i="65"/>
  <c r="CB28" i="65"/>
  <c r="BF28" i="65"/>
  <c r="BE28" i="65"/>
  <c r="BD28" i="65"/>
  <c r="BC28" i="65"/>
  <c r="AE28" i="65"/>
  <c r="AD28" i="65"/>
  <c r="AC28" i="65"/>
  <c r="AB28" i="65"/>
  <c r="AA28" i="65"/>
  <c r="DF27" i="65"/>
  <c r="DE27" i="65"/>
  <c r="DD27" i="65"/>
  <c r="DC27" i="65"/>
  <c r="DB27" i="65"/>
  <c r="DA27" i="65"/>
  <c r="CZ27" i="65"/>
  <c r="CY27" i="65"/>
  <c r="CC27" i="65"/>
  <c r="CB27" i="65"/>
  <c r="BF27" i="65"/>
  <c r="BE27" i="65"/>
  <c r="BD27" i="65"/>
  <c r="BC27" i="65"/>
  <c r="AE27" i="65"/>
  <c r="AD27" i="65"/>
  <c r="AC27" i="65"/>
  <c r="AB27" i="65"/>
  <c r="AA27" i="65"/>
  <c r="DF26" i="65"/>
  <c r="DE26" i="65"/>
  <c r="DD26" i="65"/>
  <c r="DC26" i="65"/>
  <c r="DB26" i="65"/>
  <c r="DA26" i="65"/>
  <c r="CZ26" i="65"/>
  <c r="CY26" i="65"/>
  <c r="CC26" i="65"/>
  <c r="CB26" i="65"/>
  <c r="BF26" i="65"/>
  <c r="BE26" i="65"/>
  <c r="BD26" i="65"/>
  <c r="BC26" i="65"/>
  <c r="AE26" i="65"/>
  <c r="AD26" i="65"/>
  <c r="AC26" i="65"/>
  <c r="AB26" i="65"/>
  <c r="AA26" i="65"/>
  <c r="DF25" i="65"/>
  <c r="DE25" i="65"/>
  <c r="DD25" i="65"/>
  <c r="DC25" i="65"/>
  <c r="DB25" i="65"/>
  <c r="DA25" i="65"/>
  <c r="CZ25" i="65"/>
  <c r="CY25" i="65"/>
  <c r="CC25" i="65"/>
  <c r="CB25" i="65"/>
  <c r="BF25" i="65"/>
  <c r="BE25" i="65"/>
  <c r="BD25" i="65"/>
  <c r="BC25" i="65"/>
  <c r="AE25" i="65"/>
  <c r="AD25" i="65"/>
  <c r="AC25" i="65"/>
  <c r="AB25" i="65"/>
  <c r="AA25" i="65"/>
  <c r="DF24" i="65"/>
  <c r="DE24" i="65"/>
  <c r="DD24" i="65"/>
  <c r="DC24" i="65"/>
  <c r="DB24" i="65"/>
  <c r="DA24" i="65"/>
  <c r="CZ24" i="65"/>
  <c r="CY24" i="65"/>
  <c r="CC24" i="65"/>
  <c r="CB24" i="65"/>
  <c r="BF24" i="65"/>
  <c r="BE24" i="65"/>
  <c r="BD24" i="65"/>
  <c r="BC24" i="65"/>
  <c r="AE24" i="65"/>
  <c r="AD24" i="65"/>
  <c r="AC24" i="65"/>
  <c r="AB24" i="65"/>
  <c r="AA24" i="65"/>
  <c r="DF23" i="65"/>
  <c r="DE23" i="65"/>
  <c r="DD23" i="65"/>
  <c r="DC23" i="65"/>
  <c r="DB23" i="65"/>
  <c r="DA23" i="65"/>
  <c r="CZ23" i="65"/>
  <c r="CY23" i="65"/>
  <c r="CC23" i="65"/>
  <c r="CB23" i="65"/>
  <c r="BF23" i="65"/>
  <c r="BE23" i="65"/>
  <c r="BD23" i="65"/>
  <c r="BC23" i="65"/>
  <c r="AE23" i="65"/>
  <c r="AD23" i="65"/>
  <c r="AC23" i="65"/>
  <c r="AB23" i="65"/>
  <c r="AA23" i="65"/>
  <c r="DF22" i="65"/>
  <c r="DE22" i="65"/>
  <c r="DD22" i="65"/>
  <c r="DC22" i="65"/>
  <c r="DB22" i="65"/>
  <c r="DA22" i="65"/>
  <c r="CZ22" i="65"/>
  <c r="CY22" i="65"/>
  <c r="CC22" i="65"/>
  <c r="CB22" i="65"/>
  <c r="BF22" i="65"/>
  <c r="BE22" i="65"/>
  <c r="BD22" i="65"/>
  <c r="BC22" i="65"/>
  <c r="AE22" i="65"/>
  <c r="AD22" i="65"/>
  <c r="AC22" i="65"/>
  <c r="AB22" i="65"/>
  <c r="AA22" i="65"/>
  <c r="DF21" i="65"/>
  <c r="DE21" i="65"/>
  <c r="DD21" i="65"/>
  <c r="DC21" i="65"/>
  <c r="DB21" i="65"/>
  <c r="DA21" i="65"/>
  <c r="CZ21" i="65"/>
  <c r="CY21" i="65"/>
  <c r="CC21" i="65"/>
  <c r="CB21" i="65"/>
  <c r="BF21" i="65"/>
  <c r="BE21" i="65"/>
  <c r="BD21" i="65"/>
  <c r="BC21" i="65"/>
  <c r="AE21" i="65"/>
  <c r="AD21" i="65"/>
  <c r="AC21" i="65"/>
  <c r="AB21" i="65"/>
  <c r="AA21" i="65"/>
  <c r="DF20" i="65"/>
  <c r="DE20" i="65"/>
  <c r="DD20" i="65"/>
  <c r="DC20" i="65"/>
  <c r="DB20" i="65"/>
  <c r="DA20" i="65"/>
  <c r="CZ20" i="65"/>
  <c r="CY20" i="65"/>
  <c r="CC20" i="65"/>
  <c r="CB20" i="65"/>
  <c r="BF20" i="65"/>
  <c r="BE20" i="65"/>
  <c r="BD20" i="65"/>
  <c r="BC20" i="65"/>
  <c r="AE20" i="65"/>
  <c r="AD20" i="65"/>
  <c r="AC20" i="65"/>
  <c r="AB20" i="65"/>
  <c r="AA20" i="65"/>
  <c r="DF19" i="65"/>
  <c r="DE19" i="65"/>
  <c r="DD19" i="65"/>
  <c r="DC19" i="65"/>
  <c r="DB19" i="65"/>
  <c r="DA19" i="65"/>
  <c r="CZ19" i="65"/>
  <c r="CY19" i="65"/>
  <c r="CC19" i="65"/>
  <c r="CB19" i="65"/>
  <c r="BF19" i="65"/>
  <c r="BE19" i="65"/>
  <c r="BD19" i="65"/>
  <c r="BC19" i="65"/>
  <c r="AE19" i="65"/>
  <c r="AD19" i="65"/>
  <c r="AC19" i="65"/>
  <c r="AB19" i="65"/>
  <c r="AA19" i="65"/>
  <c r="DF18" i="65"/>
  <c r="DE18" i="65"/>
  <c r="DD18" i="65"/>
  <c r="DC18" i="65"/>
  <c r="DB18" i="65"/>
  <c r="DA18" i="65"/>
  <c r="CZ18" i="65"/>
  <c r="CY18" i="65"/>
  <c r="CC18" i="65"/>
  <c r="CB18" i="65"/>
  <c r="BF18" i="65"/>
  <c r="BE18" i="65"/>
  <c r="BD18" i="65"/>
  <c r="BC18" i="65"/>
  <c r="AE18" i="65"/>
  <c r="AD18" i="65"/>
  <c r="AC18" i="65"/>
  <c r="AB18" i="65"/>
  <c r="AA18" i="65"/>
  <c r="DF17" i="65"/>
  <c r="DE17" i="65"/>
  <c r="DD17" i="65"/>
  <c r="DC17" i="65"/>
  <c r="DB17" i="65"/>
  <c r="DA17" i="65"/>
  <c r="CZ17" i="65"/>
  <c r="CY17" i="65"/>
  <c r="CC17" i="65"/>
  <c r="CB17" i="65"/>
  <c r="BF17" i="65"/>
  <c r="BE17" i="65"/>
  <c r="BD17" i="65"/>
  <c r="BC17" i="65"/>
  <c r="AE17" i="65"/>
  <c r="AD17" i="65"/>
  <c r="AC17" i="65"/>
  <c r="AB17" i="65"/>
  <c r="AA17" i="65"/>
  <c r="DF16" i="65"/>
  <c r="DE16" i="65"/>
  <c r="DD16" i="65"/>
  <c r="DC16" i="65"/>
  <c r="DB16" i="65"/>
  <c r="DA16" i="65"/>
  <c r="CZ16" i="65"/>
  <c r="CY16" i="65"/>
  <c r="CC16" i="65"/>
  <c r="CB16" i="65"/>
  <c r="BF16" i="65"/>
  <c r="BE16" i="65"/>
  <c r="BD16" i="65"/>
  <c r="BC16" i="65"/>
  <c r="AE16" i="65"/>
  <c r="AD16" i="65"/>
  <c r="AC16" i="65"/>
  <c r="AB16" i="65"/>
  <c r="AA16" i="65"/>
  <c r="DF15" i="65"/>
  <c r="DE15" i="65"/>
  <c r="DD15" i="65"/>
  <c r="DC15" i="65"/>
  <c r="DB15" i="65"/>
  <c r="DA15" i="65"/>
  <c r="CZ15" i="65"/>
  <c r="CY15" i="65"/>
  <c r="CC15" i="65"/>
  <c r="CB15" i="65"/>
  <c r="BF15" i="65"/>
  <c r="BE15" i="65"/>
  <c r="BD15" i="65"/>
  <c r="BC15" i="65"/>
  <c r="AE15" i="65"/>
  <c r="AD15" i="65"/>
  <c r="AC15" i="65"/>
  <c r="AB15" i="65"/>
  <c r="AA15" i="65"/>
  <c r="DF14" i="65"/>
  <c r="DE14" i="65"/>
  <c r="DD14" i="65"/>
  <c r="DC14" i="65"/>
  <c r="DB14" i="65"/>
  <c r="DA14" i="65"/>
  <c r="CZ14" i="65"/>
  <c r="CY14" i="65"/>
  <c r="CC14" i="65"/>
  <c r="CB14" i="65"/>
  <c r="BF14" i="65"/>
  <c r="BE14" i="65"/>
  <c r="BD14" i="65"/>
  <c r="BC14" i="65"/>
  <c r="AE14" i="65"/>
  <c r="AD14" i="65"/>
  <c r="AC14" i="65"/>
  <c r="AB14" i="65"/>
  <c r="AA14" i="65"/>
  <c r="A14" i="65"/>
  <c r="AO93" i="64"/>
  <c r="BL93" i="64" s="1"/>
  <c r="AO92" i="64"/>
  <c r="BL92" i="64" s="1"/>
  <c r="AO91" i="64"/>
  <c r="BL91" i="64" s="1"/>
  <c r="AO90" i="64"/>
  <c r="BL90" i="64" s="1"/>
  <c r="A51" i="64"/>
  <c r="A50" i="64"/>
  <c r="A49" i="64"/>
  <c r="A47" i="64"/>
  <c r="R45" i="64"/>
  <c r="DF41" i="64"/>
  <c r="DE41" i="64"/>
  <c r="DD41" i="64"/>
  <c r="DC41" i="64"/>
  <c r="DB41" i="64"/>
  <c r="DA41" i="64"/>
  <c r="CZ41" i="64"/>
  <c r="CY41" i="64"/>
  <c r="CC41" i="64"/>
  <c r="CB41" i="64"/>
  <c r="BF41" i="64"/>
  <c r="BE41" i="64"/>
  <c r="BD41" i="64"/>
  <c r="BC41" i="64"/>
  <c r="AE41" i="64"/>
  <c r="AD41" i="64"/>
  <c r="AC41" i="64"/>
  <c r="AB41" i="64"/>
  <c r="AA41" i="64"/>
  <c r="DF40" i="64"/>
  <c r="DE40" i="64"/>
  <c r="DD40" i="64"/>
  <c r="DC40" i="64"/>
  <c r="DB40" i="64"/>
  <c r="DA40" i="64"/>
  <c r="CZ40" i="64"/>
  <c r="CY40" i="64"/>
  <c r="CC40" i="64"/>
  <c r="CB40" i="64"/>
  <c r="BF40" i="64"/>
  <c r="BE40" i="64"/>
  <c r="BD40" i="64"/>
  <c r="BC40" i="64"/>
  <c r="AE40" i="64"/>
  <c r="AD40" i="64"/>
  <c r="AC40" i="64"/>
  <c r="AB40" i="64"/>
  <c r="AA40" i="64"/>
  <c r="DF39" i="64"/>
  <c r="DE39" i="64"/>
  <c r="DD39" i="64"/>
  <c r="DC39" i="64"/>
  <c r="DB39" i="64"/>
  <c r="DA39" i="64"/>
  <c r="CZ39" i="64"/>
  <c r="CY39" i="64"/>
  <c r="CC39" i="64"/>
  <c r="CB39" i="64"/>
  <c r="BF39" i="64"/>
  <c r="BE39" i="64"/>
  <c r="BD39" i="64"/>
  <c r="BC39" i="64"/>
  <c r="AE39" i="64"/>
  <c r="AD39" i="64"/>
  <c r="AC39" i="64"/>
  <c r="AB39" i="64"/>
  <c r="AA39" i="64"/>
  <c r="DF38" i="64"/>
  <c r="DE38" i="64"/>
  <c r="DD38" i="64"/>
  <c r="DC38" i="64"/>
  <c r="DB38" i="64"/>
  <c r="DA38" i="64"/>
  <c r="CZ38" i="64"/>
  <c r="CY38" i="64"/>
  <c r="CC38" i="64"/>
  <c r="CB38" i="64"/>
  <c r="BF38" i="64"/>
  <c r="BE38" i="64"/>
  <c r="BD38" i="64"/>
  <c r="BC38" i="64"/>
  <c r="AE38" i="64"/>
  <c r="AD38" i="64"/>
  <c r="AC38" i="64"/>
  <c r="AB38" i="64"/>
  <c r="AA38" i="64"/>
  <c r="DF37" i="64"/>
  <c r="DE37" i="64"/>
  <c r="DD37" i="64"/>
  <c r="DC37" i="64"/>
  <c r="DB37" i="64"/>
  <c r="DA37" i="64"/>
  <c r="CZ37" i="64"/>
  <c r="CY37" i="64"/>
  <c r="CC37" i="64"/>
  <c r="CB37" i="64"/>
  <c r="BF37" i="64"/>
  <c r="BE37" i="64"/>
  <c r="BD37" i="64"/>
  <c r="BC37" i="64"/>
  <c r="AE37" i="64"/>
  <c r="AD37" i="64"/>
  <c r="AC37" i="64"/>
  <c r="AB37" i="64"/>
  <c r="AA37" i="64"/>
  <c r="DF36" i="64"/>
  <c r="DE36" i="64"/>
  <c r="DD36" i="64"/>
  <c r="DC36" i="64"/>
  <c r="DB36" i="64"/>
  <c r="DA36" i="64"/>
  <c r="CZ36" i="64"/>
  <c r="CY36" i="64"/>
  <c r="CC36" i="64"/>
  <c r="CB36" i="64"/>
  <c r="BF36" i="64"/>
  <c r="BE36" i="64"/>
  <c r="BD36" i="64"/>
  <c r="BC36" i="64"/>
  <c r="AE36" i="64"/>
  <c r="AD36" i="64"/>
  <c r="AC36" i="64"/>
  <c r="AB36" i="64"/>
  <c r="AA36" i="64"/>
  <c r="DF35" i="64"/>
  <c r="DE35" i="64"/>
  <c r="DD35" i="64"/>
  <c r="DC35" i="64"/>
  <c r="DB35" i="64"/>
  <c r="DA35" i="64"/>
  <c r="CZ35" i="64"/>
  <c r="CY35" i="64"/>
  <c r="CC35" i="64"/>
  <c r="CB35" i="64"/>
  <c r="BF35" i="64"/>
  <c r="BE35" i="64"/>
  <c r="BD35" i="64"/>
  <c r="BC35" i="64"/>
  <c r="AE35" i="64"/>
  <c r="AD35" i="64"/>
  <c r="AC35" i="64"/>
  <c r="AB35" i="64"/>
  <c r="AA35" i="64"/>
  <c r="DF34" i="64"/>
  <c r="DE34" i="64"/>
  <c r="DD34" i="64"/>
  <c r="DC34" i="64"/>
  <c r="DB34" i="64"/>
  <c r="DA34" i="64"/>
  <c r="CZ34" i="64"/>
  <c r="CY34" i="64"/>
  <c r="CC34" i="64"/>
  <c r="CB34" i="64"/>
  <c r="BF34" i="64"/>
  <c r="BE34" i="64"/>
  <c r="BD34" i="64"/>
  <c r="BC34" i="64"/>
  <c r="AE34" i="64"/>
  <c r="AD34" i="64"/>
  <c r="AC34" i="64"/>
  <c r="AB34" i="64"/>
  <c r="AA34" i="64"/>
  <c r="DF33" i="64"/>
  <c r="DE33" i="64"/>
  <c r="DD33" i="64"/>
  <c r="DC33" i="64"/>
  <c r="DB33" i="64"/>
  <c r="DA33" i="64"/>
  <c r="CZ33" i="64"/>
  <c r="CY33" i="64"/>
  <c r="CC33" i="64"/>
  <c r="CB33" i="64"/>
  <c r="BF33" i="64"/>
  <c r="BE33" i="64"/>
  <c r="BD33" i="64"/>
  <c r="BC33" i="64"/>
  <c r="AE33" i="64"/>
  <c r="AD33" i="64"/>
  <c r="AC33" i="64"/>
  <c r="AB33" i="64"/>
  <c r="AA33" i="64"/>
  <c r="DF32" i="64"/>
  <c r="DE32" i="64"/>
  <c r="DD32" i="64"/>
  <c r="DC32" i="64"/>
  <c r="DB32" i="64"/>
  <c r="DA32" i="64"/>
  <c r="CZ32" i="64"/>
  <c r="CY32" i="64"/>
  <c r="CC32" i="64"/>
  <c r="CB32" i="64"/>
  <c r="BF32" i="64"/>
  <c r="BE32" i="64"/>
  <c r="BD32" i="64"/>
  <c r="BC32" i="64"/>
  <c r="AE32" i="64"/>
  <c r="AD32" i="64"/>
  <c r="AC32" i="64"/>
  <c r="AB32" i="64"/>
  <c r="AA32" i="64"/>
  <c r="DF31" i="64"/>
  <c r="DE31" i="64"/>
  <c r="DD31" i="64"/>
  <c r="DC31" i="64"/>
  <c r="DB31" i="64"/>
  <c r="DA31" i="64"/>
  <c r="CZ31" i="64"/>
  <c r="CY31" i="64"/>
  <c r="CC31" i="64"/>
  <c r="CB31" i="64"/>
  <c r="BF31" i="64"/>
  <c r="BE31" i="64"/>
  <c r="BD31" i="64"/>
  <c r="BC31" i="64"/>
  <c r="AE31" i="64"/>
  <c r="AD31" i="64"/>
  <c r="AC31" i="64"/>
  <c r="AB31" i="64"/>
  <c r="AA31" i="64"/>
  <c r="DF30" i="64"/>
  <c r="DE30" i="64"/>
  <c r="DD30" i="64"/>
  <c r="DC30" i="64"/>
  <c r="DB30" i="64"/>
  <c r="DA30" i="64"/>
  <c r="CZ30" i="64"/>
  <c r="CY30" i="64"/>
  <c r="CC30" i="64"/>
  <c r="CB30" i="64"/>
  <c r="BF30" i="64"/>
  <c r="BE30" i="64"/>
  <c r="BD30" i="64"/>
  <c r="BC30" i="64"/>
  <c r="AE30" i="64"/>
  <c r="AD30" i="64"/>
  <c r="AC30" i="64"/>
  <c r="AB30" i="64"/>
  <c r="AA30" i="64"/>
  <c r="DF29" i="64"/>
  <c r="DE29" i="64"/>
  <c r="DD29" i="64"/>
  <c r="DC29" i="64"/>
  <c r="DB29" i="64"/>
  <c r="DA29" i="64"/>
  <c r="CZ29" i="64"/>
  <c r="CY29" i="64"/>
  <c r="CC29" i="64"/>
  <c r="CB29" i="64"/>
  <c r="BF29" i="64"/>
  <c r="BE29" i="64"/>
  <c r="BD29" i="64"/>
  <c r="BC29" i="64"/>
  <c r="AE29" i="64"/>
  <c r="AD29" i="64"/>
  <c r="AC29" i="64"/>
  <c r="AB29" i="64"/>
  <c r="AA29" i="64"/>
  <c r="DF28" i="64"/>
  <c r="DE28" i="64"/>
  <c r="DD28" i="64"/>
  <c r="DC28" i="64"/>
  <c r="DB28" i="64"/>
  <c r="DA28" i="64"/>
  <c r="CZ28" i="64"/>
  <c r="CY28" i="64"/>
  <c r="CC28" i="64"/>
  <c r="CB28" i="64"/>
  <c r="BF28" i="64"/>
  <c r="BE28" i="64"/>
  <c r="BD28" i="64"/>
  <c r="BC28" i="64"/>
  <c r="AE28" i="64"/>
  <c r="AD28" i="64"/>
  <c r="AC28" i="64"/>
  <c r="AB28" i="64"/>
  <c r="AA28" i="64"/>
  <c r="DF27" i="64"/>
  <c r="DE27" i="64"/>
  <c r="DD27" i="64"/>
  <c r="DC27" i="64"/>
  <c r="DB27" i="64"/>
  <c r="DA27" i="64"/>
  <c r="CZ27" i="64"/>
  <c r="CY27" i="64"/>
  <c r="CC27" i="64"/>
  <c r="CB27" i="64"/>
  <c r="BF27" i="64"/>
  <c r="BE27" i="64"/>
  <c r="BD27" i="64"/>
  <c r="BC27" i="64"/>
  <c r="AE27" i="64"/>
  <c r="AD27" i="64"/>
  <c r="AC27" i="64"/>
  <c r="AB27" i="64"/>
  <c r="AA27" i="64"/>
  <c r="DF26" i="64"/>
  <c r="DE26" i="64"/>
  <c r="DD26" i="64"/>
  <c r="DC26" i="64"/>
  <c r="DB26" i="64"/>
  <c r="DA26" i="64"/>
  <c r="CZ26" i="64"/>
  <c r="CY26" i="64"/>
  <c r="CC26" i="64"/>
  <c r="CB26" i="64"/>
  <c r="BF26" i="64"/>
  <c r="BE26" i="64"/>
  <c r="BD26" i="64"/>
  <c r="BC26" i="64"/>
  <c r="AE26" i="64"/>
  <c r="AD26" i="64"/>
  <c r="AC26" i="64"/>
  <c r="AB26" i="64"/>
  <c r="AA26" i="64"/>
  <c r="DF25" i="64"/>
  <c r="DE25" i="64"/>
  <c r="DD25" i="64"/>
  <c r="DC25" i="64"/>
  <c r="DB25" i="64"/>
  <c r="DA25" i="64"/>
  <c r="CZ25" i="64"/>
  <c r="CY25" i="64"/>
  <c r="CC25" i="64"/>
  <c r="CB25" i="64"/>
  <c r="BF25" i="64"/>
  <c r="BE25" i="64"/>
  <c r="BD25" i="64"/>
  <c r="BC25" i="64"/>
  <c r="AE25" i="64"/>
  <c r="AD25" i="64"/>
  <c r="AC25" i="64"/>
  <c r="AB25" i="64"/>
  <c r="AA25" i="64"/>
  <c r="DF24" i="64"/>
  <c r="DE24" i="64"/>
  <c r="DD24" i="64"/>
  <c r="DC24" i="64"/>
  <c r="DB24" i="64"/>
  <c r="DA24" i="64"/>
  <c r="CZ24" i="64"/>
  <c r="CY24" i="64"/>
  <c r="CC24" i="64"/>
  <c r="CB24" i="64"/>
  <c r="BF24" i="64"/>
  <c r="BE24" i="64"/>
  <c r="BD24" i="64"/>
  <c r="BC24" i="64"/>
  <c r="AE24" i="64"/>
  <c r="AD24" i="64"/>
  <c r="AC24" i="64"/>
  <c r="AB24" i="64"/>
  <c r="AA24" i="64"/>
  <c r="DF23" i="64"/>
  <c r="DE23" i="64"/>
  <c r="DD23" i="64"/>
  <c r="DC23" i="64"/>
  <c r="DB23" i="64"/>
  <c r="DA23" i="64"/>
  <c r="CZ23" i="64"/>
  <c r="CY23" i="64"/>
  <c r="CC23" i="64"/>
  <c r="CB23" i="64"/>
  <c r="BF23" i="64"/>
  <c r="BE23" i="64"/>
  <c r="BD23" i="64"/>
  <c r="BC23" i="64"/>
  <c r="AE23" i="64"/>
  <c r="AD23" i="64"/>
  <c r="AC23" i="64"/>
  <c r="AB23" i="64"/>
  <c r="AA23" i="64"/>
  <c r="DF22" i="64"/>
  <c r="DE22" i="64"/>
  <c r="DD22" i="64"/>
  <c r="DC22" i="64"/>
  <c r="DB22" i="64"/>
  <c r="DA22" i="64"/>
  <c r="CZ22" i="64"/>
  <c r="CY22" i="64"/>
  <c r="CC22" i="64"/>
  <c r="CB22" i="64"/>
  <c r="BF22" i="64"/>
  <c r="BE22" i="64"/>
  <c r="BD22" i="64"/>
  <c r="BC22" i="64"/>
  <c r="AE22" i="64"/>
  <c r="AD22" i="64"/>
  <c r="AC22" i="64"/>
  <c r="AB22" i="64"/>
  <c r="AA22" i="64"/>
  <c r="DF21" i="64"/>
  <c r="DE21" i="64"/>
  <c r="DD21" i="64"/>
  <c r="DC21" i="64"/>
  <c r="DB21" i="64"/>
  <c r="DA21" i="64"/>
  <c r="CZ21" i="64"/>
  <c r="CY21" i="64"/>
  <c r="CC21" i="64"/>
  <c r="CB21" i="64"/>
  <c r="BF21" i="64"/>
  <c r="BE21" i="64"/>
  <c r="BD21" i="64"/>
  <c r="BC21" i="64"/>
  <c r="AE21" i="64"/>
  <c r="AD21" i="64"/>
  <c r="AC21" i="64"/>
  <c r="AB21" i="64"/>
  <c r="AA21" i="64"/>
  <c r="DF20" i="64"/>
  <c r="DE20" i="64"/>
  <c r="DD20" i="64"/>
  <c r="DC20" i="64"/>
  <c r="DB20" i="64"/>
  <c r="DA20" i="64"/>
  <c r="CZ20" i="64"/>
  <c r="CY20" i="64"/>
  <c r="CC20" i="64"/>
  <c r="CB20" i="64"/>
  <c r="BF20" i="64"/>
  <c r="BE20" i="64"/>
  <c r="BD20" i="64"/>
  <c r="BC20" i="64"/>
  <c r="AE20" i="64"/>
  <c r="AD20" i="64"/>
  <c r="AC20" i="64"/>
  <c r="AB20" i="64"/>
  <c r="AA20" i="64"/>
  <c r="DF19" i="64"/>
  <c r="DE19" i="64"/>
  <c r="DD19" i="64"/>
  <c r="DC19" i="64"/>
  <c r="DB19" i="64"/>
  <c r="DA19" i="64"/>
  <c r="CZ19" i="64"/>
  <c r="CY19" i="64"/>
  <c r="CC19" i="64"/>
  <c r="CB19" i="64"/>
  <c r="BF19" i="64"/>
  <c r="BE19" i="64"/>
  <c r="BD19" i="64"/>
  <c r="BC19" i="64"/>
  <c r="AE19" i="64"/>
  <c r="AD19" i="64"/>
  <c r="AC19" i="64"/>
  <c r="AB19" i="64"/>
  <c r="AA19" i="64"/>
  <c r="DF18" i="64"/>
  <c r="DE18" i="64"/>
  <c r="DD18" i="64"/>
  <c r="DC18" i="64"/>
  <c r="DB18" i="64"/>
  <c r="DA18" i="64"/>
  <c r="CZ18" i="64"/>
  <c r="CY18" i="64"/>
  <c r="CC18" i="64"/>
  <c r="CB18" i="64"/>
  <c r="BF18" i="64"/>
  <c r="BE18" i="64"/>
  <c r="BD18" i="64"/>
  <c r="BC18" i="64"/>
  <c r="AE18" i="64"/>
  <c r="AD18" i="64"/>
  <c r="AC18" i="64"/>
  <c r="AB18" i="64"/>
  <c r="AA18" i="64"/>
  <c r="DF17" i="64"/>
  <c r="DE17" i="64"/>
  <c r="DD17" i="64"/>
  <c r="DC17" i="64"/>
  <c r="DB17" i="64"/>
  <c r="DA17" i="64"/>
  <c r="CZ17" i="64"/>
  <c r="CY17" i="64"/>
  <c r="CC17" i="64"/>
  <c r="CB17" i="64"/>
  <c r="BF17" i="64"/>
  <c r="BE17" i="64"/>
  <c r="BD17" i="64"/>
  <c r="BC17" i="64"/>
  <c r="AE17" i="64"/>
  <c r="AD17" i="64"/>
  <c r="AC17" i="64"/>
  <c r="AB17" i="64"/>
  <c r="AA17" i="64"/>
  <c r="DF16" i="64"/>
  <c r="DE16" i="64"/>
  <c r="DD16" i="64"/>
  <c r="DC16" i="64"/>
  <c r="DB16" i="64"/>
  <c r="DA16" i="64"/>
  <c r="CZ16" i="64"/>
  <c r="CY16" i="64"/>
  <c r="CC16" i="64"/>
  <c r="CB16" i="64"/>
  <c r="BF16" i="64"/>
  <c r="BE16" i="64"/>
  <c r="BD16" i="64"/>
  <c r="BC16" i="64"/>
  <c r="AE16" i="64"/>
  <c r="AD16" i="64"/>
  <c r="AC16" i="64"/>
  <c r="AB16" i="64"/>
  <c r="AA16" i="64"/>
  <c r="DF15" i="64"/>
  <c r="DE15" i="64"/>
  <c r="DD15" i="64"/>
  <c r="DC15" i="64"/>
  <c r="DB15" i="64"/>
  <c r="DA15" i="64"/>
  <c r="CZ15" i="64"/>
  <c r="CY15" i="64"/>
  <c r="CC15" i="64"/>
  <c r="CB15" i="64"/>
  <c r="BF15" i="64"/>
  <c r="BE15" i="64"/>
  <c r="BD15" i="64"/>
  <c r="BC15" i="64"/>
  <c r="AE15" i="64"/>
  <c r="AD15" i="64"/>
  <c r="AC15" i="64"/>
  <c r="AB15" i="64"/>
  <c r="AA15" i="64"/>
  <c r="DF14" i="64"/>
  <c r="DE14" i="64"/>
  <c r="DD14" i="64"/>
  <c r="DC14" i="64"/>
  <c r="DB14" i="64"/>
  <c r="DA14" i="64"/>
  <c r="CZ14" i="64"/>
  <c r="CY14" i="64"/>
  <c r="CC14" i="64"/>
  <c r="CB14" i="64"/>
  <c r="BF14" i="64"/>
  <c r="BE14" i="64"/>
  <c r="BD14" i="64"/>
  <c r="BC14" i="64"/>
  <c r="AE14" i="64"/>
  <c r="AD14" i="64"/>
  <c r="AC14" i="64"/>
  <c r="AB14" i="64"/>
  <c r="AA14" i="64"/>
  <c r="A14" i="64"/>
  <c r="R44" i="63"/>
  <c r="AO92" i="63"/>
  <c r="BL92" i="63" s="1"/>
  <c r="AO91" i="63"/>
  <c r="BL91" i="63" s="1"/>
  <c r="AO90" i="63"/>
  <c r="BL90" i="63" s="1"/>
  <c r="AO89" i="63"/>
  <c r="BL89" i="63" s="1"/>
  <c r="A55" i="63"/>
  <c r="A51" i="63"/>
  <c r="A50" i="63"/>
  <c r="A49" i="63"/>
  <c r="A48" i="63"/>
  <c r="A46" i="63"/>
  <c r="DF43" i="63"/>
  <c r="DE43" i="63"/>
  <c r="DD43" i="63"/>
  <c r="DC43" i="63"/>
  <c r="DB43" i="63"/>
  <c r="DA43" i="63"/>
  <c r="CZ43" i="63"/>
  <c r="CY43" i="63"/>
  <c r="CC43" i="63"/>
  <c r="CB43" i="63"/>
  <c r="BF43" i="63"/>
  <c r="BE43" i="63"/>
  <c r="BD43" i="63"/>
  <c r="BC43" i="63"/>
  <c r="AE43" i="63"/>
  <c r="AD43" i="63"/>
  <c r="AC43" i="63"/>
  <c r="AB43" i="63"/>
  <c r="AA43" i="63"/>
  <c r="Y43" i="63"/>
  <c r="DF42" i="63"/>
  <c r="DE42" i="63"/>
  <c r="DD42" i="63"/>
  <c r="DC42" i="63"/>
  <c r="DB42" i="63"/>
  <c r="DA42" i="63"/>
  <c r="CZ42" i="63"/>
  <c r="CY42" i="63"/>
  <c r="CC42" i="63"/>
  <c r="CB42" i="63"/>
  <c r="BF42" i="63"/>
  <c r="BE42" i="63"/>
  <c r="BD42" i="63"/>
  <c r="BC42" i="63"/>
  <c r="AE42" i="63"/>
  <c r="AD42" i="63"/>
  <c r="AC42" i="63"/>
  <c r="AB42" i="63"/>
  <c r="AA42" i="63"/>
  <c r="Y42" i="63"/>
  <c r="DF41" i="63"/>
  <c r="DE41" i="63"/>
  <c r="DD41" i="63"/>
  <c r="DC41" i="63"/>
  <c r="DB41" i="63"/>
  <c r="DA41" i="63"/>
  <c r="CZ41" i="63"/>
  <c r="CY41" i="63"/>
  <c r="CC41" i="63"/>
  <c r="CB41" i="63"/>
  <c r="BF41" i="63"/>
  <c r="BE41" i="63"/>
  <c r="BD41" i="63"/>
  <c r="BC41" i="63"/>
  <c r="AE41" i="63"/>
  <c r="AD41" i="63"/>
  <c r="AC41" i="63"/>
  <c r="AB41" i="63"/>
  <c r="AA41" i="63"/>
  <c r="DF40" i="63"/>
  <c r="DE40" i="63"/>
  <c r="DD40" i="63"/>
  <c r="DC40" i="63"/>
  <c r="DB40" i="63"/>
  <c r="DA40" i="63"/>
  <c r="CZ40" i="63"/>
  <c r="CY40" i="63"/>
  <c r="CC40" i="63"/>
  <c r="CB40" i="63"/>
  <c r="BF40" i="63"/>
  <c r="BE40" i="63"/>
  <c r="BD40" i="63"/>
  <c r="BC40" i="63"/>
  <c r="AE40" i="63"/>
  <c r="AD40" i="63"/>
  <c r="AC40" i="63"/>
  <c r="AB40" i="63"/>
  <c r="AA40" i="63"/>
  <c r="DF39" i="63"/>
  <c r="DE39" i="63"/>
  <c r="DD39" i="63"/>
  <c r="DC39" i="63"/>
  <c r="DB39" i="63"/>
  <c r="DA39" i="63"/>
  <c r="CZ39" i="63"/>
  <c r="CY39" i="63"/>
  <c r="CC39" i="63"/>
  <c r="CB39" i="63"/>
  <c r="BF39" i="63"/>
  <c r="BE39" i="63"/>
  <c r="BD39" i="63"/>
  <c r="BC39" i="63"/>
  <c r="AE39" i="63"/>
  <c r="AD39" i="63"/>
  <c r="AC39" i="63"/>
  <c r="AB39" i="63"/>
  <c r="AA39" i="63"/>
  <c r="DF38" i="63"/>
  <c r="DE38" i="63"/>
  <c r="DD38" i="63"/>
  <c r="DC38" i="63"/>
  <c r="DB38" i="63"/>
  <c r="DA38" i="63"/>
  <c r="CZ38" i="63"/>
  <c r="CY38" i="63"/>
  <c r="CC38" i="63"/>
  <c r="CB38" i="63"/>
  <c r="BF38" i="63"/>
  <c r="BE38" i="63"/>
  <c r="BD38" i="63"/>
  <c r="BC38" i="63"/>
  <c r="AE38" i="63"/>
  <c r="AD38" i="63"/>
  <c r="AC38" i="63"/>
  <c r="AB38" i="63"/>
  <c r="AA38" i="63"/>
  <c r="Y38" i="63"/>
  <c r="DF37" i="63"/>
  <c r="DE37" i="63"/>
  <c r="DD37" i="63"/>
  <c r="DC37" i="63"/>
  <c r="DB37" i="63"/>
  <c r="DA37" i="63"/>
  <c r="CZ37" i="63"/>
  <c r="CY37" i="63"/>
  <c r="CC37" i="63"/>
  <c r="CB37" i="63"/>
  <c r="BF37" i="63"/>
  <c r="BE37" i="63"/>
  <c r="BD37" i="63"/>
  <c r="BC37" i="63"/>
  <c r="AE37" i="63"/>
  <c r="AD37" i="63"/>
  <c r="AC37" i="63"/>
  <c r="AB37" i="63"/>
  <c r="AA37" i="63"/>
  <c r="DF36" i="63"/>
  <c r="DE36" i="63"/>
  <c r="DD36" i="63"/>
  <c r="DC36" i="63"/>
  <c r="DB36" i="63"/>
  <c r="DA36" i="63"/>
  <c r="CZ36" i="63"/>
  <c r="CY36" i="63"/>
  <c r="CC36" i="63"/>
  <c r="CB36" i="63"/>
  <c r="BF36" i="63"/>
  <c r="BE36" i="63"/>
  <c r="BD36" i="63"/>
  <c r="BC36" i="63"/>
  <c r="AE36" i="63"/>
  <c r="AD36" i="63"/>
  <c r="AC36" i="63"/>
  <c r="AB36" i="63"/>
  <c r="AA36" i="63"/>
  <c r="Y36" i="63"/>
  <c r="DF35" i="63"/>
  <c r="DE35" i="63"/>
  <c r="DD35" i="63"/>
  <c r="DC35" i="63"/>
  <c r="DB35" i="63"/>
  <c r="DA35" i="63"/>
  <c r="CZ35" i="63"/>
  <c r="CY35" i="63"/>
  <c r="CC35" i="63"/>
  <c r="CB35" i="63"/>
  <c r="BF35" i="63"/>
  <c r="BE35" i="63"/>
  <c r="BD35" i="63"/>
  <c r="BC35" i="63"/>
  <c r="AE35" i="63"/>
  <c r="AD35" i="63"/>
  <c r="AC35" i="63"/>
  <c r="AB35" i="63"/>
  <c r="AA35" i="63"/>
  <c r="Y35" i="63"/>
  <c r="DF34" i="63"/>
  <c r="DE34" i="63"/>
  <c r="DD34" i="63"/>
  <c r="DC34" i="63"/>
  <c r="DB34" i="63"/>
  <c r="DA34" i="63"/>
  <c r="CZ34" i="63"/>
  <c r="CY34" i="63"/>
  <c r="CC34" i="63"/>
  <c r="CB34" i="63"/>
  <c r="BF34" i="63"/>
  <c r="BE34" i="63"/>
  <c r="BD34" i="63"/>
  <c r="BC34" i="63"/>
  <c r="AE34" i="63"/>
  <c r="AD34" i="63"/>
  <c r="AC34" i="63"/>
  <c r="AB34" i="63"/>
  <c r="AA34" i="63"/>
  <c r="DF33" i="63"/>
  <c r="DE33" i="63"/>
  <c r="DD33" i="63"/>
  <c r="DC33" i="63"/>
  <c r="DB33" i="63"/>
  <c r="DA33" i="63"/>
  <c r="CZ33" i="63"/>
  <c r="CY33" i="63"/>
  <c r="CC33" i="63"/>
  <c r="CB33" i="63"/>
  <c r="BF33" i="63"/>
  <c r="BE33" i="63"/>
  <c r="BD33" i="63"/>
  <c r="BC33" i="63"/>
  <c r="AE33" i="63"/>
  <c r="AD33" i="63"/>
  <c r="AC33" i="63"/>
  <c r="AB33" i="63"/>
  <c r="AA33" i="63"/>
  <c r="DF32" i="63"/>
  <c r="DE32" i="63"/>
  <c r="DD32" i="63"/>
  <c r="DC32" i="63"/>
  <c r="DB32" i="63"/>
  <c r="DA32" i="63"/>
  <c r="CZ32" i="63"/>
  <c r="CY32" i="63"/>
  <c r="CC32" i="63"/>
  <c r="CB32" i="63"/>
  <c r="BF32" i="63"/>
  <c r="BE32" i="63"/>
  <c r="BD32" i="63"/>
  <c r="BC32" i="63"/>
  <c r="AE32" i="63"/>
  <c r="AD32" i="63"/>
  <c r="AC32" i="63"/>
  <c r="AB32" i="63"/>
  <c r="AA32" i="63"/>
  <c r="Y32" i="63"/>
  <c r="DF31" i="63"/>
  <c r="DE31" i="63"/>
  <c r="DD31" i="63"/>
  <c r="DC31" i="63"/>
  <c r="DB31" i="63"/>
  <c r="DA31" i="63"/>
  <c r="CZ31" i="63"/>
  <c r="CY31" i="63"/>
  <c r="CC31" i="63"/>
  <c r="CB31" i="63"/>
  <c r="BF31" i="63"/>
  <c r="BE31" i="63"/>
  <c r="BD31" i="63"/>
  <c r="BC31" i="63"/>
  <c r="AE31" i="63"/>
  <c r="AD31" i="63"/>
  <c r="AC31" i="63"/>
  <c r="AB31" i="63"/>
  <c r="AA31" i="63"/>
  <c r="DF30" i="63"/>
  <c r="DE30" i="63"/>
  <c r="DD30" i="63"/>
  <c r="DC30" i="63"/>
  <c r="DB30" i="63"/>
  <c r="DA30" i="63"/>
  <c r="CZ30" i="63"/>
  <c r="CY30" i="63"/>
  <c r="CC30" i="63"/>
  <c r="CB30" i="63"/>
  <c r="BF30" i="63"/>
  <c r="BE30" i="63"/>
  <c r="BD30" i="63"/>
  <c r="BC30" i="63"/>
  <c r="AE30" i="63"/>
  <c r="AD30" i="63"/>
  <c r="AC30" i="63"/>
  <c r="AB30" i="63"/>
  <c r="AA30" i="63"/>
  <c r="DF29" i="63"/>
  <c r="DE29" i="63"/>
  <c r="DD29" i="63"/>
  <c r="DC29" i="63"/>
  <c r="DB29" i="63"/>
  <c r="DA29" i="63"/>
  <c r="CZ29" i="63"/>
  <c r="CY29" i="63"/>
  <c r="CC29" i="63"/>
  <c r="CB29" i="63"/>
  <c r="BF29" i="63"/>
  <c r="BE29" i="63"/>
  <c r="BD29" i="63"/>
  <c r="BC29" i="63"/>
  <c r="AE29" i="63"/>
  <c r="AD29" i="63"/>
  <c r="AC29" i="63"/>
  <c r="AB29" i="63"/>
  <c r="AA29" i="63"/>
  <c r="DF28" i="63"/>
  <c r="DE28" i="63"/>
  <c r="DD28" i="63"/>
  <c r="DC28" i="63"/>
  <c r="DB28" i="63"/>
  <c r="DA28" i="63"/>
  <c r="CZ28" i="63"/>
  <c r="CY28" i="63"/>
  <c r="CC28" i="63"/>
  <c r="CB28" i="63"/>
  <c r="BF28" i="63"/>
  <c r="BE28" i="63"/>
  <c r="BD28" i="63"/>
  <c r="BC28" i="63"/>
  <c r="AE28" i="63"/>
  <c r="AD28" i="63"/>
  <c r="AC28" i="63"/>
  <c r="AB28" i="63"/>
  <c r="AA28" i="63"/>
  <c r="DF27" i="63"/>
  <c r="DE27" i="63"/>
  <c r="DD27" i="63"/>
  <c r="DC27" i="63"/>
  <c r="DB27" i="63"/>
  <c r="DA27" i="63"/>
  <c r="CZ27" i="63"/>
  <c r="CY27" i="63"/>
  <c r="CC27" i="63"/>
  <c r="CB27" i="63"/>
  <c r="BF27" i="63"/>
  <c r="BE27" i="63"/>
  <c r="BD27" i="63"/>
  <c r="BC27" i="63"/>
  <c r="AE27" i="63"/>
  <c r="AD27" i="63"/>
  <c r="AC27" i="63"/>
  <c r="AB27" i="63"/>
  <c r="AA27" i="63"/>
  <c r="DF26" i="63"/>
  <c r="DE26" i="63"/>
  <c r="DD26" i="63"/>
  <c r="DC26" i="63"/>
  <c r="DB26" i="63"/>
  <c r="DA26" i="63"/>
  <c r="CZ26" i="63"/>
  <c r="CY26" i="63"/>
  <c r="CC26" i="63"/>
  <c r="CB26" i="63"/>
  <c r="BF26" i="63"/>
  <c r="BE26" i="63"/>
  <c r="BD26" i="63"/>
  <c r="BC26" i="63"/>
  <c r="AE26" i="63"/>
  <c r="AD26" i="63"/>
  <c r="AC26" i="63"/>
  <c r="AB26" i="63"/>
  <c r="AA26" i="63"/>
  <c r="DF25" i="63"/>
  <c r="DE25" i="63"/>
  <c r="DD25" i="63"/>
  <c r="DC25" i="63"/>
  <c r="DB25" i="63"/>
  <c r="DA25" i="63"/>
  <c r="CZ25" i="63"/>
  <c r="CY25" i="63"/>
  <c r="CC25" i="63"/>
  <c r="CB25" i="63"/>
  <c r="BF25" i="63"/>
  <c r="BE25" i="63"/>
  <c r="BD25" i="63"/>
  <c r="BC25" i="63"/>
  <c r="AE25" i="63"/>
  <c r="AD25" i="63"/>
  <c r="AC25" i="63"/>
  <c r="AB25" i="63"/>
  <c r="AA25" i="63"/>
  <c r="DF24" i="63"/>
  <c r="DE24" i="63"/>
  <c r="DD24" i="63"/>
  <c r="DC24" i="63"/>
  <c r="DB24" i="63"/>
  <c r="DA24" i="63"/>
  <c r="CZ24" i="63"/>
  <c r="CY24" i="63"/>
  <c r="CC24" i="63"/>
  <c r="CB24" i="63"/>
  <c r="BF24" i="63"/>
  <c r="BE24" i="63"/>
  <c r="BD24" i="63"/>
  <c r="BC24" i="63"/>
  <c r="AE24" i="63"/>
  <c r="AD24" i="63"/>
  <c r="AC24" i="63"/>
  <c r="AB24" i="63"/>
  <c r="AA24" i="63"/>
  <c r="DF23" i="63"/>
  <c r="DE23" i="63"/>
  <c r="DD23" i="63"/>
  <c r="DC23" i="63"/>
  <c r="DB23" i="63"/>
  <c r="DA23" i="63"/>
  <c r="CZ23" i="63"/>
  <c r="CY23" i="63"/>
  <c r="CC23" i="63"/>
  <c r="CB23" i="63"/>
  <c r="BF23" i="63"/>
  <c r="BE23" i="63"/>
  <c r="BD23" i="63"/>
  <c r="BC23" i="63"/>
  <c r="AE23" i="63"/>
  <c r="AD23" i="63"/>
  <c r="AC23" i="63"/>
  <c r="AB23" i="63"/>
  <c r="AA23" i="63"/>
  <c r="DF22" i="63"/>
  <c r="DE22" i="63"/>
  <c r="DD22" i="63"/>
  <c r="DC22" i="63"/>
  <c r="DB22" i="63"/>
  <c r="DA22" i="63"/>
  <c r="CZ22" i="63"/>
  <c r="CY22" i="63"/>
  <c r="CC22" i="63"/>
  <c r="CB22" i="63"/>
  <c r="BF22" i="63"/>
  <c r="BE22" i="63"/>
  <c r="BD22" i="63"/>
  <c r="BC22" i="63"/>
  <c r="AE22" i="63"/>
  <c r="AD22" i="63"/>
  <c r="AC22" i="63"/>
  <c r="AB22" i="63"/>
  <c r="AA22" i="63"/>
  <c r="Y22" i="63"/>
  <c r="DF21" i="63"/>
  <c r="DE21" i="63"/>
  <c r="DD21" i="63"/>
  <c r="DC21" i="63"/>
  <c r="DB21" i="63"/>
  <c r="DA21" i="63"/>
  <c r="CZ21" i="63"/>
  <c r="CY21" i="63"/>
  <c r="CC21" i="63"/>
  <c r="CB21" i="63"/>
  <c r="BF21" i="63"/>
  <c r="BE21" i="63"/>
  <c r="BD21" i="63"/>
  <c r="BC21" i="63"/>
  <c r="AE21" i="63"/>
  <c r="AD21" i="63"/>
  <c r="AC21" i="63"/>
  <c r="AB21" i="63"/>
  <c r="AA21" i="63"/>
  <c r="Y21" i="63"/>
  <c r="DF20" i="63"/>
  <c r="DE20" i="63"/>
  <c r="DD20" i="63"/>
  <c r="DC20" i="63"/>
  <c r="DB20" i="63"/>
  <c r="DA20" i="63"/>
  <c r="CZ20" i="63"/>
  <c r="CY20" i="63"/>
  <c r="CC20" i="63"/>
  <c r="CB20" i="63"/>
  <c r="BF20" i="63"/>
  <c r="BE20" i="63"/>
  <c r="BD20" i="63"/>
  <c r="BC20" i="63"/>
  <c r="AE20" i="63"/>
  <c r="AD20" i="63"/>
  <c r="AC20" i="63"/>
  <c r="AB20" i="63"/>
  <c r="AA20" i="63"/>
  <c r="DF19" i="63"/>
  <c r="DE19" i="63"/>
  <c r="DD19" i="63"/>
  <c r="DC19" i="63"/>
  <c r="DB19" i="63"/>
  <c r="DA19" i="63"/>
  <c r="CZ19" i="63"/>
  <c r="CY19" i="63"/>
  <c r="CC19" i="63"/>
  <c r="CB19" i="63"/>
  <c r="BF19" i="63"/>
  <c r="BE19" i="63"/>
  <c r="BD19" i="63"/>
  <c r="BC19" i="63"/>
  <c r="AE19" i="63"/>
  <c r="AD19" i="63"/>
  <c r="AC19" i="63"/>
  <c r="AB19" i="63"/>
  <c r="AA19" i="63"/>
  <c r="Y19" i="63"/>
  <c r="DF18" i="63"/>
  <c r="DE18" i="63"/>
  <c r="DD18" i="63"/>
  <c r="DC18" i="63"/>
  <c r="DB18" i="63"/>
  <c r="DA18" i="63"/>
  <c r="CZ18" i="63"/>
  <c r="CY18" i="63"/>
  <c r="CC18" i="63"/>
  <c r="CB18" i="63"/>
  <c r="BF18" i="63"/>
  <c r="BE18" i="63"/>
  <c r="BD18" i="63"/>
  <c r="BC18" i="63"/>
  <c r="AE18" i="63"/>
  <c r="AD18" i="63"/>
  <c r="AC18" i="63"/>
  <c r="AB18" i="63"/>
  <c r="AA18" i="63"/>
  <c r="Y18" i="63"/>
  <c r="DF17" i="63"/>
  <c r="DE17" i="63"/>
  <c r="DD17" i="63"/>
  <c r="DC17" i="63"/>
  <c r="DB17" i="63"/>
  <c r="DA17" i="63"/>
  <c r="CZ17" i="63"/>
  <c r="CY17" i="63"/>
  <c r="CC17" i="63"/>
  <c r="CB17" i="63"/>
  <c r="BF17" i="63"/>
  <c r="BE17" i="63"/>
  <c r="BD17" i="63"/>
  <c r="BC17" i="63"/>
  <c r="AE17" i="63"/>
  <c r="AD17" i="63"/>
  <c r="AC17" i="63"/>
  <c r="AB17" i="63"/>
  <c r="AA17" i="63"/>
  <c r="Y17" i="63"/>
  <c r="DF16" i="63"/>
  <c r="DE16" i="63"/>
  <c r="DD16" i="63"/>
  <c r="DC16" i="63"/>
  <c r="DB16" i="63"/>
  <c r="DA16" i="63"/>
  <c r="CZ16" i="63"/>
  <c r="CY16" i="63"/>
  <c r="CC16" i="63"/>
  <c r="CB16" i="63"/>
  <c r="BF16" i="63"/>
  <c r="BE16" i="63"/>
  <c r="BD16" i="63"/>
  <c r="BC16" i="63"/>
  <c r="AE16" i="63"/>
  <c r="AD16" i="63"/>
  <c r="AC16" i="63"/>
  <c r="AB16" i="63"/>
  <c r="AA16" i="63"/>
  <c r="DF15" i="63"/>
  <c r="DE15" i="63"/>
  <c r="DD15" i="63"/>
  <c r="DC15" i="63"/>
  <c r="DB15" i="63"/>
  <c r="DA15" i="63"/>
  <c r="CZ15" i="63"/>
  <c r="CY15" i="63"/>
  <c r="CC15" i="63"/>
  <c r="CB15" i="63"/>
  <c r="BF15" i="63"/>
  <c r="BE15" i="63"/>
  <c r="BD15" i="63"/>
  <c r="BC15" i="63"/>
  <c r="AE15" i="63"/>
  <c r="AD15" i="63"/>
  <c r="AC15" i="63"/>
  <c r="AB15" i="63"/>
  <c r="AA15" i="63"/>
  <c r="Y15" i="63"/>
  <c r="DF14" i="63"/>
  <c r="DE14" i="63"/>
  <c r="DD14" i="63"/>
  <c r="DC14" i="63"/>
  <c r="DB14" i="63"/>
  <c r="DA14" i="63"/>
  <c r="CZ14" i="63"/>
  <c r="CY14" i="63"/>
  <c r="CC14" i="63"/>
  <c r="CB14" i="63"/>
  <c r="BF14" i="63"/>
  <c r="BE14" i="63"/>
  <c r="BD14" i="63"/>
  <c r="BC14" i="63"/>
  <c r="AE14" i="63"/>
  <c r="AD14" i="63"/>
  <c r="AC14" i="63"/>
  <c r="AB14" i="63"/>
  <c r="AA14" i="63"/>
  <c r="Y14" i="63"/>
  <c r="A14" i="63"/>
  <c r="CY16" i="41"/>
  <c r="CZ16" i="41"/>
  <c r="DA16" i="41"/>
  <c r="DB16" i="41"/>
  <c r="DC16" i="41"/>
  <c r="DD16" i="41"/>
  <c r="DE16" i="41"/>
  <c r="DF16" i="41"/>
  <c r="CY17" i="41"/>
  <c r="CZ17" i="41"/>
  <c r="DA17" i="41"/>
  <c r="DB17" i="41"/>
  <c r="DC17" i="41"/>
  <c r="DD17" i="41"/>
  <c r="DE17" i="41"/>
  <c r="DF17" i="41"/>
  <c r="CY18" i="41"/>
  <c r="CZ18" i="41"/>
  <c r="DA18" i="41"/>
  <c r="DB18" i="41"/>
  <c r="DC18" i="41"/>
  <c r="DD18" i="41"/>
  <c r="DE18" i="41"/>
  <c r="DF18" i="41"/>
  <c r="CY19" i="41"/>
  <c r="CZ19" i="41"/>
  <c r="DA19" i="41"/>
  <c r="DB19" i="41"/>
  <c r="DC19" i="41"/>
  <c r="DD19" i="41"/>
  <c r="DE19" i="41"/>
  <c r="DF19" i="41"/>
  <c r="CY20" i="41"/>
  <c r="CZ20" i="41"/>
  <c r="DA20" i="41"/>
  <c r="DB20" i="41"/>
  <c r="DC20" i="41"/>
  <c r="DD20" i="41"/>
  <c r="DE20" i="41"/>
  <c r="DF20" i="41"/>
  <c r="CY21" i="41"/>
  <c r="CZ21" i="41"/>
  <c r="DA21" i="41"/>
  <c r="DB21" i="41"/>
  <c r="DC21" i="41"/>
  <c r="DD21" i="41"/>
  <c r="DE21" i="41"/>
  <c r="DF21" i="41"/>
  <c r="CY22" i="41"/>
  <c r="CZ22" i="41"/>
  <c r="DA22" i="41"/>
  <c r="DB22" i="41"/>
  <c r="DC22" i="41"/>
  <c r="DD22" i="41"/>
  <c r="DE22" i="41"/>
  <c r="DF22" i="41"/>
  <c r="CY23" i="41"/>
  <c r="CZ23" i="41"/>
  <c r="DA23" i="41"/>
  <c r="DB23" i="41"/>
  <c r="DC23" i="41"/>
  <c r="DD23" i="41"/>
  <c r="DE23" i="41"/>
  <c r="DF23" i="41"/>
  <c r="CY24" i="41"/>
  <c r="CZ24" i="41"/>
  <c r="DA24" i="41"/>
  <c r="DB24" i="41"/>
  <c r="DC24" i="41"/>
  <c r="DD24" i="41"/>
  <c r="DE24" i="41"/>
  <c r="DF24" i="41"/>
  <c r="CY25" i="41"/>
  <c r="CZ25" i="41"/>
  <c r="DA25" i="41"/>
  <c r="DB25" i="41"/>
  <c r="DC25" i="41"/>
  <c r="DD25" i="41"/>
  <c r="DE25" i="41"/>
  <c r="DF25" i="41"/>
  <c r="CY26" i="41"/>
  <c r="CZ26" i="41"/>
  <c r="DA26" i="41"/>
  <c r="DB26" i="41"/>
  <c r="DC26" i="41"/>
  <c r="DD26" i="41"/>
  <c r="DE26" i="41"/>
  <c r="DF26" i="41"/>
  <c r="CY27" i="41"/>
  <c r="CZ27" i="41"/>
  <c r="DA27" i="41"/>
  <c r="DB27" i="41"/>
  <c r="DC27" i="41"/>
  <c r="DD27" i="41"/>
  <c r="DE27" i="41"/>
  <c r="DF27" i="41"/>
  <c r="CY28" i="41"/>
  <c r="CZ28" i="41"/>
  <c r="DA28" i="41"/>
  <c r="DB28" i="41"/>
  <c r="DC28" i="41"/>
  <c r="DD28" i="41"/>
  <c r="DE28" i="41"/>
  <c r="DF28" i="41"/>
  <c r="CY29" i="41"/>
  <c r="CZ29" i="41"/>
  <c r="DA29" i="41"/>
  <c r="DB29" i="41"/>
  <c r="DC29" i="41"/>
  <c r="DD29" i="41"/>
  <c r="DE29" i="41"/>
  <c r="DF29" i="41"/>
  <c r="CY30" i="41"/>
  <c r="CZ30" i="41"/>
  <c r="DA30" i="41"/>
  <c r="DB30" i="41"/>
  <c r="DC30" i="41"/>
  <c r="DD30" i="41"/>
  <c r="DE30" i="41"/>
  <c r="DF30" i="41"/>
  <c r="CY31" i="41"/>
  <c r="CZ31" i="41"/>
  <c r="DA31" i="41"/>
  <c r="DB31" i="41"/>
  <c r="DC31" i="41"/>
  <c r="DD31" i="41"/>
  <c r="DE31" i="41"/>
  <c r="DF31" i="41"/>
  <c r="CY32" i="41"/>
  <c r="CZ32" i="41"/>
  <c r="DA32" i="41"/>
  <c r="DB32" i="41"/>
  <c r="DC32" i="41"/>
  <c r="DD32" i="41"/>
  <c r="DE32" i="41"/>
  <c r="DF32" i="41"/>
  <c r="CY33" i="41"/>
  <c r="CZ33" i="41"/>
  <c r="DA33" i="41"/>
  <c r="DB33" i="41"/>
  <c r="DC33" i="41"/>
  <c r="DD33" i="41"/>
  <c r="DE33" i="41"/>
  <c r="DF33" i="41"/>
  <c r="CY34" i="41"/>
  <c r="CZ34" i="41"/>
  <c r="DA34" i="41"/>
  <c r="DB34" i="41"/>
  <c r="DC34" i="41"/>
  <c r="DD34" i="41"/>
  <c r="DE34" i="41"/>
  <c r="DF34" i="41"/>
  <c r="CY35" i="41"/>
  <c r="CZ35" i="41"/>
  <c r="DA35" i="41"/>
  <c r="DB35" i="41"/>
  <c r="DC35" i="41"/>
  <c r="DD35" i="41"/>
  <c r="DE35" i="41"/>
  <c r="DF35" i="41"/>
  <c r="CY36" i="41"/>
  <c r="CZ36" i="41"/>
  <c r="DA36" i="41"/>
  <c r="DB36" i="41"/>
  <c r="DC36" i="41"/>
  <c r="DD36" i="41"/>
  <c r="DE36" i="41"/>
  <c r="DF36" i="41"/>
  <c r="CY37" i="41"/>
  <c r="CZ37" i="41"/>
  <c r="DA37" i="41"/>
  <c r="DB37" i="41"/>
  <c r="DC37" i="41"/>
  <c r="DD37" i="41"/>
  <c r="DE37" i="41"/>
  <c r="DF37" i="41"/>
  <c r="CY38" i="41"/>
  <c r="CZ38" i="41"/>
  <c r="DA38" i="41"/>
  <c r="DB38" i="41"/>
  <c r="DC38" i="41"/>
  <c r="DD38" i="41"/>
  <c r="DE38" i="41"/>
  <c r="DF38" i="41"/>
  <c r="CY39" i="41"/>
  <c r="CZ39" i="41"/>
  <c r="DA39" i="41"/>
  <c r="DB39" i="41"/>
  <c r="DC39" i="41"/>
  <c r="DD39" i="41"/>
  <c r="DE39" i="41"/>
  <c r="DF39" i="41"/>
  <c r="CY40" i="41"/>
  <c r="CZ40" i="41"/>
  <c r="DA40" i="41"/>
  <c r="DB40" i="41"/>
  <c r="DC40" i="41"/>
  <c r="DD40" i="41"/>
  <c r="DE40" i="41"/>
  <c r="DF40" i="41"/>
  <c r="CY41" i="41"/>
  <c r="CZ41" i="41"/>
  <c r="DA41" i="41"/>
  <c r="DB41" i="41"/>
  <c r="DC41" i="41"/>
  <c r="DD41" i="41"/>
  <c r="DE41" i="41"/>
  <c r="DF41" i="41"/>
  <c r="CY42" i="41"/>
  <c r="CZ42" i="41"/>
  <c r="DA42" i="41"/>
  <c r="DB42" i="41"/>
  <c r="DC42" i="41"/>
  <c r="DD42" i="41"/>
  <c r="DE42" i="41"/>
  <c r="DF42" i="41"/>
  <c r="CY43" i="41"/>
  <c r="CZ43" i="41"/>
  <c r="DA43" i="41"/>
  <c r="DB43" i="41"/>
  <c r="DC43" i="41"/>
  <c r="DD43" i="41"/>
  <c r="DE43" i="41"/>
  <c r="DF43" i="41"/>
  <c r="CY44" i="41"/>
  <c r="CZ44" i="41"/>
  <c r="DA44" i="41"/>
  <c r="DB44" i="41"/>
  <c r="DC44" i="41"/>
  <c r="DD44" i="41"/>
  <c r="DE44" i="41"/>
  <c r="DF44" i="41"/>
  <c r="CY45" i="41"/>
  <c r="CZ45" i="41"/>
  <c r="DA45" i="41"/>
  <c r="DB45" i="41"/>
  <c r="DC45" i="41"/>
  <c r="DD45" i="41"/>
  <c r="DE45" i="41"/>
  <c r="DF45" i="41"/>
  <c r="DF15" i="41"/>
  <c r="DE15" i="41"/>
  <c r="DD15" i="41"/>
  <c r="DC15" i="41"/>
  <c r="DB15" i="41"/>
  <c r="DA15" i="41"/>
  <c r="CZ15" i="41"/>
  <c r="CY15" i="41"/>
  <c r="Q32" i="43" l="1"/>
  <c r="A20" i="47"/>
  <c r="J56" i="1"/>
  <c r="FX15" i="65"/>
  <c r="FV15" i="65"/>
  <c r="FX23" i="65"/>
  <c r="FV23" i="65"/>
  <c r="FR25" i="65"/>
  <c r="FP25" i="65"/>
  <c r="FX31" i="65"/>
  <c r="FV31" i="65"/>
  <c r="FP33" i="65"/>
  <c r="FR33" i="65"/>
  <c r="FX39" i="65"/>
  <c r="FV39" i="65"/>
  <c r="FP41" i="65"/>
  <c r="FR41" i="65"/>
  <c r="FX26" i="65"/>
  <c r="FV26" i="65"/>
  <c r="FX34" i="65"/>
  <c r="FV34" i="65"/>
  <c r="FP36" i="65"/>
  <c r="FR36" i="65"/>
  <c r="FX42" i="65"/>
  <c r="FV42" i="65"/>
  <c r="FR42" i="65"/>
  <c r="FP42" i="65"/>
  <c r="FR15" i="65"/>
  <c r="FP15" i="65"/>
  <c r="FR23" i="65"/>
  <c r="FP23" i="65"/>
  <c r="FR31" i="65"/>
  <c r="FP31" i="65"/>
  <c r="FX37" i="65"/>
  <c r="FV37" i="65"/>
  <c r="FR39" i="65"/>
  <c r="FP39" i="65"/>
  <c r="FR34" i="65"/>
  <c r="FP34" i="65"/>
  <c r="FX27" i="65"/>
  <c r="FV27" i="65"/>
  <c r="FV35" i="65"/>
  <c r="FX35" i="65"/>
  <c r="FR37" i="65"/>
  <c r="FP37" i="65"/>
  <c r="FV43" i="65"/>
  <c r="FX43" i="65"/>
  <c r="FV24" i="65"/>
  <c r="FX24" i="65"/>
  <c r="FR26" i="65"/>
  <c r="FP26" i="65"/>
  <c r="FX32" i="65"/>
  <c r="FV32" i="65"/>
  <c r="FR24" i="65"/>
  <c r="FP24" i="65"/>
  <c r="FV30" i="65"/>
  <c r="FX30" i="65"/>
  <c r="FR32" i="65"/>
  <c r="FP32" i="65"/>
  <c r="FV38" i="65"/>
  <c r="FX38" i="65"/>
  <c r="FR40" i="65"/>
  <c r="FP40" i="65"/>
  <c r="FX40" i="65"/>
  <c r="FV40" i="65"/>
  <c r="FX25" i="65"/>
  <c r="FV25" i="65"/>
  <c r="FP27" i="65"/>
  <c r="FR27" i="65"/>
  <c r="FX33" i="65"/>
  <c r="FV33" i="65"/>
  <c r="FR35" i="65"/>
  <c r="FP35" i="65"/>
  <c r="FX41" i="65"/>
  <c r="FV41" i="65"/>
  <c r="FR43" i="65"/>
  <c r="FP43" i="65"/>
  <c r="FR30" i="65"/>
  <c r="FP30" i="65"/>
  <c r="FX36" i="65"/>
  <c r="FV36" i="65"/>
  <c r="FR38" i="65"/>
  <c r="FP38" i="65"/>
  <c r="FX14" i="65"/>
  <c r="FV14" i="65"/>
  <c r="FX16" i="66"/>
  <c r="FV16" i="66"/>
  <c r="FR18" i="66"/>
  <c r="FP18" i="66"/>
  <c r="FX24" i="66"/>
  <c r="FV24" i="66"/>
  <c r="FR34" i="66"/>
  <c r="FP34" i="66"/>
  <c r="FX40" i="66"/>
  <c r="FV40" i="66"/>
  <c r="FP42" i="66"/>
  <c r="FR42" i="66"/>
  <c r="FX35" i="66"/>
  <c r="FV35" i="66"/>
  <c r="FP16" i="66"/>
  <c r="FR16" i="66"/>
  <c r="FV22" i="66"/>
  <c r="FX22" i="66"/>
  <c r="FR24" i="66"/>
  <c r="FP24" i="66"/>
  <c r="FV30" i="66"/>
  <c r="FX30" i="66"/>
  <c r="FX38" i="66"/>
  <c r="FV38" i="66"/>
  <c r="FR40" i="66"/>
  <c r="FP40" i="66"/>
  <c r="FX43" i="66"/>
  <c r="FV43" i="66"/>
  <c r="FX17" i="66"/>
  <c r="FV17" i="66"/>
  <c r="FX25" i="66"/>
  <c r="FV25" i="66"/>
  <c r="FX33" i="66"/>
  <c r="FV33" i="66"/>
  <c r="FP35" i="66"/>
  <c r="FR35" i="66"/>
  <c r="FX41" i="66"/>
  <c r="FV41" i="66"/>
  <c r="FR43" i="66"/>
  <c r="FP43" i="66"/>
  <c r="FR22" i="66"/>
  <c r="FP22" i="66"/>
  <c r="FX28" i="66"/>
  <c r="FV28" i="66"/>
  <c r="FP30" i="66"/>
  <c r="FR30" i="66"/>
  <c r="FX36" i="66"/>
  <c r="FV36" i="66"/>
  <c r="FR38" i="66"/>
  <c r="FP38" i="66"/>
  <c r="FV44" i="66"/>
  <c r="FX44" i="66"/>
  <c r="FR37" i="66"/>
  <c r="FP37" i="66"/>
  <c r="FX15" i="66"/>
  <c r="FV15" i="66"/>
  <c r="FR17" i="66"/>
  <c r="FP17" i="66"/>
  <c r="FX23" i="66"/>
  <c r="FV23" i="66"/>
  <c r="FP25" i="66"/>
  <c r="FR25" i="66"/>
  <c r="FX31" i="66"/>
  <c r="FV31" i="66"/>
  <c r="FR33" i="66"/>
  <c r="FP33" i="66"/>
  <c r="FV39" i="66"/>
  <c r="FX39" i="66"/>
  <c r="FR41" i="66"/>
  <c r="FP41" i="66"/>
  <c r="FR21" i="66"/>
  <c r="FP21" i="66"/>
  <c r="FR29" i="66"/>
  <c r="FP29" i="66"/>
  <c r="FV18" i="66"/>
  <c r="FX18" i="66"/>
  <c r="FP28" i="66"/>
  <c r="FR28" i="66"/>
  <c r="FV34" i="66"/>
  <c r="FX34" i="66"/>
  <c r="FR36" i="66"/>
  <c r="FP36" i="66"/>
  <c r="FX42" i="66"/>
  <c r="FV42" i="66"/>
  <c r="FR44" i="66"/>
  <c r="FP44" i="66"/>
  <c r="FR15" i="66"/>
  <c r="FP15" i="66"/>
  <c r="FX21" i="66"/>
  <c r="FV21" i="66"/>
  <c r="FR23" i="66"/>
  <c r="FP23" i="66"/>
  <c r="FV29" i="66"/>
  <c r="FX29" i="66"/>
  <c r="FR31" i="66"/>
  <c r="FP31" i="66"/>
  <c r="FV37" i="66"/>
  <c r="FX37" i="66"/>
  <c r="FR39" i="66"/>
  <c r="FP39" i="66"/>
  <c r="FX19" i="67"/>
  <c r="FV19" i="67"/>
  <c r="FR21" i="67"/>
  <c r="FP21" i="67"/>
  <c r="FV27" i="67"/>
  <c r="FX27" i="67"/>
  <c r="FR29" i="67"/>
  <c r="FP29" i="67"/>
  <c r="FR37" i="67"/>
  <c r="FP37" i="67"/>
  <c r="FX43" i="67"/>
  <c r="FV43" i="67"/>
  <c r="FR16" i="67"/>
  <c r="FP16" i="67"/>
  <c r="FX22" i="67"/>
  <c r="FV22" i="67"/>
  <c r="FX38" i="67"/>
  <c r="FV38" i="67"/>
  <c r="FR40" i="67"/>
  <c r="FP40" i="67"/>
  <c r="FX17" i="67"/>
  <c r="FV17" i="67"/>
  <c r="FP19" i="67"/>
  <c r="FR19" i="67"/>
  <c r="FX25" i="67"/>
  <c r="FV25" i="67"/>
  <c r="FR27" i="67"/>
  <c r="FP27" i="67"/>
  <c r="FX41" i="67"/>
  <c r="FV41" i="67"/>
  <c r="FP43" i="67"/>
  <c r="FR43" i="67"/>
  <c r="FX20" i="67"/>
  <c r="FV20" i="67"/>
  <c r="FP22" i="67"/>
  <c r="FR22" i="67"/>
  <c r="FX28" i="67"/>
  <c r="FV28" i="67"/>
  <c r="FP38" i="67"/>
  <c r="FR38" i="67"/>
  <c r="FX44" i="67"/>
  <c r="FV44" i="67"/>
  <c r="FX15" i="67"/>
  <c r="FV15" i="67"/>
  <c r="FR17" i="67"/>
  <c r="FP17" i="67"/>
  <c r="FP25" i="67"/>
  <c r="FR25" i="67"/>
  <c r="FX39" i="67"/>
  <c r="FV39" i="67"/>
  <c r="FR41" i="67"/>
  <c r="FP41" i="67"/>
  <c r="FX18" i="67"/>
  <c r="FV18" i="67"/>
  <c r="FR20" i="67"/>
  <c r="FP20" i="67"/>
  <c r="FX26" i="67"/>
  <c r="FV26" i="67"/>
  <c r="FP28" i="67"/>
  <c r="FR28" i="67"/>
  <c r="FX42" i="67"/>
  <c r="FV42" i="67"/>
  <c r="FR44" i="67"/>
  <c r="FP44" i="67"/>
  <c r="FR15" i="67"/>
  <c r="FP15" i="67"/>
  <c r="FV21" i="67"/>
  <c r="FX21" i="67"/>
  <c r="FX29" i="67"/>
  <c r="FV29" i="67"/>
  <c r="FV37" i="67"/>
  <c r="FX37" i="67"/>
  <c r="FR39" i="67"/>
  <c r="FP39" i="67"/>
  <c r="FV16" i="67"/>
  <c r="FX16" i="67"/>
  <c r="FR18" i="67"/>
  <c r="FP18" i="67"/>
  <c r="FR26" i="67"/>
  <c r="FP26" i="67"/>
  <c r="FV40" i="67"/>
  <c r="FX40" i="67"/>
  <c r="FR42" i="67"/>
  <c r="FP42" i="67"/>
  <c r="FX14" i="67"/>
  <c r="FV14" i="67"/>
  <c r="FR22" i="69"/>
  <c r="FP22" i="69"/>
  <c r="FP30" i="69"/>
  <c r="FR30" i="69"/>
  <c r="FX36" i="69"/>
  <c r="FV36" i="69"/>
  <c r="FR38" i="69"/>
  <c r="FP38" i="69"/>
  <c r="FX44" i="69"/>
  <c r="FV44" i="69"/>
  <c r="FV15" i="69"/>
  <c r="FX15" i="69"/>
  <c r="FR17" i="69"/>
  <c r="FP17" i="69"/>
  <c r="FV23" i="69"/>
  <c r="FX23" i="69"/>
  <c r="FR25" i="69"/>
  <c r="FP25" i="69"/>
  <c r="FX31" i="69"/>
  <c r="FV31" i="69"/>
  <c r="FR33" i="69"/>
  <c r="FP33" i="69"/>
  <c r="FX39" i="69"/>
  <c r="FV39" i="69"/>
  <c r="FP41" i="69"/>
  <c r="FR41" i="69"/>
  <c r="FX18" i="69"/>
  <c r="FV18" i="69"/>
  <c r="FV26" i="69"/>
  <c r="FX26" i="69"/>
  <c r="FP36" i="69"/>
  <c r="FR36" i="69"/>
  <c r="FX42" i="69"/>
  <c r="FV42" i="69"/>
  <c r="FP44" i="69"/>
  <c r="FR44" i="69"/>
  <c r="FR15" i="69"/>
  <c r="FP15" i="69"/>
  <c r="FX21" i="69"/>
  <c r="FV21" i="69"/>
  <c r="FR23" i="69"/>
  <c r="FP23" i="69"/>
  <c r="FV29" i="69"/>
  <c r="FX29" i="69"/>
  <c r="FP31" i="69"/>
  <c r="FR31" i="69"/>
  <c r="FX37" i="69"/>
  <c r="FV37" i="69"/>
  <c r="FR39" i="69"/>
  <c r="FP39" i="69"/>
  <c r="FX16" i="69"/>
  <c r="FV16" i="69"/>
  <c r="FP18" i="69"/>
  <c r="FR18" i="69"/>
  <c r="FX24" i="69"/>
  <c r="FV24" i="69"/>
  <c r="FR26" i="69"/>
  <c r="FP26" i="69"/>
  <c r="FV32" i="69"/>
  <c r="FX32" i="69"/>
  <c r="FX40" i="69"/>
  <c r="FV40" i="69"/>
  <c r="FR42" i="69"/>
  <c r="FP42" i="69"/>
  <c r="FP21" i="69"/>
  <c r="FR21" i="69"/>
  <c r="FR29" i="69"/>
  <c r="FP29" i="69"/>
  <c r="FR37" i="69"/>
  <c r="FP37" i="69"/>
  <c r="FV43" i="69"/>
  <c r="FX43" i="69"/>
  <c r="FR16" i="69"/>
  <c r="FP16" i="69"/>
  <c r="FX22" i="69"/>
  <c r="FV22" i="69"/>
  <c r="FP24" i="69"/>
  <c r="FR24" i="69"/>
  <c r="FX30" i="69"/>
  <c r="FV30" i="69"/>
  <c r="FR32" i="69"/>
  <c r="FP32" i="69"/>
  <c r="FV38" i="69"/>
  <c r="FX38" i="69"/>
  <c r="FR40" i="69"/>
  <c r="FP40" i="69"/>
  <c r="FX17" i="69"/>
  <c r="FV17" i="69"/>
  <c r="FX25" i="69"/>
  <c r="FV25" i="69"/>
  <c r="FX33" i="69"/>
  <c r="FV33" i="69"/>
  <c r="FX41" i="69"/>
  <c r="FV41" i="69"/>
  <c r="FP43" i="69"/>
  <c r="FR43" i="69"/>
  <c r="FX14" i="69"/>
  <c r="FV14" i="69"/>
  <c r="FR16" i="73"/>
  <c r="FP16" i="73"/>
  <c r="FX22" i="73"/>
  <c r="FV22" i="73"/>
  <c r="FV30" i="73"/>
  <c r="FX30" i="73"/>
  <c r="FR32" i="73"/>
  <c r="FP32" i="73"/>
  <c r="FX38" i="73"/>
  <c r="FV38" i="73"/>
  <c r="FP40" i="73"/>
  <c r="FR40" i="73"/>
  <c r="FR27" i="73"/>
  <c r="FP27" i="73"/>
  <c r="FV33" i="73"/>
  <c r="FX33" i="73"/>
  <c r="FR35" i="73"/>
  <c r="FP35" i="73"/>
  <c r="FX41" i="73"/>
  <c r="FV41" i="73"/>
  <c r="FR43" i="73"/>
  <c r="FP43" i="73"/>
  <c r="FX20" i="73"/>
  <c r="FV20" i="73"/>
  <c r="FP22" i="73"/>
  <c r="FR22" i="73"/>
  <c r="FX28" i="73"/>
  <c r="FV28" i="73"/>
  <c r="FR30" i="73"/>
  <c r="FP30" i="73"/>
  <c r="FV36" i="73"/>
  <c r="FX36" i="73"/>
  <c r="FR38" i="73"/>
  <c r="FP38" i="73"/>
  <c r="FX44" i="73"/>
  <c r="FV44" i="73"/>
  <c r="FV15" i="73"/>
  <c r="FX15" i="73"/>
  <c r="FX23" i="73"/>
  <c r="FV23" i="73"/>
  <c r="FX31" i="73"/>
  <c r="FV31" i="73"/>
  <c r="FR33" i="73"/>
  <c r="FP33" i="73"/>
  <c r="FX39" i="73"/>
  <c r="FV39" i="73"/>
  <c r="FR41" i="73"/>
  <c r="FP41" i="73"/>
  <c r="FR20" i="73"/>
  <c r="FP20" i="73"/>
  <c r="FX26" i="73"/>
  <c r="FV26" i="73"/>
  <c r="FP28" i="73"/>
  <c r="FR28" i="73"/>
  <c r="FX34" i="73"/>
  <c r="FV34" i="73"/>
  <c r="FR36" i="73"/>
  <c r="FP36" i="73"/>
  <c r="FV42" i="73"/>
  <c r="FX42" i="73"/>
  <c r="FR44" i="73"/>
  <c r="FP44" i="73"/>
  <c r="FR15" i="73"/>
  <c r="FP15" i="73"/>
  <c r="FV21" i="73"/>
  <c r="FX21" i="73"/>
  <c r="FR23" i="73"/>
  <c r="FP23" i="73"/>
  <c r="FX29" i="73"/>
  <c r="FV29" i="73"/>
  <c r="FP31" i="73"/>
  <c r="FR31" i="73"/>
  <c r="FX37" i="73"/>
  <c r="FV37" i="73"/>
  <c r="FR39" i="73"/>
  <c r="FP39" i="73"/>
  <c r="FX16" i="73"/>
  <c r="FV16" i="73"/>
  <c r="FR26" i="73"/>
  <c r="FP26" i="73"/>
  <c r="FV32" i="73"/>
  <c r="FX32" i="73"/>
  <c r="FP34" i="73"/>
  <c r="FR34" i="73"/>
  <c r="FX40" i="73"/>
  <c r="FV40" i="73"/>
  <c r="FR42" i="73"/>
  <c r="FP42" i="73"/>
  <c r="FR21" i="73"/>
  <c r="FP21" i="73"/>
  <c r="FV27" i="73"/>
  <c r="FX27" i="73"/>
  <c r="FR29" i="73"/>
  <c r="FP29" i="73"/>
  <c r="FX35" i="73"/>
  <c r="FV35" i="73"/>
  <c r="FR37" i="73"/>
  <c r="FP37" i="73"/>
  <c r="FX43" i="73"/>
  <c r="FV43" i="73"/>
  <c r="FX14" i="73"/>
  <c r="FV14" i="73"/>
  <c r="FX25" i="73"/>
  <c r="FV25" i="73"/>
  <c r="FP25" i="73"/>
  <c r="FR25" i="73"/>
  <c r="FR24" i="73"/>
  <c r="FP24" i="73"/>
  <c r="FX24" i="73"/>
  <c r="FV24" i="73"/>
  <c r="FX18" i="73"/>
  <c r="FV18" i="73"/>
  <c r="FR18" i="73"/>
  <c r="FP18" i="73"/>
  <c r="FP19" i="73"/>
  <c r="FR19" i="73"/>
  <c r="FX19" i="73"/>
  <c r="FV19" i="73"/>
  <c r="FX17" i="73"/>
  <c r="FV17" i="73"/>
  <c r="FR17" i="73"/>
  <c r="FP17" i="73"/>
  <c r="FX35" i="69"/>
  <c r="FV35" i="69"/>
  <c r="FR35" i="69"/>
  <c r="FP35" i="69"/>
  <c r="FX34" i="69"/>
  <c r="FV34" i="69"/>
  <c r="FR34" i="69"/>
  <c r="FP34" i="69"/>
  <c r="FX28" i="69"/>
  <c r="FV28" i="69"/>
  <c r="FP28" i="69"/>
  <c r="FR28" i="69"/>
  <c r="FV27" i="69"/>
  <c r="FX27" i="69"/>
  <c r="FR27" i="69"/>
  <c r="FP27" i="69"/>
  <c r="FX31" i="67"/>
  <c r="FV31" i="67"/>
  <c r="FR31" i="67"/>
  <c r="FP31" i="67"/>
  <c r="FX30" i="67"/>
  <c r="FV30" i="67"/>
  <c r="FP30" i="67"/>
  <c r="FR30" i="67"/>
  <c r="FX27" i="66"/>
  <c r="FV27" i="66"/>
  <c r="FP27" i="66"/>
  <c r="FR27" i="66"/>
  <c r="FV26" i="66"/>
  <c r="FX26" i="66"/>
  <c r="FR26" i="66"/>
  <c r="FP26" i="66"/>
  <c r="FV20" i="66"/>
  <c r="FX20" i="66"/>
  <c r="FR20" i="66"/>
  <c r="FP20" i="66"/>
  <c r="FX19" i="66"/>
  <c r="FV19" i="66"/>
  <c r="FR19" i="66"/>
  <c r="FP19" i="66"/>
  <c r="FX29" i="65"/>
  <c r="FV29" i="65"/>
  <c r="FR29" i="65"/>
  <c r="FP29" i="65"/>
  <c r="FR28" i="65"/>
  <c r="FP28" i="65"/>
  <c r="FX28" i="65"/>
  <c r="FV28" i="65"/>
  <c r="FX22" i="65"/>
  <c r="FV22" i="65"/>
  <c r="FR22" i="65"/>
  <c r="FP22" i="65"/>
  <c r="FX21" i="65"/>
  <c r="FV21" i="65"/>
  <c r="FP21" i="65"/>
  <c r="FR21" i="65"/>
  <c r="FX20" i="69"/>
  <c r="FV20" i="69"/>
  <c r="FR20" i="69"/>
  <c r="FP20" i="69"/>
  <c r="FX19" i="69"/>
  <c r="FV19" i="69"/>
  <c r="FR19" i="69"/>
  <c r="FP19" i="69"/>
  <c r="FX36" i="67"/>
  <c r="FV36" i="67"/>
  <c r="FR36" i="67"/>
  <c r="FP36" i="67"/>
  <c r="FR35" i="67"/>
  <c r="FP35" i="67"/>
  <c r="FV35" i="67"/>
  <c r="FX35" i="67"/>
  <c r="FX34" i="67"/>
  <c r="FV34" i="67"/>
  <c r="FR34" i="67"/>
  <c r="FP34" i="67"/>
  <c r="FX33" i="67"/>
  <c r="FV33" i="67"/>
  <c r="FP33" i="67"/>
  <c r="FR33" i="67"/>
  <c r="FR32" i="67"/>
  <c r="FP32" i="67"/>
  <c r="FV32" i="67"/>
  <c r="FX32" i="67"/>
  <c r="FR32" i="66"/>
  <c r="FP32" i="66"/>
  <c r="FX32" i="66"/>
  <c r="FV32" i="66"/>
  <c r="FX14" i="66"/>
  <c r="FV14" i="66"/>
  <c r="FP20" i="65"/>
  <c r="FR20" i="65"/>
  <c r="FX20" i="65"/>
  <c r="FV20" i="65"/>
  <c r="FX19" i="65"/>
  <c r="FV19" i="65"/>
  <c r="FR19" i="65"/>
  <c r="FP19" i="65"/>
  <c r="FX18" i="65"/>
  <c r="FV18" i="65"/>
  <c r="FR18" i="65"/>
  <c r="FP18" i="65"/>
  <c r="FX17" i="65"/>
  <c r="FV17" i="65"/>
  <c r="FP17" i="65"/>
  <c r="FR17" i="65"/>
  <c r="FV16" i="65"/>
  <c r="FX16" i="65"/>
  <c r="FR16" i="65"/>
  <c r="FP16" i="65"/>
  <c r="FX19" i="72"/>
  <c r="FV19" i="72"/>
  <c r="FP21" i="72"/>
  <c r="FR21" i="72"/>
  <c r="FP37" i="72"/>
  <c r="FR37" i="72"/>
  <c r="FP15" i="72"/>
  <c r="FR15" i="72"/>
  <c r="FX21" i="72"/>
  <c r="FV21" i="72"/>
  <c r="FR23" i="72"/>
  <c r="FP23" i="72"/>
  <c r="FX29" i="72"/>
  <c r="FV29" i="72"/>
  <c r="FR31" i="72"/>
  <c r="FP31" i="72"/>
  <c r="FX37" i="72"/>
  <c r="FV37" i="72"/>
  <c r="FR39" i="72"/>
  <c r="FP39" i="72"/>
  <c r="FX35" i="72"/>
  <c r="FV35" i="72"/>
  <c r="FX16" i="72"/>
  <c r="FV16" i="72"/>
  <c r="FR18" i="72"/>
  <c r="FP18" i="72"/>
  <c r="FV24" i="72"/>
  <c r="FX24" i="72"/>
  <c r="FV32" i="72"/>
  <c r="FX32" i="72"/>
  <c r="FR34" i="72"/>
  <c r="FP34" i="72"/>
  <c r="FV40" i="72"/>
  <c r="FX40" i="72"/>
  <c r="FR42" i="72"/>
  <c r="FP42" i="72"/>
  <c r="FR16" i="72"/>
  <c r="FP16" i="72"/>
  <c r="FX22" i="72"/>
  <c r="FV22" i="72"/>
  <c r="FR24" i="72"/>
  <c r="FP24" i="72"/>
  <c r="FX30" i="72"/>
  <c r="FV30" i="72"/>
  <c r="FR32" i="72"/>
  <c r="FP32" i="72"/>
  <c r="FX38" i="72"/>
  <c r="FV38" i="72"/>
  <c r="FR40" i="72"/>
  <c r="FP40" i="72"/>
  <c r="FV17" i="72"/>
  <c r="FX17" i="72"/>
  <c r="FR19" i="72"/>
  <c r="FP19" i="72"/>
  <c r="FX25" i="72"/>
  <c r="FV25" i="72"/>
  <c r="FX33" i="72"/>
  <c r="FV33" i="72"/>
  <c r="FR35" i="72"/>
  <c r="FP35" i="72"/>
  <c r="FX41" i="72"/>
  <c r="FV41" i="72"/>
  <c r="FR43" i="72"/>
  <c r="FP43" i="72"/>
  <c r="FV20" i="72"/>
  <c r="FX20" i="72"/>
  <c r="FR22" i="72"/>
  <c r="FP22" i="72"/>
  <c r="FV28" i="72"/>
  <c r="FX28" i="72"/>
  <c r="FR30" i="72"/>
  <c r="FP30" i="72"/>
  <c r="FV36" i="72"/>
  <c r="FX36" i="72"/>
  <c r="FR38" i="72"/>
  <c r="FP38" i="72"/>
  <c r="FX15" i="72"/>
  <c r="FV15" i="72"/>
  <c r="FR17" i="72"/>
  <c r="FP17" i="72"/>
  <c r="FX23" i="72"/>
  <c r="FV23" i="72"/>
  <c r="FP25" i="72"/>
  <c r="FR25" i="72"/>
  <c r="FX31" i="72"/>
  <c r="FV31" i="72"/>
  <c r="FP33" i="72"/>
  <c r="FR33" i="72"/>
  <c r="FX39" i="72"/>
  <c r="FV39" i="72"/>
  <c r="FP41" i="72"/>
  <c r="FR41" i="72"/>
  <c r="FP29" i="72"/>
  <c r="FR29" i="72"/>
  <c r="FX43" i="72"/>
  <c r="FV43" i="72"/>
  <c r="FX18" i="72"/>
  <c r="FV18" i="72"/>
  <c r="FR20" i="72"/>
  <c r="FP20" i="72"/>
  <c r="FR28" i="72"/>
  <c r="FP28" i="72"/>
  <c r="FX34" i="72"/>
  <c r="FV34" i="72"/>
  <c r="FR36" i="72"/>
  <c r="FP36" i="72"/>
  <c r="FX42" i="72"/>
  <c r="FV42" i="72"/>
  <c r="FV14" i="72"/>
  <c r="FX14" i="72"/>
  <c r="FR15" i="71"/>
  <c r="FP15" i="71"/>
  <c r="FV21" i="71"/>
  <c r="FX21" i="71"/>
  <c r="FX29" i="71"/>
  <c r="FV29" i="71"/>
  <c r="FP31" i="71"/>
  <c r="FR31" i="71"/>
  <c r="FX37" i="71"/>
  <c r="FV37" i="71"/>
  <c r="FP39" i="71"/>
  <c r="FR39" i="71"/>
  <c r="FR16" i="71"/>
  <c r="FP16" i="71"/>
  <c r="FR24" i="71"/>
  <c r="FP24" i="71"/>
  <c r="FX16" i="71"/>
  <c r="FV16" i="71"/>
  <c r="FP18" i="71"/>
  <c r="FR18" i="71"/>
  <c r="FX24" i="71"/>
  <c r="FV24" i="71"/>
  <c r="FR26" i="71"/>
  <c r="FP26" i="71"/>
  <c r="FX32" i="71"/>
  <c r="FV32" i="71"/>
  <c r="FR34" i="71"/>
  <c r="FP34" i="71"/>
  <c r="FX40" i="71"/>
  <c r="FV40" i="71"/>
  <c r="FR42" i="71"/>
  <c r="FP42" i="71"/>
  <c r="FX19" i="71"/>
  <c r="FV19" i="71"/>
  <c r="FR21" i="71"/>
  <c r="FP21" i="71"/>
  <c r="FX27" i="71"/>
  <c r="FV27" i="71"/>
  <c r="FR29" i="71"/>
  <c r="FP29" i="71"/>
  <c r="FX35" i="71"/>
  <c r="FV35" i="71"/>
  <c r="FR37" i="71"/>
  <c r="FP37" i="71"/>
  <c r="FX43" i="71"/>
  <c r="FV43" i="71"/>
  <c r="FV17" i="71"/>
  <c r="FX17" i="71"/>
  <c r="FR19" i="71"/>
  <c r="FP19" i="71"/>
  <c r="FV25" i="71"/>
  <c r="FX25" i="71"/>
  <c r="FR27" i="71"/>
  <c r="FP27" i="71"/>
  <c r="FV33" i="71"/>
  <c r="FX33" i="71"/>
  <c r="FR35" i="71"/>
  <c r="FP35" i="71"/>
  <c r="FV41" i="71"/>
  <c r="FX41" i="71"/>
  <c r="FR43" i="71"/>
  <c r="FP43" i="71"/>
  <c r="FR40" i="71"/>
  <c r="FP40" i="71"/>
  <c r="FX20" i="71"/>
  <c r="FV20" i="71"/>
  <c r="FX28" i="71"/>
  <c r="FV28" i="71"/>
  <c r="FR30" i="71"/>
  <c r="FP30" i="71"/>
  <c r="FX36" i="71"/>
  <c r="FV36" i="71"/>
  <c r="FR38" i="71"/>
  <c r="FP38" i="71"/>
  <c r="FX44" i="71"/>
  <c r="FV44" i="71"/>
  <c r="FV30" i="71"/>
  <c r="FX30" i="71"/>
  <c r="FV15" i="71"/>
  <c r="FX15" i="71"/>
  <c r="FR17" i="71"/>
  <c r="FP17" i="71"/>
  <c r="FR25" i="71"/>
  <c r="FP25" i="71"/>
  <c r="FX31" i="71"/>
  <c r="FV31" i="71"/>
  <c r="FR33" i="71"/>
  <c r="FP33" i="71"/>
  <c r="FX39" i="71"/>
  <c r="FV39" i="71"/>
  <c r="FR41" i="71"/>
  <c r="FP41" i="71"/>
  <c r="FR32" i="71"/>
  <c r="FP32" i="71"/>
  <c r="FV38" i="71"/>
  <c r="FX38" i="71"/>
  <c r="FX18" i="71"/>
  <c r="FV18" i="71"/>
  <c r="FR20" i="71"/>
  <c r="FP20" i="71"/>
  <c r="FX26" i="71"/>
  <c r="FV26" i="71"/>
  <c r="FP28" i="71"/>
  <c r="FR28" i="71"/>
  <c r="FX34" i="71"/>
  <c r="FV34" i="71"/>
  <c r="FP36" i="71"/>
  <c r="FR36" i="71"/>
  <c r="FX42" i="71"/>
  <c r="FV42" i="71"/>
  <c r="FP44" i="71"/>
  <c r="FR44" i="71"/>
  <c r="FX14" i="71"/>
  <c r="FV14" i="71"/>
  <c r="FR23" i="71"/>
  <c r="FP23" i="71"/>
  <c r="FX23" i="71"/>
  <c r="FV23" i="71"/>
  <c r="FX22" i="71"/>
  <c r="FV22" i="71"/>
  <c r="FR22" i="71"/>
  <c r="FP22" i="71"/>
  <c r="FX20" i="70"/>
  <c r="FV20" i="70"/>
  <c r="FP22" i="70"/>
  <c r="FR22" i="70"/>
  <c r="FX28" i="70"/>
  <c r="FV28" i="70"/>
  <c r="FR30" i="70"/>
  <c r="FP30" i="70"/>
  <c r="FX36" i="70"/>
  <c r="FV36" i="70"/>
  <c r="FR38" i="70"/>
  <c r="FP38" i="70"/>
  <c r="FV15" i="70"/>
  <c r="FX15" i="70"/>
  <c r="FR17" i="70"/>
  <c r="FP17" i="70"/>
  <c r="FX23" i="70"/>
  <c r="FV23" i="70"/>
  <c r="FV31" i="70"/>
  <c r="FX31" i="70"/>
  <c r="FR33" i="70"/>
  <c r="FP33" i="70"/>
  <c r="FV39" i="70"/>
  <c r="FX39" i="70"/>
  <c r="FR41" i="70"/>
  <c r="FP41" i="70"/>
  <c r="FV18" i="70"/>
  <c r="FX18" i="70"/>
  <c r="FR20" i="70"/>
  <c r="FP20" i="70"/>
  <c r="FX26" i="70"/>
  <c r="FV26" i="70"/>
  <c r="FR28" i="70"/>
  <c r="FP28" i="70"/>
  <c r="FV34" i="70"/>
  <c r="FX34" i="70"/>
  <c r="FR36" i="70"/>
  <c r="FP36" i="70"/>
  <c r="FV42" i="70"/>
  <c r="FX42" i="70"/>
  <c r="FR15" i="70"/>
  <c r="FP15" i="70"/>
  <c r="FV21" i="70"/>
  <c r="FX21" i="70"/>
  <c r="FR23" i="70"/>
  <c r="FP23" i="70"/>
  <c r="FX29" i="70"/>
  <c r="FV29" i="70"/>
  <c r="FR31" i="70"/>
  <c r="FP31" i="70"/>
  <c r="FX37" i="70"/>
  <c r="FV37" i="70"/>
  <c r="FR39" i="70"/>
  <c r="FP39" i="70"/>
  <c r="FX16" i="70"/>
  <c r="FV16" i="70"/>
  <c r="FR18" i="70"/>
  <c r="FP18" i="70"/>
  <c r="FR26" i="70"/>
  <c r="FP26" i="70"/>
  <c r="FX32" i="70"/>
  <c r="FV32" i="70"/>
  <c r="FR34" i="70"/>
  <c r="FP34" i="70"/>
  <c r="FX40" i="70"/>
  <c r="FV40" i="70"/>
  <c r="FR42" i="70"/>
  <c r="FP42" i="70"/>
  <c r="FX19" i="70"/>
  <c r="FV19" i="70"/>
  <c r="FR21" i="70"/>
  <c r="FP21" i="70"/>
  <c r="FX27" i="70"/>
  <c r="FV27" i="70"/>
  <c r="FP29" i="70"/>
  <c r="FR29" i="70"/>
  <c r="FX35" i="70"/>
  <c r="FV35" i="70"/>
  <c r="FP37" i="70"/>
  <c r="FR37" i="70"/>
  <c r="FX43" i="70"/>
  <c r="FV43" i="70"/>
  <c r="FR16" i="70"/>
  <c r="FP16" i="70"/>
  <c r="FX22" i="70"/>
  <c r="FV22" i="70"/>
  <c r="FX30" i="70"/>
  <c r="FV30" i="70"/>
  <c r="FP32" i="70"/>
  <c r="FR32" i="70"/>
  <c r="FX38" i="70"/>
  <c r="FV38" i="70"/>
  <c r="FP40" i="70"/>
  <c r="FR40" i="70"/>
  <c r="FX17" i="70"/>
  <c r="FV17" i="70"/>
  <c r="FP19" i="70"/>
  <c r="FR19" i="70"/>
  <c r="FR27" i="70"/>
  <c r="FP27" i="70"/>
  <c r="FX33" i="70"/>
  <c r="FV33" i="70"/>
  <c r="FR35" i="70"/>
  <c r="FP35" i="70"/>
  <c r="FX41" i="70"/>
  <c r="FV41" i="70"/>
  <c r="FR43" i="70"/>
  <c r="FP43" i="70"/>
  <c r="FX14" i="70"/>
  <c r="FV14" i="70"/>
  <c r="FR25" i="70"/>
  <c r="FP25" i="70"/>
  <c r="FX25" i="70"/>
  <c r="FV25" i="70"/>
  <c r="FV24" i="70"/>
  <c r="FX24" i="70"/>
  <c r="FR24" i="70"/>
  <c r="FP24" i="70"/>
  <c r="FR16" i="68"/>
  <c r="FP16" i="68"/>
  <c r="FV22" i="68"/>
  <c r="FX22" i="68"/>
  <c r="FR24" i="68"/>
  <c r="FP24" i="68"/>
  <c r="FV30" i="68"/>
  <c r="FX30" i="68"/>
  <c r="FR32" i="68"/>
  <c r="FP32" i="68"/>
  <c r="FX38" i="68"/>
  <c r="FV38" i="68"/>
  <c r="FR40" i="68"/>
  <c r="FP40" i="68"/>
  <c r="FV17" i="68"/>
  <c r="FX17" i="68"/>
  <c r="FR19" i="68"/>
  <c r="FP19" i="68"/>
  <c r="FX25" i="68"/>
  <c r="FV25" i="68"/>
  <c r="FP27" i="68"/>
  <c r="FR27" i="68"/>
  <c r="FX33" i="68"/>
  <c r="FV33" i="68"/>
  <c r="FP35" i="68"/>
  <c r="FR35" i="68"/>
  <c r="FR22" i="68"/>
  <c r="FP22" i="68"/>
  <c r="FX28" i="68"/>
  <c r="FV28" i="68"/>
  <c r="FR30" i="68"/>
  <c r="FP30" i="68"/>
  <c r="FX36" i="68"/>
  <c r="FV36" i="68"/>
  <c r="FP38" i="68"/>
  <c r="FR38" i="68"/>
  <c r="FX15" i="68"/>
  <c r="FV15" i="68"/>
  <c r="FR17" i="68"/>
  <c r="FP17" i="68"/>
  <c r="FX23" i="68"/>
  <c r="FV23" i="68"/>
  <c r="FR25" i="68"/>
  <c r="FP25" i="68"/>
  <c r="FX31" i="68"/>
  <c r="FV31" i="68"/>
  <c r="FR33" i="68"/>
  <c r="FP33" i="68"/>
  <c r="FX39" i="68"/>
  <c r="FV39" i="68"/>
  <c r="FX18" i="68"/>
  <c r="FV18" i="68"/>
  <c r="FV26" i="68"/>
  <c r="FX26" i="68"/>
  <c r="FR28" i="68"/>
  <c r="FP28" i="68"/>
  <c r="FV34" i="68"/>
  <c r="FX34" i="68"/>
  <c r="FR36" i="68"/>
  <c r="FP36" i="68"/>
  <c r="FR15" i="68"/>
  <c r="FP15" i="68"/>
  <c r="FP23" i="68"/>
  <c r="FR23" i="68"/>
  <c r="FX29" i="68"/>
  <c r="FV29" i="68"/>
  <c r="FP31" i="68"/>
  <c r="FR31" i="68"/>
  <c r="FX37" i="68"/>
  <c r="FV37" i="68"/>
  <c r="FR39" i="68"/>
  <c r="FP39" i="68"/>
  <c r="FX16" i="68"/>
  <c r="FV16" i="68"/>
  <c r="FP18" i="68"/>
  <c r="FR18" i="68"/>
  <c r="FX24" i="68"/>
  <c r="FV24" i="68"/>
  <c r="FR26" i="68"/>
  <c r="FP26" i="68"/>
  <c r="FX32" i="68"/>
  <c r="FV32" i="68"/>
  <c r="FR34" i="68"/>
  <c r="FP34" i="68"/>
  <c r="FV40" i="68"/>
  <c r="FX40" i="68"/>
  <c r="FX19" i="68"/>
  <c r="FV19" i="68"/>
  <c r="FX27" i="68"/>
  <c r="FV27" i="68"/>
  <c r="FR29" i="68"/>
  <c r="FP29" i="68"/>
  <c r="FX35" i="68"/>
  <c r="FV35" i="68"/>
  <c r="FR37" i="68"/>
  <c r="FP37" i="68"/>
  <c r="FP24" i="67"/>
  <c r="FR24" i="67"/>
  <c r="FX24" i="67"/>
  <c r="FV24" i="67"/>
  <c r="FX23" i="67"/>
  <c r="FV23" i="67"/>
  <c r="FP23" i="67"/>
  <c r="FR23" i="67"/>
  <c r="FX21" i="68"/>
  <c r="FV21" i="68"/>
  <c r="FP21" i="68"/>
  <c r="FR21" i="68"/>
  <c r="FX20" i="68"/>
  <c r="FV20" i="68"/>
  <c r="FR20" i="68"/>
  <c r="FP20" i="68"/>
  <c r="FV21" i="64"/>
  <c r="FX21" i="64"/>
  <c r="FR23" i="64"/>
  <c r="FP23" i="64"/>
  <c r="FX20" i="64"/>
  <c r="FV20" i="64"/>
  <c r="FP22" i="64"/>
  <c r="FR22" i="64"/>
  <c r="FX28" i="64"/>
  <c r="FV28" i="64"/>
  <c r="FP30" i="64"/>
  <c r="FR30" i="64"/>
  <c r="FX36" i="64"/>
  <c r="FV36" i="64"/>
  <c r="FR15" i="64"/>
  <c r="FP15" i="64"/>
  <c r="FV15" i="64"/>
  <c r="FX15" i="64"/>
  <c r="FX23" i="64"/>
  <c r="FV23" i="64"/>
  <c r="FR25" i="64"/>
  <c r="FP25" i="64"/>
  <c r="FX31" i="64"/>
  <c r="FV31" i="64"/>
  <c r="FR33" i="64"/>
  <c r="FP33" i="64"/>
  <c r="FP41" i="64"/>
  <c r="FR41" i="64"/>
  <c r="FR20" i="64"/>
  <c r="FP20" i="64"/>
  <c r="FX26" i="64"/>
  <c r="FV26" i="64"/>
  <c r="FR28" i="64"/>
  <c r="FP28" i="64"/>
  <c r="FX34" i="64"/>
  <c r="FV34" i="64"/>
  <c r="FR36" i="64"/>
  <c r="FP36" i="64"/>
  <c r="FV29" i="64"/>
  <c r="FX29" i="64"/>
  <c r="FX16" i="64"/>
  <c r="FV16" i="64"/>
  <c r="FV24" i="64"/>
  <c r="FX24" i="64"/>
  <c r="FR26" i="64"/>
  <c r="FP26" i="64"/>
  <c r="FV32" i="64"/>
  <c r="FX32" i="64"/>
  <c r="FR34" i="64"/>
  <c r="FP34" i="64"/>
  <c r="FX40" i="64"/>
  <c r="FV40" i="64"/>
  <c r="FR31" i="64"/>
  <c r="FP31" i="64"/>
  <c r="FX19" i="64"/>
  <c r="FV19" i="64"/>
  <c r="FR21" i="64"/>
  <c r="FP21" i="64"/>
  <c r="FX27" i="64"/>
  <c r="FV27" i="64"/>
  <c r="FR29" i="64"/>
  <c r="FP29" i="64"/>
  <c r="FX35" i="64"/>
  <c r="FV35" i="64"/>
  <c r="FR37" i="64"/>
  <c r="FP37" i="64"/>
  <c r="FP16" i="64"/>
  <c r="FR16" i="64"/>
  <c r="FX22" i="64"/>
  <c r="FV22" i="64"/>
  <c r="FR24" i="64"/>
  <c r="FP24" i="64"/>
  <c r="FX30" i="64"/>
  <c r="FV30" i="64"/>
  <c r="FR32" i="64"/>
  <c r="FP32" i="64"/>
  <c r="FR40" i="64"/>
  <c r="FP40" i="64"/>
  <c r="FV37" i="64"/>
  <c r="FX37" i="64"/>
  <c r="FP19" i="64"/>
  <c r="FR19" i="64"/>
  <c r="FX25" i="64"/>
  <c r="FV25" i="64"/>
  <c r="FP27" i="64"/>
  <c r="FR27" i="64"/>
  <c r="FX33" i="64"/>
  <c r="FV33" i="64"/>
  <c r="FP35" i="64"/>
  <c r="FR35" i="64"/>
  <c r="FX41" i="64"/>
  <c r="FV41" i="64"/>
  <c r="FX14" i="64"/>
  <c r="FV14" i="64"/>
  <c r="FV18" i="64"/>
  <c r="FX18" i="64"/>
  <c r="FR18" i="64"/>
  <c r="FP18" i="64"/>
  <c r="FR17" i="64"/>
  <c r="FP17" i="64"/>
  <c r="FX17" i="64"/>
  <c r="FV17" i="64"/>
  <c r="FX39" i="64"/>
  <c r="FV39" i="64"/>
  <c r="FP39" i="64"/>
  <c r="FR39" i="64"/>
  <c r="FR38" i="64"/>
  <c r="FP38" i="64"/>
  <c r="FX38" i="64"/>
  <c r="FV38" i="64"/>
  <c r="FX27" i="72"/>
  <c r="FV27" i="72"/>
  <c r="FP27" i="72"/>
  <c r="FR27" i="72"/>
  <c r="FX26" i="72"/>
  <c r="FV26" i="72"/>
  <c r="FR26" i="72"/>
  <c r="FP26" i="72"/>
  <c r="FP15" i="63"/>
  <c r="FR15" i="63"/>
  <c r="FN18" i="63"/>
  <c r="FL18" i="63"/>
  <c r="FX20" i="63"/>
  <c r="FV20" i="63"/>
  <c r="FX22" i="63"/>
  <c r="FV22" i="63"/>
  <c r="FR24" i="63"/>
  <c r="FP24" i="63"/>
  <c r="FX30" i="63"/>
  <c r="FV30" i="63"/>
  <c r="FX32" i="63"/>
  <c r="FV32" i="63"/>
  <c r="FR34" i="63"/>
  <c r="FP34" i="63"/>
  <c r="FR36" i="63"/>
  <c r="FP36" i="63"/>
  <c r="FX16" i="63"/>
  <c r="FV16" i="63"/>
  <c r="FX18" i="63"/>
  <c r="FV18" i="63"/>
  <c r="FX25" i="63"/>
  <c r="FV25" i="63"/>
  <c r="FR27" i="63"/>
  <c r="FP27" i="63"/>
  <c r="FN35" i="63"/>
  <c r="FL35" i="63"/>
  <c r="FX37" i="63"/>
  <c r="FV37" i="63"/>
  <c r="FX39" i="63"/>
  <c r="FV39" i="63"/>
  <c r="FR41" i="63"/>
  <c r="FP41" i="63"/>
  <c r="FR43" i="63"/>
  <c r="FP43" i="63"/>
  <c r="FV14" i="63"/>
  <c r="FX14" i="63"/>
  <c r="FR20" i="63"/>
  <c r="FP20" i="63"/>
  <c r="FR22" i="63"/>
  <c r="FP22" i="63"/>
  <c r="FX28" i="63"/>
  <c r="FV28" i="63"/>
  <c r="FR30" i="63"/>
  <c r="FP30" i="63"/>
  <c r="FR32" i="63"/>
  <c r="FP32" i="63"/>
  <c r="FX35" i="63"/>
  <c r="FV35" i="63"/>
  <c r="FN42" i="63"/>
  <c r="FL42" i="63"/>
  <c r="FP16" i="63"/>
  <c r="FR16" i="63"/>
  <c r="FR18" i="63"/>
  <c r="FP18" i="63"/>
  <c r="FN21" i="63"/>
  <c r="FL21" i="63"/>
  <c r="FX23" i="63"/>
  <c r="FV23" i="63"/>
  <c r="FR25" i="63"/>
  <c r="FP25" i="63"/>
  <c r="FX33" i="63"/>
  <c r="FV33" i="63"/>
  <c r="FR37" i="63"/>
  <c r="FP37" i="63"/>
  <c r="FR39" i="63"/>
  <c r="FP39" i="63"/>
  <c r="FX42" i="63"/>
  <c r="FV42" i="63"/>
  <c r="FN17" i="63"/>
  <c r="FL17" i="63"/>
  <c r="FN19" i="63"/>
  <c r="FL19" i="63"/>
  <c r="FX21" i="63"/>
  <c r="FV21" i="63"/>
  <c r="FX26" i="63"/>
  <c r="FV26" i="63"/>
  <c r="FR28" i="63"/>
  <c r="FP28" i="63"/>
  <c r="FX31" i="63"/>
  <c r="FV31" i="63"/>
  <c r="FR35" i="63"/>
  <c r="FP35" i="63"/>
  <c r="FN38" i="63"/>
  <c r="FL38" i="63"/>
  <c r="FX40" i="63"/>
  <c r="FV40" i="63"/>
  <c r="FN15" i="63"/>
  <c r="FL15" i="63"/>
  <c r="FX17" i="63"/>
  <c r="FV17" i="63"/>
  <c r="FX19" i="63"/>
  <c r="FV19" i="63"/>
  <c r="FR23" i="63"/>
  <c r="FP23" i="63"/>
  <c r="FX29" i="63"/>
  <c r="FV29" i="63"/>
  <c r="FR33" i="63"/>
  <c r="FP33" i="63"/>
  <c r="FN36" i="63"/>
  <c r="FL36" i="63"/>
  <c r="FX38" i="63"/>
  <c r="FV38" i="63"/>
  <c r="FR42" i="63"/>
  <c r="FP42" i="63"/>
  <c r="FX15" i="63"/>
  <c r="FV15" i="63"/>
  <c r="FR21" i="63"/>
  <c r="FP21" i="63"/>
  <c r="FX24" i="63"/>
  <c r="FV24" i="63"/>
  <c r="FR26" i="63"/>
  <c r="FP26" i="63"/>
  <c r="FR31" i="63"/>
  <c r="FP31" i="63"/>
  <c r="FX34" i="63"/>
  <c r="FV34" i="63"/>
  <c r="FX36" i="63"/>
  <c r="FV36" i="63"/>
  <c r="FR40" i="63"/>
  <c r="FP40" i="63"/>
  <c r="FN43" i="63"/>
  <c r="FL43" i="63"/>
  <c r="FR17" i="63"/>
  <c r="FP17" i="63"/>
  <c r="FR19" i="63"/>
  <c r="FP19" i="63"/>
  <c r="FN22" i="63"/>
  <c r="FL22" i="63"/>
  <c r="FX27" i="63"/>
  <c r="FV27" i="63"/>
  <c r="FR29" i="63"/>
  <c r="FP29" i="63"/>
  <c r="FN32" i="63"/>
  <c r="FL32" i="63"/>
  <c r="FR38" i="63"/>
  <c r="FP38" i="63"/>
  <c r="FX41" i="63"/>
  <c r="FV41" i="63"/>
  <c r="FX43" i="63"/>
  <c r="FV43" i="63"/>
  <c r="H49" i="67"/>
  <c r="H50" i="67"/>
  <c r="AC44" i="72"/>
  <c r="BF43" i="68"/>
  <c r="DD43" i="68"/>
  <c r="BC43" i="68"/>
  <c r="DA43" i="68"/>
  <c r="AE43" i="68"/>
  <c r="CZ43" i="68"/>
  <c r="BD43" i="68"/>
  <c r="DB43" i="68"/>
  <c r="BC45" i="64"/>
  <c r="AB43" i="68"/>
  <c r="CB43" i="68"/>
  <c r="DE43" i="68"/>
  <c r="AD43" i="68"/>
  <c r="CY43" i="68"/>
  <c r="CC43" i="68"/>
  <c r="DF43" i="68"/>
  <c r="AA43" i="68"/>
  <c r="BE43" i="68"/>
  <c r="DC43" i="68"/>
  <c r="AC43" i="68"/>
  <c r="BC44" i="63"/>
  <c r="B14" i="73"/>
  <c r="AX14" i="73" s="1"/>
  <c r="AS3" i="23"/>
  <c r="Z3" i="25" s="1"/>
  <c r="BC44" i="72"/>
  <c r="B14" i="72"/>
  <c r="AR14" i="72" s="1"/>
  <c r="AO3" i="23"/>
  <c r="U3" i="25" s="1"/>
  <c r="A15" i="71"/>
  <c r="AK4" i="23" s="1"/>
  <c r="P4" i="25" s="1"/>
  <c r="AK3" i="23"/>
  <c r="P3" i="25" s="1"/>
  <c r="B14" i="70"/>
  <c r="AS14" i="70" s="1"/>
  <c r="AG3" i="23"/>
  <c r="K3" i="25" s="1"/>
  <c r="A15" i="69"/>
  <c r="AC4" i="23" s="1"/>
  <c r="F4" i="25" s="1"/>
  <c r="AC3" i="23"/>
  <c r="F3" i="25" s="1"/>
  <c r="A15" i="68"/>
  <c r="Y4" i="23" s="1"/>
  <c r="A4" i="25" s="1"/>
  <c r="Y3" i="23"/>
  <c r="A3" i="25" s="1"/>
  <c r="B14" i="67"/>
  <c r="AI14" i="67" s="1"/>
  <c r="U3" i="23"/>
  <c r="Z3" i="24" s="1"/>
  <c r="A15" i="66"/>
  <c r="B15" i="66" s="1"/>
  <c r="Q3" i="23"/>
  <c r="U3" i="24" s="1"/>
  <c r="B14" i="65"/>
  <c r="M3" i="23"/>
  <c r="P3" i="24" s="1"/>
  <c r="A15" i="64"/>
  <c r="I4" i="23" s="1"/>
  <c r="K4" i="24" s="1"/>
  <c r="I3" i="23"/>
  <c r="K3" i="24" s="1"/>
  <c r="A15" i="63"/>
  <c r="E3" i="23"/>
  <c r="F3" i="24" s="1"/>
  <c r="H50" i="68"/>
  <c r="H52" i="64"/>
  <c r="D82" i="67"/>
  <c r="D82" i="66"/>
  <c r="D81" i="65"/>
  <c r="B15" i="71"/>
  <c r="BD45" i="64"/>
  <c r="BC44" i="65"/>
  <c r="BF45" i="64"/>
  <c r="AB45" i="64"/>
  <c r="CB45" i="64"/>
  <c r="AC45" i="64"/>
  <c r="CC45" i="64"/>
  <c r="AD45" i="64"/>
  <c r="AE45" i="64"/>
  <c r="BE45" i="64"/>
  <c r="AA45" i="64"/>
  <c r="CZ45" i="64"/>
  <c r="CY45" i="64"/>
  <c r="BE44" i="65"/>
  <c r="AD44" i="63"/>
  <c r="A15" i="70"/>
  <c r="B14" i="69"/>
  <c r="B14" i="66"/>
  <c r="B14" i="64"/>
  <c r="CZ44" i="65"/>
  <c r="DF44" i="63"/>
  <c r="DB44" i="65"/>
  <c r="DG19" i="65"/>
  <c r="DF45" i="64"/>
  <c r="DG31" i="72"/>
  <c r="DG39" i="72"/>
  <c r="DD45" i="64"/>
  <c r="DG22" i="65"/>
  <c r="DG38" i="65"/>
  <c r="DG42" i="65"/>
  <c r="DG23" i="66"/>
  <c r="DG21" i="67"/>
  <c r="DG38" i="70"/>
  <c r="DG31" i="63"/>
  <c r="DG28" i="65"/>
  <c r="DG32" i="65"/>
  <c r="DG43" i="67"/>
  <c r="DG35" i="64"/>
  <c r="DG35" i="63"/>
  <c r="DG25" i="65"/>
  <c r="DG29" i="65"/>
  <c r="DG41" i="65"/>
  <c r="DG15" i="66"/>
  <c r="DG29" i="67"/>
  <c r="DG17" i="64"/>
  <c r="DG28" i="64"/>
  <c r="DG15" i="73"/>
  <c r="DG15" i="63"/>
  <c r="DG19" i="63"/>
  <c r="DG22" i="63"/>
  <c r="DG32" i="64"/>
  <c r="DG36" i="64"/>
  <c r="DG18" i="66"/>
  <c r="DG24" i="67"/>
  <c r="DG28" i="67"/>
  <c r="DG36" i="71"/>
  <c r="DG16" i="64"/>
  <c r="DG23" i="64"/>
  <c r="DG31" i="64"/>
  <c r="DG21" i="66"/>
  <c r="DG21" i="73"/>
  <c r="DG29" i="73"/>
  <c r="DG39" i="64"/>
  <c r="DG16" i="65"/>
  <c r="DG23" i="65"/>
  <c r="DG27" i="65"/>
  <c r="DG31" i="65"/>
  <c r="DG16" i="67"/>
  <c r="DG23" i="67"/>
  <c r="DG27" i="67"/>
  <c r="DG21" i="72"/>
  <c r="DG32" i="66"/>
  <c r="DG36" i="66"/>
  <c r="DG16" i="69"/>
  <c r="DG24" i="73"/>
  <c r="DG15" i="65"/>
  <c r="DG30" i="65"/>
  <c r="DG34" i="65"/>
  <c r="DG31" i="70"/>
  <c r="DG15" i="71"/>
  <c r="DG18" i="64"/>
  <c r="DG21" i="64"/>
  <c r="DG29" i="64"/>
  <c r="DG19" i="68"/>
  <c r="DG42" i="70"/>
  <c r="DG35" i="70"/>
  <c r="DG28" i="70"/>
  <c r="DG16" i="73"/>
  <c r="DG42" i="72"/>
  <c r="DG18" i="72"/>
  <c r="DG28" i="71"/>
  <c r="DG23" i="68"/>
  <c r="DG17" i="70"/>
  <c r="DG17" i="73"/>
  <c r="DG20" i="73"/>
  <c r="AB45" i="73"/>
  <c r="CB45" i="73"/>
  <c r="DG23" i="73"/>
  <c r="DG19" i="73"/>
  <c r="DG22" i="73"/>
  <c r="DG28" i="73"/>
  <c r="DG30" i="73"/>
  <c r="DG25" i="73"/>
  <c r="DG32" i="73"/>
  <c r="DG31" i="73"/>
  <c r="BC45" i="73"/>
  <c r="CZ45" i="73"/>
  <c r="DG34" i="73"/>
  <c r="DG33" i="73"/>
  <c r="DF45" i="73"/>
  <c r="DG39" i="73"/>
  <c r="BD45" i="73"/>
  <c r="DG42" i="73"/>
  <c r="DG43" i="73"/>
  <c r="AC45" i="73"/>
  <c r="DE45" i="73"/>
  <c r="AD45" i="73"/>
  <c r="CY45" i="73"/>
  <c r="AE45" i="73"/>
  <c r="DG43" i="72"/>
  <c r="DG41" i="72"/>
  <c r="DG40" i="72"/>
  <c r="DG30" i="72"/>
  <c r="DG34" i="72"/>
  <c r="AE44" i="72"/>
  <c r="CY44" i="72"/>
  <c r="DG29" i="72"/>
  <c r="DG28" i="72"/>
  <c r="DG32" i="72"/>
  <c r="CZ44" i="72"/>
  <c r="BE44" i="72"/>
  <c r="DG24" i="72"/>
  <c r="DG25" i="72"/>
  <c r="AB44" i="72"/>
  <c r="CB44" i="72"/>
  <c r="DD44" i="72"/>
  <c r="DG22" i="72"/>
  <c r="AD44" i="72"/>
  <c r="DG17" i="72"/>
  <c r="CC44" i="72"/>
  <c r="DE44" i="72"/>
  <c r="AA44" i="72"/>
  <c r="DC44" i="72"/>
  <c r="DG16" i="72"/>
  <c r="BD44" i="72"/>
  <c r="DA44" i="72"/>
  <c r="DG15" i="72"/>
  <c r="DG39" i="71"/>
  <c r="DG42" i="71"/>
  <c r="DG41" i="71"/>
  <c r="DG31" i="71"/>
  <c r="DG35" i="71"/>
  <c r="DG29" i="71"/>
  <c r="DG22" i="71"/>
  <c r="BC45" i="71"/>
  <c r="DG26" i="71"/>
  <c r="DG25" i="71"/>
  <c r="DG23" i="71"/>
  <c r="DG20" i="71"/>
  <c r="AC45" i="71"/>
  <c r="DE45" i="71"/>
  <c r="DG19" i="71"/>
  <c r="DF45" i="71"/>
  <c r="DG18" i="71"/>
  <c r="AB45" i="71"/>
  <c r="DD45" i="71"/>
  <c r="DG17" i="71"/>
  <c r="AA45" i="71"/>
  <c r="DC45" i="71"/>
  <c r="BD45" i="71"/>
  <c r="AE45" i="71"/>
  <c r="DG41" i="70"/>
  <c r="DG40" i="70"/>
  <c r="DG30" i="70"/>
  <c r="DG25" i="70"/>
  <c r="DG26" i="70"/>
  <c r="DG24" i="70"/>
  <c r="DG23" i="70"/>
  <c r="DG22" i="70"/>
  <c r="DG27" i="70"/>
  <c r="DG21" i="70"/>
  <c r="DG20" i="70"/>
  <c r="DD44" i="70"/>
  <c r="DG19" i="70"/>
  <c r="BC44" i="70"/>
  <c r="CZ44" i="70"/>
  <c r="DG16" i="70"/>
  <c r="AD44" i="70"/>
  <c r="DE44" i="70"/>
  <c r="DG15" i="70"/>
  <c r="AE44" i="70"/>
  <c r="BD44" i="70"/>
  <c r="DA44" i="70"/>
  <c r="BE44" i="70"/>
  <c r="DG44" i="69"/>
  <c r="DG42" i="69"/>
  <c r="DG37" i="69"/>
  <c r="DG41" i="69"/>
  <c r="DG40" i="69"/>
  <c r="DG39" i="69"/>
  <c r="DG32" i="69"/>
  <c r="CB45" i="69"/>
  <c r="DG30" i="69"/>
  <c r="DG34" i="69"/>
  <c r="DG33" i="69"/>
  <c r="DG23" i="69"/>
  <c r="DG22" i="69"/>
  <c r="DG21" i="69"/>
  <c r="DG26" i="69"/>
  <c r="DG24" i="69"/>
  <c r="DG17" i="69"/>
  <c r="DG15" i="69"/>
  <c r="AD45" i="69"/>
  <c r="DF45" i="69"/>
  <c r="CY45" i="69"/>
  <c r="CZ45" i="69"/>
  <c r="BD45" i="69"/>
  <c r="AC45" i="69"/>
  <c r="DG35" i="68"/>
  <c r="DG38" i="68"/>
  <c r="DG33" i="68"/>
  <c r="DG32" i="68"/>
  <c r="DG27" i="68"/>
  <c r="DG26" i="68"/>
  <c r="DG30" i="68"/>
  <c r="DG29" i="68"/>
  <c r="DG28" i="68"/>
  <c r="DG21" i="68"/>
  <c r="DG20" i="68"/>
  <c r="DG15" i="68"/>
  <c r="DG22" i="66"/>
  <c r="DG41" i="67"/>
  <c r="DG39" i="67"/>
  <c r="DG42" i="67"/>
  <c r="DA45" i="67"/>
  <c r="DG32" i="67"/>
  <c r="AA45" i="67"/>
  <c r="DG31" i="67"/>
  <c r="DG35" i="67"/>
  <c r="AC45" i="67"/>
  <c r="CC45" i="67"/>
  <c r="DE45" i="67"/>
  <c r="DG30" i="67"/>
  <c r="DG34" i="67"/>
  <c r="AE45" i="67"/>
  <c r="CY45" i="67"/>
  <c r="DG26" i="67"/>
  <c r="DG22" i="67"/>
  <c r="DF45" i="67"/>
  <c r="DG20" i="67"/>
  <c r="DG19" i="67"/>
  <c r="DG18" i="67"/>
  <c r="BE45" i="67"/>
  <c r="DG17" i="67"/>
  <c r="AB45" i="67"/>
  <c r="CB45" i="67"/>
  <c r="DD45" i="67"/>
  <c r="DG15" i="67"/>
  <c r="AB45" i="66"/>
  <c r="CB45" i="66"/>
  <c r="DG39" i="66"/>
  <c r="DG43" i="66"/>
  <c r="DG41" i="66"/>
  <c r="DG31" i="66"/>
  <c r="DG35" i="66"/>
  <c r="DG30" i="66"/>
  <c r="DG33" i="66"/>
  <c r="CY45" i="66"/>
  <c r="DG27" i="66"/>
  <c r="BC45" i="66"/>
  <c r="CZ45" i="66"/>
  <c r="DG26" i="66"/>
  <c r="BE45" i="66"/>
  <c r="DB45" i="66"/>
  <c r="DG25" i="66"/>
  <c r="DG24" i="66"/>
  <c r="AD45" i="66"/>
  <c r="DF45" i="66"/>
  <c r="BD45" i="66"/>
  <c r="DA45" i="66"/>
  <c r="AC45" i="66"/>
  <c r="CC45" i="66"/>
  <c r="DE45" i="66"/>
  <c r="DG19" i="66"/>
  <c r="BF45" i="66"/>
  <c r="DG16" i="66"/>
  <c r="AE45" i="66"/>
  <c r="DG40" i="65"/>
  <c r="BD44" i="65"/>
  <c r="DA44" i="65"/>
  <c r="DG36" i="65"/>
  <c r="DG26" i="65"/>
  <c r="CY44" i="65"/>
  <c r="DG20" i="65"/>
  <c r="BF44" i="65"/>
  <c r="CC44" i="65"/>
  <c r="DG18" i="65"/>
  <c r="AD44" i="65"/>
  <c r="DG17" i="65"/>
  <c r="CB44" i="65"/>
  <c r="DD44" i="65"/>
  <c r="AE44" i="65"/>
  <c r="DG41" i="64"/>
  <c r="DG34" i="64"/>
  <c r="DG27" i="64"/>
  <c r="DC45" i="64"/>
  <c r="DG26" i="64"/>
  <c r="DG25" i="64"/>
  <c r="DG24" i="64"/>
  <c r="DG20" i="64"/>
  <c r="DG19" i="64"/>
  <c r="DE45" i="64"/>
  <c r="DG15" i="64"/>
  <c r="A15" i="65"/>
  <c r="A15" i="67"/>
  <c r="B14" i="71"/>
  <c r="A15" i="73"/>
  <c r="AO14" i="70"/>
  <c r="AR14" i="70"/>
  <c r="AC44" i="63"/>
  <c r="DE44" i="63"/>
  <c r="AZ14" i="73"/>
  <c r="AQ14" i="73"/>
  <c r="AW14" i="73"/>
  <c r="AN14" i="73"/>
  <c r="DG18" i="73"/>
  <c r="DG14" i="73"/>
  <c r="BE45" i="73"/>
  <c r="CC45" i="73"/>
  <c r="DA45" i="73"/>
  <c r="BF45" i="73"/>
  <c r="DB45" i="73"/>
  <c r="DC45" i="73"/>
  <c r="AA45" i="73"/>
  <c r="DD45" i="73"/>
  <c r="DG26" i="73"/>
  <c r="DG27" i="73"/>
  <c r="DG35" i="73"/>
  <c r="DG41" i="73"/>
  <c r="DG37" i="73"/>
  <c r="DG36" i="73"/>
  <c r="DG40" i="73"/>
  <c r="DG44" i="73"/>
  <c r="D82" i="73"/>
  <c r="Y81" i="73"/>
  <c r="DG38" i="73"/>
  <c r="H52" i="73"/>
  <c r="AP14" i="72"/>
  <c r="DG14" i="72"/>
  <c r="A15" i="72"/>
  <c r="AO4" i="23" s="1"/>
  <c r="U4" i="25" s="1"/>
  <c r="DG19" i="72"/>
  <c r="BF44" i="72"/>
  <c r="DB44" i="72"/>
  <c r="DG23" i="72"/>
  <c r="DG20" i="72"/>
  <c r="DF44" i="72"/>
  <c r="DG27" i="72"/>
  <c r="DG26" i="72"/>
  <c r="DG35" i="72"/>
  <c r="DG33" i="72"/>
  <c r="DG36" i="72"/>
  <c r="DG38" i="72"/>
  <c r="DG37" i="72"/>
  <c r="D81" i="72"/>
  <c r="H51" i="72"/>
  <c r="A16" i="71"/>
  <c r="AK5" i="23" s="1"/>
  <c r="P5" i="25" s="1"/>
  <c r="CB45" i="71"/>
  <c r="AD45" i="71"/>
  <c r="DG16" i="71"/>
  <c r="DG21" i="71"/>
  <c r="CY45" i="71"/>
  <c r="DG14" i="71"/>
  <c r="CZ45" i="71"/>
  <c r="BE45" i="71"/>
  <c r="CC45" i="71"/>
  <c r="DA45" i="71"/>
  <c r="BF45" i="71"/>
  <c r="DB45" i="71"/>
  <c r="DG24" i="71"/>
  <c r="DG30" i="71"/>
  <c r="DG33" i="71"/>
  <c r="DG27" i="71"/>
  <c r="DG32" i="71"/>
  <c r="DG34" i="71"/>
  <c r="DG43" i="71"/>
  <c r="DG37" i="71"/>
  <c r="DG44" i="71"/>
  <c r="DG38" i="71"/>
  <c r="D82" i="71"/>
  <c r="DG40" i="71"/>
  <c r="H52" i="71"/>
  <c r="DG18" i="70"/>
  <c r="AY14" i="70"/>
  <c r="AQ14" i="70"/>
  <c r="AI14" i="70"/>
  <c r="AP14" i="70"/>
  <c r="AA44" i="70"/>
  <c r="AV14" i="70"/>
  <c r="D14" i="70"/>
  <c r="AB44" i="70"/>
  <c r="AM14" i="70"/>
  <c r="CB44" i="70"/>
  <c r="DF44" i="70"/>
  <c r="D80" i="68"/>
  <c r="AC44" i="70"/>
  <c r="AN14" i="70"/>
  <c r="AZ14" i="70"/>
  <c r="CC44" i="70"/>
  <c r="CY44" i="70"/>
  <c r="DG14" i="70"/>
  <c r="DG29" i="70"/>
  <c r="BF44" i="70"/>
  <c r="DB44" i="70"/>
  <c r="DC44" i="70"/>
  <c r="DG33" i="70"/>
  <c r="DG32" i="70"/>
  <c r="DG34" i="70"/>
  <c r="DG37" i="70"/>
  <c r="DG43" i="70"/>
  <c r="DG36" i="70"/>
  <c r="DG39" i="70"/>
  <c r="D81" i="70"/>
  <c r="Y80" i="70"/>
  <c r="H51" i="70"/>
  <c r="DG14" i="69"/>
  <c r="A16" i="69"/>
  <c r="AC5" i="23" s="1"/>
  <c r="F5" i="25" s="1"/>
  <c r="B15" i="69"/>
  <c r="AE45" i="69"/>
  <c r="DG18" i="69"/>
  <c r="DG19" i="69"/>
  <c r="BC45" i="69"/>
  <c r="DG20" i="69"/>
  <c r="BE45" i="69"/>
  <c r="CC45" i="69"/>
  <c r="DA45" i="69"/>
  <c r="BF45" i="69"/>
  <c r="DB45" i="69"/>
  <c r="DG28" i="69"/>
  <c r="AY14" i="69"/>
  <c r="DC45" i="69"/>
  <c r="DG27" i="69"/>
  <c r="AA45" i="69"/>
  <c r="AJ14" i="69"/>
  <c r="DD45" i="69"/>
  <c r="AB45" i="69"/>
  <c r="DE45" i="69"/>
  <c r="DG25" i="69"/>
  <c r="DG31" i="69"/>
  <c r="DG29" i="69"/>
  <c r="DG35" i="69"/>
  <c r="DG36" i="69"/>
  <c r="DG43" i="69"/>
  <c r="D82" i="69"/>
  <c r="H52" i="69"/>
  <c r="DG38" i="69"/>
  <c r="DG14" i="68"/>
  <c r="DG24" i="68"/>
  <c r="A16" i="68"/>
  <c r="Y5" i="23" s="1"/>
  <c r="A5" i="25" s="1"/>
  <c r="B14" i="68"/>
  <c r="DG18" i="68"/>
  <c r="DG16" i="68"/>
  <c r="DG17" i="68"/>
  <c r="DG22" i="68"/>
  <c r="DG25" i="68"/>
  <c r="DG34" i="68"/>
  <c r="DG31" i="68"/>
  <c r="DG37" i="68"/>
  <c r="DG36" i="68"/>
  <c r="DG39" i="68"/>
  <c r="AK14" i="67"/>
  <c r="AU14" i="67"/>
  <c r="AY14" i="67"/>
  <c r="AQ14" i="67"/>
  <c r="AX14" i="67"/>
  <c r="AP14" i="67"/>
  <c r="AH14" i="67"/>
  <c r="AL14" i="67"/>
  <c r="AV14" i="67"/>
  <c r="D14" i="67"/>
  <c r="X3" i="23" s="1"/>
  <c r="AD3" i="24" s="1"/>
  <c r="AM14" i="67"/>
  <c r="AN14" i="67"/>
  <c r="AZ14" i="67"/>
  <c r="DG14" i="67"/>
  <c r="AD45" i="67"/>
  <c r="AO14" i="67"/>
  <c r="CZ45" i="67"/>
  <c r="AR14" i="67"/>
  <c r="AS14" i="67"/>
  <c r="BC45" i="67"/>
  <c r="AJ14" i="67"/>
  <c r="AT14" i="67"/>
  <c r="BD45" i="67"/>
  <c r="DG25" i="67"/>
  <c r="BF45" i="67"/>
  <c r="DB45" i="67"/>
  <c r="DC45" i="67"/>
  <c r="DG36" i="67"/>
  <c r="DG33" i="67"/>
  <c r="DG44" i="67"/>
  <c r="DG37" i="67"/>
  <c r="DG40" i="67"/>
  <c r="DG38" i="67"/>
  <c r="H52" i="67"/>
  <c r="DG14" i="66"/>
  <c r="DC45" i="66"/>
  <c r="AA45" i="66"/>
  <c r="DD45" i="66"/>
  <c r="DG17" i="66"/>
  <c r="DG20" i="66"/>
  <c r="DG29" i="66"/>
  <c r="DG28" i="66"/>
  <c r="DG38" i="66"/>
  <c r="DG42" i="66"/>
  <c r="DG34" i="66"/>
  <c r="DG44" i="66"/>
  <c r="DG37" i="66"/>
  <c r="DG40" i="66"/>
  <c r="H52" i="66"/>
  <c r="AA44" i="65"/>
  <c r="DC44" i="65"/>
  <c r="DG21" i="65"/>
  <c r="AB44" i="65"/>
  <c r="DE44" i="65"/>
  <c r="AC44" i="65"/>
  <c r="DF44" i="65"/>
  <c r="DG24" i="65"/>
  <c r="DG14" i="65"/>
  <c r="DG33" i="65"/>
  <c r="DG35" i="65"/>
  <c r="DG37" i="65"/>
  <c r="DG43" i="65"/>
  <c r="DG39" i="65"/>
  <c r="H51" i="65"/>
  <c r="B15" i="64"/>
  <c r="A16" i="64"/>
  <c r="I5" i="23" s="1"/>
  <c r="K5" i="24" s="1"/>
  <c r="DG14" i="64"/>
  <c r="DA45" i="64"/>
  <c r="DG22" i="64"/>
  <c r="DB45" i="64"/>
  <c r="DG30" i="64"/>
  <c r="DG33" i="64"/>
  <c r="DG37" i="64"/>
  <c r="DG38" i="64"/>
  <c r="DG40" i="64"/>
  <c r="D82" i="64"/>
  <c r="DG28" i="63"/>
  <c r="DG32" i="63"/>
  <c r="DG14" i="63"/>
  <c r="DG18" i="63"/>
  <c r="DG17" i="63"/>
  <c r="DG20" i="63"/>
  <c r="DG25" i="63"/>
  <c r="DG26" i="63"/>
  <c r="DG30" i="63"/>
  <c r="DG24" i="63"/>
  <c r="DG27" i="63"/>
  <c r="AA44" i="63"/>
  <c r="DC44" i="63"/>
  <c r="DG16" i="63"/>
  <c r="DG23" i="63"/>
  <c r="DG29" i="63"/>
  <c r="AB44" i="63"/>
  <c r="DD44" i="63"/>
  <c r="B14" i="63"/>
  <c r="A16" i="63"/>
  <c r="E5" i="23" s="1"/>
  <c r="F5" i="24" s="1"/>
  <c r="CY44" i="63"/>
  <c r="BD44" i="63"/>
  <c r="AE44" i="63"/>
  <c r="CZ44" i="63"/>
  <c r="BE44" i="63"/>
  <c r="CC44" i="63"/>
  <c r="DA44" i="63"/>
  <c r="CB44" i="63"/>
  <c r="BF44" i="63"/>
  <c r="DB44" i="63"/>
  <c r="DG21" i="63"/>
  <c r="DG33" i="63"/>
  <c r="DG34" i="63"/>
  <c r="DG41" i="63"/>
  <c r="DG37" i="63"/>
  <c r="DG36" i="63"/>
  <c r="DG39" i="63"/>
  <c r="DG42" i="63"/>
  <c r="DG43" i="63"/>
  <c r="DG40" i="63"/>
  <c r="DG38" i="63"/>
  <c r="D81" i="63"/>
  <c r="H51" i="63"/>
  <c r="A53" i="41"/>
  <c r="AS14" i="73" l="1"/>
  <c r="AG14" i="73"/>
  <c r="AJ14" i="73"/>
  <c r="D14" i="73"/>
  <c r="P33" i="43"/>
  <c r="B20" i="47"/>
  <c r="AG14" i="72"/>
  <c r="AK14" i="72"/>
  <c r="AW14" i="72"/>
  <c r="AS14" i="72"/>
  <c r="AH14" i="72"/>
  <c r="AL14" i="72"/>
  <c r="AX14" i="72"/>
  <c r="AM14" i="72"/>
  <c r="AQ14" i="72"/>
  <c r="AU14" i="72"/>
  <c r="AY14" i="72"/>
  <c r="AV14" i="72"/>
  <c r="AL14" i="73"/>
  <c r="AH14" i="73"/>
  <c r="AT14" i="73"/>
  <c r="AP14" i="73"/>
  <c r="AM14" i="73"/>
  <c r="AI14" i="73"/>
  <c r="AV14" i="73"/>
  <c r="AY14" i="73"/>
  <c r="AK14" i="73"/>
  <c r="AO14" i="73"/>
  <c r="AR14" i="73"/>
  <c r="FP45" i="73"/>
  <c r="FX45" i="73"/>
  <c r="FR45" i="73"/>
  <c r="FV45" i="73"/>
  <c r="FV45" i="69"/>
  <c r="FX45" i="69"/>
  <c r="FR45" i="69"/>
  <c r="FR45" i="66"/>
  <c r="FP45" i="66"/>
  <c r="FP45" i="69"/>
  <c r="FV45" i="66"/>
  <c r="FX45" i="66"/>
  <c r="FP44" i="65"/>
  <c r="FR44" i="65"/>
  <c r="FX44" i="65"/>
  <c r="FV44" i="65"/>
  <c r="FR45" i="67"/>
  <c r="FP45" i="67"/>
  <c r="FX44" i="68"/>
  <c r="FP44" i="70"/>
  <c r="FP45" i="71"/>
  <c r="FR45" i="71"/>
  <c r="FV45" i="71"/>
  <c r="FX45" i="71"/>
  <c r="FR44" i="70"/>
  <c r="FV44" i="70"/>
  <c r="FX44" i="70"/>
  <c r="FP44" i="68"/>
  <c r="FV44" i="68"/>
  <c r="FV45" i="67"/>
  <c r="FX45" i="67"/>
  <c r="FX44" i="72"/>
  <c r="FR44" i="68"/>
  <c r="FV43" i="68"/>
  <c r="FX43" i="68"/>
  <c r="FR43" i="68"/>
  <c r="FP43" i="68"/>
  <c r="FV44" i="72"/>
  <c r="FV45" i="64"/>
  <c r="FX45" i="64"/>
  <c r="FP45" i="64"/>
  <c r="FR45" i="64"/>
  <c r="FP44" i="72"/>
  <c r="FR44" i="72"/>
  <c r="FX44" i="63"/>
  <c r="FV44" i="63"/>
  <c r="FR44" i="63"/>
  <c r="FP44" i="63"/>
  <c r="AJ14" i="70"/>
  <c r="AL14" i="70"/>
  <c r="AU14" i="70"/>
  <c r="AG14" i="70"/>
  <c r="AT14" i="70"/>
  <c r="AW14" i="70"/>
  <c r="AX14" i="70"/>
  <c r="AP3" i="23"/>
  <c r="V3" i="25" s="1"/>
  <c r="CL14" i="72"/>
  <c r="CU14" i="72"/>
  <c r="CM14" i="72"/>
  <c r="CD14" i="72"/>
  <c r="CT14" i="72"/>
  <c r="CK14" i="72"/>
  <c r="CV14" i="72"/>
  <c r="CI14" i="72"/>
  <c r="CS14" i="72"/>
  <c r="CH14" i="72"/>
  <c r="CR14" i="72"/>
  <c r="CG14" i="72"/>
  <c r="CN14" i="72"/>
  <c r="CJ14" i="72"/>
  <c r="CF14" i="72"/>
  <c r="CE14" i="72"/>
  <c r="CW14" i="72"/>
  <c r="CQ14" i="72"/>
  <c r="CP14" i="72"/>
  <c r="CO14" i="72"/>
  <c r="BX14" i="72"/>
  <c r="BP14" i="72"/>
  <c r="BH14" i="72"/>
  <c r="BW14" i="72"/>
  <c r="BO14" i="72"/>
  <c r="BG14" i="72"/>
  <c r="BV14" i="72"/>
  <c r="BN14" i="72"/>
  <c r="BU14" i="72"/>
  <c r="BM14" i="72"/>
  <c r="BT14" i="72"/>
  <c r="BL14" i="72"/>
  <c r="BS14" i="72"/>
  <c r="BK14" i="72"/>
  <c r="BZ14" i="72"/>
  <c r="BR14" i="72"/>
  <c r="BJ14" i="72"/>
  <c r="BY14" i="72"/>
  <c r="BQ14" i="72"/>
  <c r="BI14" i="72"/>
  <c r="AD4" i="23"/>
  <c r="G4" i="25" s="1"/>
  <c r="CL15" i="69"/>
  <c r="CK15" i="69"/>
  <c r="CT15" i="69"/>
  <c r="CD15" i="69"/>
  <c r="CM15" i="69"/>
  <c r="CU15" i="69"/>
  <c r="CE15" i="69"/>
  <c r="CN15" i="69"/>
  <c r="CV15" i="69"/>
  <c r="CF15" i="69"/>
  <c r="CO15" i="69"/>
  <c r="CW15" i="69"/>
  <c r="CG15" i="69"/>
  <c r="CP15" i="69"/>
  <c r="CH15" i="69"/>
  <c r="CQ15" i="69"/>
  <c r="CI15" i="69"/>
  <c r="CR15" i="69"/>
  <c r="CJ15" i="69"/>
  <c r="CS15" i="69"/>
  <c r="BI15" i="69"/>
  <c r="BQ15" i="69"/>
  <c r="BY15" i="69"/>
  <c r="BJ15" i="69"/>
  <c r="BR15" i="69"/>
  <c r="BZ15" i="69"/>
  <c r="BL15" i="69"/>
  <c r="BT15" i="69"/>
  <c r="BM15" i="69"/>
  <c r="BU15" i="69"/>
  <c r="BN15" i="69"/>
  <c r="BV15" i="69"/>
  <c r="BG15" i="69"/>
  <c r="BO15" i="69"/>
  <c r="BW15" i="69"/>
  <c r="BH15" i="69"/>
  <c r="BP15" i="69"/>
  <c r="BX15" i="69"/>
  <c r="BS15" i="69"/>
  <c r="BK15" i="69"/>
  <c r="AL3" i="23"/>
  <c r="Q3" i="25" s="1"/>
  <c r="CQ14" i="71"/>
  <c r="CH14" i="71"/>
  <c r="CP14" i="71"/>
  <c r="CF14" i="71"/>
  <c r="CW14" i="71"/>
  <c r="CO14" i="71"/>
  <c r="CE14" i="71"/>
  <c r="CT14" i="71"/>
  <c r="CK14" i="71"/>
  <c r="CU14" i="71"/>
  <c r="CS14" i="71"/>
  <c r="CR14" i="71"/>
  <c r="CN14" i="71"/>
  <c r="CM14" i="71"/>
  <c r="CJ14" i="71"/>
  <c r="CI14" i="71"/>
  <c r="CV14" i="71"/>
  <c r="CD14" i="71"/>
  <c r="BX14" i="71"/>
  <c r="BP14" i="71"/>
  <c r="BW14" i="71"/>
  <c r="BN14" i="71"/>
  <c r="BV14" i="71"/>
  <c r="BM14" i="71"/>
  <c r="BU14" i="71"/>
  <c r="BL14" i="71"/>
  <c r="BT14" i="71"/>
  <c r="BK14" i="71"/>
  <c r="BZ14" i="71"/>
  <c r="BR14" i="71"/>
  <c r="BH14" i="71"/>
  <c r="BY14" i="71"/>
  <c r="BQ14" i="71"/>
  <c r="BG14" i="71"/>
  <c r="BS14" i="71"/>
  <c r="BI14" i="71"/>
  <c r="BO14" i="71"/>
  <c r="CL14" i="71"/>
  <c r="CG14" i="71"/>
  <c r="BJ14" i="71"/>
  <c r="AG14" i="67"/>
  <c r="BB14" i="67" s="1"/>
  <c r="AW14" i="67"/>
  <c r="AH14" i="70"/>
  <c r="AK14" i="70"/>
  <c r="AO14" i="72"/>
  <c r="AZ14" i="72"/>
  <c r="AU14" i="73"/>
  <c r="AT3" i="23"/>
  <c r="AA3" i="25" s="1"/>
  <c r="CL14" i="73"/>
  <c r="CQ14" i="73"/>
  <c r="CH14" i="73"/>
  <c r="CT14" i="73"/>
  <c r="CK14" i="73"/>
  <c r="CR14" i="73"/>
  <c r="CI14" i="73"/>
  <c r="CP14" i="73"/>
  <c r="CD14" i="73"/>
  <c r="CO14" i="73"/>
  <c r="CN14" i="73"/>
  <c r="CU14" i="73"/>
  <c r="CS14" i="73"/>
  <c r="CM14" i="73"/>
  <c r="CJ14" i="73"/>
  <c r="CG14" i="73"/>
  <c r="CW14" i="73"/>
  <c r="CV14" i="73"/>
  <c r="CF14" i="73"/>
  <c r="CE14" i="73"/>
  <c r="BU14" i="73"/>
  <c r="BM14" i="73"/>
  <c r="BS14" i="73"/>
  <c r="BK14" i="73"/>
  <c r="BZ14" i="73"/>
  <c r="BR14" i="73"/>
  <c r="BJ14" i="73"/>
  <c r="BY14" i="73"/>
  <c r="BQ14" i="73"/>
  <c r="BI14" i="73"/>
  <c r="BX14" i="73"/>
  <c r="BP14" i="73"/>
  <c r="BH14" i="73"/>
  <c r="BW14" i="73"/>
  <c r="BO14" i="73"/>
  <c r="BG14" i="73"/>
  <c r="BV14" i="73"/>
  <c r="BN14" i="73"/>
  <c r="BT14" i="73"/>
  <c r="BL14" i="73"/>
  <c r="AH3" i="23"/>
  <c r="L3" i="25" s="1"/>
  <c r="CL14" i="70"/>
  <c r="CW14" i="70"/>
  <c r="CO14" i="70"/>
  <c r="CD14" i="70"/>
  <c r="CV14" i="70"/>
  <c r="CN14" i="70"/>
  <c r="CU14" i="70"/>
  <c r="CM14" i="70"/>
  <c r="CT14" i="70"/>
  <c r="CK14" i="70"/>
  <c r="CS14" i="70"/>
  <c r="CI14" i="70"/>
  <c r="CR14" i="70"/>
  <c r="CH14" i="70"/>
  <c r="CQ14" i="70"/>
  <c r="CG14" i="70"/>
  <c r="CP14" i="70"/>
  <c r="CF14" i="70"/>
  <c r="BV14" i="70"/>
  <c r="BN14" i="70"/>
  <c r="BU14" i="70"/>
  <c r="BL14" i="70"/>
  <c r="BS14" i="70"/>
  <c r="BJ14" i="70"/>
  <c r="BZ14" i="70"/>
  <c r="BR14" i="70"/>
  <c r="BI14" i="70"/>
  <c r="BY14" i="70"/>
  <c r="BQ14" i="70"/>
  <c r="BG14" i="70"/>
  <c r="BX14" i="70"/>
  <c r="BP14" i="70"/>
  <c r="BW14" i="70"/>
  <c r="BO14" i="70"/>
  <c r="BK14" i="70"/>
  <c r="BT14" i="70"/>
  <c r="CE14" i="70"/>
  <c r="BH14" i="70"/>
  <c r="CJ14" i="70"/>
  <c r="BM14" i="70"/>
  <c r="CL14" i="69"/>
  <c r="CP14" i="69"/>
  <c r="CG14" i="69"/>
  <c r="CW14" i="69"/>
  <c r="CO14" i="69"/>
  <c r="CF14" i="69"/>
  <c r="CV14" i="69"/>
  <c r="CN14" i="69"/>
  <c r="CE14" i="69"/>
  <c r="CJ14" i="69"/>
  <c r="CU14" i="69"/>
  <c r="CI14" i="69"/>
  <c r="CT14" i="69"/>
  <c r="CH14" i="69"/>
  <c r="CS14" i="69"/>
  <c r="CD14" i="69"/>
  <c r="CR14" i="69"/>
  <c r="CQ14" i="69"/>
  <c r="CM14" i="69"/>
  <c r="CK14" i="69"/>
  <c r="BV14" i="69"/>
  <c r="BN14" i="69"/>
  <c r="BU14" i="69"/>
  <c r="BM14" i="69"/>
  <c r="BS14" i="69"/>
  <c r="BK14" i="69"/>
  <c r="BZ14" i="69"/>
  <c r="BR14" i="69"/>
  <c r="BJ14" i="69"/>
  <c r="BY14" i="69"/>
  <c r="BQ14" i="69"/>
  <c r="BI14" i="69"/>
  <c r="BX14" i="69"/>
  <c r="BP14" i="69"/>
  <c r="BH14" i="69"/>
  <c r="BW14" i="69"/>
  <c r="BO14" i="69"/>
  <c r="BG14" i="69"/>
  <c r="BT14" i="69"/>
  <c r="BL14" i="69"/>
  <c r="V3" i="23"/>
  <c r="AA3" i="24" s="1"/>
  <c r="CL14" i="67"/>
  <c r="CP14" i="67"/>
  <c r="CG14" i="67"/>
  <c r="CW14" i="67"/>
  <c r="CO14" i="67"/>
  <c r="CF14" i="67"/>
  <c r="CV14" i="67"/>
  <c r="CN14" i="67"/>
  <c r="CE14" i="67"/>
  <c r="CU14" i="67"/>
  <c r="CM14" i="67"/>
  <c r="CD14" i="67"/>
  <c r="CT14" i="67"/>
  <c r="CK14" i="67"/>
  <c r="CJ14" i="67"/>
  <c r="CH14" i="67"/>
  <c r="CS14" i="67"/>
  <c r="CR14" i="67"/>
  <c r="CQ14" i="67"/>
  <c r="CI14" i="67"/>
  <c r="BX14" i="67"/>
  <c r="BP14" i="67"/>
  <c r="BH14" i="67"/>
  <c r="BW14" i="67"/>
  <c r="BG14" i="67"/>
  <c r="BN14" i="67"/>
  <c r="BL14" i="67"/>
  <c r="BJ14" i="67"/>
  <c r="BO14" i="67"/>
  <c r="BT14" i="67"/>
  <c r="BZ14" i="67"/>
  <c r="BY14" i="67"/>
  <c r="BQ14" i="67"/>
  <c r="BV14" i="67"/>
  <c r="BU14" i="67"/>
  <c r="BM14" i="67"/>
  <c r="BK14" i="67"/>
  <c r="BR14" i="67"/>
  <c r="BS14" i="67"/>
  <c r="BI14" i="67"/>
  <c r="AL15" i="71"/>
  <c r="CL15" i="71"/>
  <c r="CN15" i="71"/>
  <c r="CV15" i="71"/>
  <c r="CD15" i="71"/>
  <c r="CO15" i="71"/>
  <c r="CW15" i="71"/>
  <c r="CI15" i="71"/>
  <c r="CJ15" i="71"/>
  <c r="CK15" i="71"/>
  <c r="CQ15" i="71"/>
  <c r="CR15" i="71"/>
  <c r="CS15" i="71"/>
  <c r="CT15" i="71"/>
  <c r="CE15" i="71"/>
  <c r="CU15" i="71"/>
  <c r="CF15" i="71"/>
  <c r="CG15" i="71"/>
  <c r="CP15" i="71"/>
  <c r="BN15" i="71"/>
  <c r="BW15" i="71"/>
  <c r="BO15" i="71"/>
  <c r="BX15" i="71"/>
  <c r="BG15" i="71"/>
  <c r="BQ15" i="71"/>
  <c r="BY15" i="71"/>
  <c r="BH15" i="71"/>
  <c r="BR15" i="71"/>
  <c r="BZ15" i="71"/>
  <c r="BI15" i="71"/>
  <c r="BS15" i="71"/>
  <c r="BJ15" i="71"/>
  <c r="BT15" i="71"/>
  <c r="BL15" i="71"/>
  <c r="BU15" i="71"/>
  <c r="BM15" i="71"/>
  <c r="BV15" i="71"/>
  <c r="BP15" i="71"/>
  <c r="CM15" i="71"/>
  <c r="BK15" i="71"/>
  <c r="CH15" i="71"/>
  <c r="CL14" i="63"/>
  <c r="CQ14" i="63"/>
  <c r="CH14" i="63"/>
  <c r="CP14" i="63"/>
  <c r="CG14" i="63"/>
  <c r="CW14" i="63"/>
  <c r="CO14" i="63"/>
  <c r="CF14" i="63"/>
  <c r="CV14" i="63"/>
  <c r="CN14" i="63"/>
  <c r="CE14" i="63"/>
  <c r="CU14" i="63"/>
  <c r="CM14" i="63"/>
  <c r="CD14" i="63"/>
  <c r="CT14" i="63"/>
  <c r="CS14" i="63"/>
  <c r="CR14" i="63"/>
  <c r="CK14" i="63"/>
  <c r="CJ14" i="63"/>
  <c r="CI14" i="63"/>
  <c r="BU14" i="63"/>
  <c r="BM14" i="63"/>
  <c r="BT14" i="63"/>
  <c r="BL14" i="63"/>
  <c r="BS14" i="63"/>
  <c r="BK14" i="63"/>
  <c r="BZ14" i="63"/>
  <c r="BR14" i="63"/>
  <c r="BJ14" i="63"/>
  <c r="BY14" i="63"/>
  <c r="BI14" i="63"/>
  <c r="BX14" i="63"/>
  <c r="BH14" i="63"/>
  <c r="BW14" i="63"/>
  <c r="BG14" i="63"/>
  <c r="BV14" i="63"/>
  <c r="BQ14" i="63"/>
  <c r="BP14" i="63"/>
  <c r="BO14" i="63"/>
  <c r="BN14" i="63"/>
  <c r="CL14" i="66"/>
  <c r="CU14" i="66"/>
  <c r="CM14" i="66"/>
  <c r="CD14" i="66"/>
  <c r="CT14" i="66"/>
  <c r="CK14" i="66"/>
  <c r="CS14" i="66"/>
  <c r="CJ14" i="66"/>
  <c r="CR14" i="66"/>
  <c r="CI14" i="66"/>
  <c r="CQ14" i="66"/>
  <c r="CH14" i="66"/>
  <c r="CP14" i="66"/>
  <c r="CG14" i="66"/>
  <c r="CE14" i="66"/>
  <c r="CW14" i="66"/>
  <c r="CV14" i="66"/>
  <c r="CO14" i="66"/>
  <c r="CN14" i="66"/>
  <c r="CF14" i="66"/>
  <c r="BS14" i="66"/>
  <c r="BK14" i="66"/>
  <c r="BZ14" i="66"/>
  <c r="BR14" i="66"/>
  <c r="BJ14" i="66"/>
  <c r="BY14" i="66"/>
  <c r="BQ14" i="66"/>
  <c r="BI14" i="66"/>
  <c r="BX14" i="66"/>
  <c r="BP14" i="66"/>
  <c r="BH14" i="66"/>
  <c r="BW14" i="66"/>
  <c r="BO14" i="66"/>
  <c r="BG14" i="66"/>
  <c r="BV14" i="66"/>
  <c r="BN14" i="66"/>
  <c r="BU14" i="66"/>
  <c r="BM14" i="66"/>
  <c r="BT14" i="66"/>
  <c r="BL14" i="66"/>
  <c r="R4" i="23"/>
  <c r="V4" i="24" s="1"/>
  <c r="CL15" i="66"/>
  <c r="CG15" i="66"/>
  <c r="CP15" i="66"/>
  <c r="CH15" i="66"/>
  <c r="CQ15" i="66"/>
  <c r="CI15" i="66"/>
  <c r="CR15" i="66"/>
  <c r="CJ15" i="66"/>
  <c r="CS15" i="66"/>
  <c r="CK15" i="66"/>
  <c r="CT15" i="66"/>
  <c r="CM15" i="66"/>
  <c r="CU15" i="66"/>
  <c r="CE15" i="66"/>
  <c r="CN15" i="66"/>
  <c r="CV15" i="66"/>
  <c r="CF15" i="66"/>
  <c r="CO15" i="66"/>
  <c r="CW15" i="66"/>
  <c r="BM15" i="66"/>
  <c r="BU15" i="66"/>
  <c r="BN15" i="66"/>
  <c r="BV15" i="66"/>
  <c r="BO15" i="66"/>
  <c r="BW15" i="66"/>
  <c r="BH15" i="66"/>
  <c r="BP15" i="66"/>
  <c r="BX15" i="66"/>
  <c r="BI15" i="66"/>
  <c r="BQ15" i="66"/>
  <c r="BY15" i="66"/>
  <c r="BJ15" i="66"/>
  <c r="BR15" i="66"/>
  <c r="BZ15" i="66"/>
  <c r="BK15" i="66"/>
  <c r="BS15" i="66"/>
  <c r="BL15" i="66"/>
  <c r="BT15" i="66"/>
  <c r="CD15" i="66"/>
  <c r="BG15" i="66"/>
  <c r="J4" i="23"/>
  <c r="L4" i="24" s="1"/>
  <c r="CL15" i="64"/>
  <c r="CG15" i="64"/>
  <c r="CQ15" i="64"/>
  <c r="CH15" i="64"/>
  <c r="CR15" i="64"/>
  <c r="CI15" i="64"/>
  <c r="CS15" i="64"/>
  <c r="CE15" i="64"/>
  <c r="CV15" i="64"/>
  <c r="CJ15" i="64"/>
  <c r="CW15" i="64"/>
  <c r="CM15" i="64"/>
  <c r="CN15" i="64"/>
  <c r="CO15" i="64"/>
  <c r="CP15" i="64"/>
  <c r="CT15" i="64"/>
  <c r="CD15" i="64"/>
  <c r="CU15" i="64"/>
  <c r="BL15" i="64"/>
  <c r="BU15" i="64"/>
  <c r="BM15" i="64"/>
  <c r="BO15" i="64"/>
  <c r="BW15" i="64"/>
  <c r="BP15" i="64"/>
  <c r="BG15" i="64"/>
  <c r="BQ15" i="64"/>
  <c r="BY15" i="64"/>
  <c r="BH15" i="64"/>
  <c r="BJ15" i="64"/>
  <c r="BK15" i="64"/>
  <c r="BR15" i="64"/>
  <c r="BS15" i="64"/>
  <c r="BT15" i="64"/>
  <c r="BV15" i="64"/>
  <c r="BX15" i="64"/>
  <c r="BZ15" i="64"/>
  <c r="BN15" i="64"/>
  <c r="BI15" i="64"/>
  <c r="CK15" i="64"/>
  <c r="CF15" i="64"/>
  <c r="N3" i="23"/>
  <c r="Q3" i="24" s="1"/>
  <c r="CL14" i="65"/>
  <c r="CS14" i="65"/>
  <c r="CJ14" i="65"/>
  <c r="CR14" i="65"/>
  <c r="CI14" i="65"/>
  <c r="CQ14" i="65"/>
  <c r="CG14" i="65"/>
  <c r="CP14" i="65"/>
  <c r="CF14" i="65"/>
  <c r="CW14" i="65"/>
  <c r="CO14" i="65"/>
  <c r="CV14" i="65"/>
  <c r="CN14" i="65"/>
  <c r="CD14" i="65"/>
  <c r="CU14" i="65"/>
  <c r="CT14" i="65"/>
  <c r="CM14" i="65"/>
  <c r="CK14" i="65"/>
  <c r="CE14" i="65"/>
  <c r="BS14" i="65"/>
  <c r="BJ14" i="65"/>
  <c r="BZ14" i="65"/>
  <c r="BR14" i="65"/>
  <c r="BI14" i="65"/>
  <c r="BY14" i="65"/>
  <c r="BQ14" i="65"/>
  <c r="BH14" i="65"/>
  <c r="BX14" i="65"/>
  <c r="BP14" i="65"/>
  <c r="BG14" i="65"/>
  <c r="BW14" i="65"/>
  <c r="BO14" i="65"/>
  <c r="BV14" i="65"/>
  <c r="BN14" i="65"/>
  <c r="BU14" i="65"/>
  <c r="BM14" i="65"/>
  <c r="BT14" i="65"/>
  <c r="BL14" i="65"/>
  <c r="BK14" i="65"/>
  <c r="CH14" i="65"/>
  <c r="J3" i="23"/>
  <c r="L3" i="24" s="1"/>
  <c r="CL14" i="64"/>
  <c r="CT14" i="64"/>
  <c r="CK14" i="64"/>
  <c r="CS14" i="64"/>
  <c r="CJ14" i="64"/>
  <c r="CP14" i="64"/>
  <c r="CG14" i="64"/>
  <c r="CW14" i="64"/>
  <c r="CO14" i="64"/>
  <c r="CF14" i="64"/>
  <c r="CU14" i="64"/>
  <c r="CM14" i="64"/>
  <c r="CV14" i="64"/>
  <c r="CR14" i="64"/>
  <c r="CQ14" i="64"/>
  <c r="CN14" i="64"/>
  <c r="CI14" i="64"/>
  <c r="CH14" i="64"/>
  <c r="CD14" i="64"/>
  <c r="BW14" i="64"/>
  <c r="BO14" i="64"/>
  <c r="BV14" i="64"/>
  <c r="BN14" i="64"/>
  <c r="BU14" i="64"/>
  <c r="BM14" i="64"/>
  <c r="BT14" i="64"/>
  <c r="BL14" i="64"/>
  <c r="BS14" i="64"/>
  <c r="BK14" i="64"/>
  <c r="BZ14" i="64"/>
  <c r="BR14" i="64"/>
  <c r="BJ14" i="64"/>
  <c r="BY14" i="64"/>
  <c r="BX14" i="64"/>
  <c r="BQ14" i="64"/>
  <c r="BP14" i="64"/>
  <c r="BI14" i="64"/>
  <c r="BG14" i="64"/>
  <c r="BH14" i="64"/>
  <c r="CE14" i="64"/>
  <c r="J37" i="1"/>
  <c r="A10" i="93" s="1"/>
  <c r="J15" i="44"/>
  <c r="CL14" i="68"/>
  <c r="CS14" i="68"/>
  <c r="CJ14" i="68"/>
  <c r="CR14" i="68"/>
  <c r="CI14" i="68"/>
  <c r="CQ14" i="68"/>
  <c r="CH14" i="68"/>
  <c r="CP14" i="68"/>
  <c r="CG14" i="68"/>
  <c r="CW14" i="68"/>
  <c r="CO14" i="68"/>
  <c r="CF14" i="68"/>
  <c r="CV14" i="68"/>
  <c r="CN14" i="68"/>
  <c r="CE14" i="68"/>
  <c r="CU14" i="68"/>
  <c r="CM14" i="68"/>
  <c r="CD14" i="68"/>
  <c r="CT14" i="68"/>
  <c r="CK14" i="68"/>
  <c r="BY14" i="68"/>
  <c r="BQ14" i="68"/>
  <c r="BI14" i="68"/>
  <c r="BX14" i="68"/>
  <c r="BP14" i="68"/>
  <c r="BH14" i="68"/>
  <c r="BW14" i="68"/>
  <c r="BO14" i="68"/>
  <c r="BG14" i="68"/>
  <c r="BU14" i="68"/>
  <c r="BM14" i="68"/>
  <c r="BT14" i="68"/>
  <c r="BL14" i="68"/>
  <c r="BN14" i="68"/>
  <c r="BS14" i="68"/>
  <c r="BK14" i="68"/>
  <c r="BV14" i="68"/>
  <c r="BZ14" i="68"/>
  <c r="BR14" i="68"/>
  <c r="BJ14" i="68"/>
  <c r="AR15" i="71"/>
  <c r="AV15" i="71"/>
  <c r="AU15" i="71"/>
  <c r="AN15" i="71"/>
  <c r="AZ15" i="71"/>
  <c r="AH15" i="71"/>
  <c r="AS15" i="71"/>
  <c r="AY15" i="71"/>
  <c r="AQ15" i="71"/>
  <c r="AO15" i="71"/>
  <c r="AJ15" i="71"/>
  <c r="D83" i="73"/>
  <c r="H48" i="73" s="1"/>
  <c r="AT34" i="23" s="1"/>
  <c r="AN14" i="72"/>
  <c r="AI14" i="72"/>
  <c r="AJ14" i="72"/>
  <c r="D14" i="72"/>
  <c r="Y3" i="25" s="1"/>
  <c r="AT14" i="72"/>
  <c r="AV14" i="65"/>
  <c r="AN14" i="65"/>
  <c r="AZ14" i="65"/>
  <c r="AK14" i="65"/>
  <c r="AT14" i="65"/>
  <c r="AJ14" i="65"/>
  <c r="AX14" i="65"/>
  <c r="AS14" i="65"/>
  <c r="AH14" i="65"/>
  <c r="AG14" i="65"/>
  <c r="AO14" i="65"/>
  <c r="AR14" i="65"/>
  <c r="AQ14" i="65"/>
  <c r="AM14" i="65"/>
  <c r="AY14" i="65"/>
  <c r="AW14" i="65"/>
  <c r="AI14" i="65"/>
  <c r="AU14" i="65"/>
  <c r="AP14" i="65"/>
  <c r="D14" i="65"/>
  <c r="P3" i="23" s="1"/>
  <c r="T3" i="24" s="1"/>
  <c r="AL14" i="65"/>
  <c r="B15" i="68"/>
  <c r="AI15" i="68" s="1"/>
  <c r="B15" i="73"/>
  <c r="AO15" i="73" s="1"/>
  <c r="AS4" i="23"/>
  <c r="Z4" i="25" s="1"/>
  <c r="A16" i="70"/>
  <c r="AG4" i="23"/>
  <c r="K4" i="25" s="1"/>
  <c r="DG43" i="68"/>
  <c r="A16" i="67"/>
  <c r="U4" i="23"/>
  <c r="Z4" i="24" s="1"/>
  <c r="AD3" i="25"/>
  <c r="AV3" i="23"/>
  <c r="AD3" i="23"/>
  <c r="G3" i="25" s="1"/>
  <c r="Z3" i="23"/>
  <c r="B3" i="25" s="1"/>
  <c r="O3" i="25"/>
  <c r="AJ3" i="23"/>
  <c r="AL4" i="23"/>
  <c r="Q4" i="25" s="1"/>
  <c r="A16" i="66"/>
  <c r="Q4" i="23"/>
  <c r="U4" i="24" s="1"/>
  <c r="A16" i="65"/>
  <c r="M5" i="23" s="1"/>
  <c r="P5" i="24" s="1"/>
  <c r="M4" i="23"/>
  <c r="P4" i="24" s="1"/>
  <c r="B15" i="63"/>
  <c r="E4" i="23"/>
  <c r="F4" i="24" s="1"/>
  <c r="R3" i="23"/>
  <c r="V3" i="24" s="1"/>
  <c r="AP14" i="63"/>
  <c r="F3" i="23"/>
  <c r="G3" i="24" s="1"/>
  <c r="AI15" i="71"/>
  <c r="D15" i="71"/>
  <c r="AK15" i="71"/>
  <c r="AT15" i="71"/>
  <c r="AP15" i="71"/>
  <c r="AW15" i="71"/>
  <c r="AX15" i="71"/>
  <c r="AG15" i="71"/>
  <c r="AM15" i="71"/>
  <c r="AQ14" i="69"/>
  <c r="AX14" i="69"/>
  <c r="AW14" i="69"/>
  <c r="AI14" i="69"/>
  <c r="AP14" i="69"/>
  <c r="AO14" i="69"/>
  <c r="AL14" i="69"/>
  <c r="AS14" i="69"/>
  <c r="AG14" i="69"/>
  <c r="AK14" i="69"/>
  <c r="AZ14" i="69"/>
  <c r="D14" i="69"/>
  <c r="AR14" i="69"/>
  <c r="G30" i="50"/>
  <c r="G32" i="50" s="1"/>
  <c r="AZ14" i="66"/>
  <c r="AZ14" i="63"/>
  <c r="D82" i="65"/>
  <c r="H47" i="65" s="1"/>
  <c r="D83" i="66"/>
  <c r="H48" i="66" s="1"/>
  <c r="B15" i="70"/>
  <c r="B16" i="70"/>
  <c r="AP16" i="70" s="1"/>
  <c r="D83" i="71"/>
  <c r="H48" i="71" s="1"/>
  <c r="AY14" i="71"/>
  <c r="AN14" i="71"/>
  <c r="AV14" i="69"/>
  <c r="AH14" i="69"/>
  <c r="AN14" i="69"/>
  <c r="D14" i="71"/>
  <c r="AM14" i="71"/>
  <c r="AH14" i="71"/>
  <c r="AO14" i="71"/>
  <c r="AP14" i="71"/>
  <c r="AW14" i="71"/>
  <c r="AX14" i="71"/>
  <c r="AU14" i="71"/>
  <c r="AQ14" i="71"/>
  <c r="AV14" i="71"/>
  <c r="AZ14" i="71"/>
  <c r="AL14" i="71"/>
  <c r="AU14" i="69"/>
  <c r="B15" i="67"/>
  <c r="AM14" i="69"/>
  <c r="AT14" i="69"/>
  <c r="AR14" i="66"/>
  <c r="AX14" i="66"/>
  <c r="AS14" i="66"/>
  <c r="AP14" i="66"/>
  <c r="AH14" i="66"/>
  <c r="AM14" i="66"/>
  <c r="AT14" i="66"/>
  <c r="AJ14" i="66"/>
  <c r="AN14" i="66"/>
  <c r="AG14" i="66"/>
  <c r="AY14" i="66"/>
  <c r="AO14" i="66"/>
  <c r="AU14" i="66"/>
  <c r="D14" i="66"/>
  <c r="T3" i="23" s="1"/>
  <c r="Y3" i="24" s="1"/>
  <c r="AQ14" i="66"/>
  <c r="AK14" i="66"/>
  <c r="AI14" i="66"/>
  <c r="AV14" i="66"/>
  <c r="AL14" i="66"/>
  <c r="AW14" i="66"/>
  <c r="AY14" i="64"/>
  <c r="AQ14" i="64"/>
  <c r="AI14" i="64"/>
  <c r="AW14" i="64"/>
  <c r="AN14" i="64"/>
  <c r="AU14" i="64"/>
  <c r="AT14" i="64"/>
  <c r="AS14" i="64"/>
  <c r="AX14" i="64"/>
  <c r="AO14" i="64"/>
  <c r="AM14" i="64"/>
  <c r="AL14" i="64"/>
  <c r="AK14" i="64"/>
  <c r="AG14" i="64"/>
  <c r="D14" i="64"/>
  <c r="L3" i="23" s="1"/>
  <c r="O3" i="24" s="1"/>
  <c r="AZ14" i="64"/>
  <c r="AH14" i="64"/>
  <c r="AR14" i="64"/>
  <c r="AV14" i="64"/>
  <c r="AP14" i="64"/>
  <c r="AJ14" i="64"/>
  <c r="AY14" i="63"/>
  <c r="AN14" i="63"/>
  <c r="AX14" i="63"/>
  <c r="AU14" i="63"/>
  <c r="AV14" i="63"/>
  <c r="AJ14" i="63"/>
  <c r="AI14" i="63"/>
  <c r="AW14" i="63"/>
  <c r="AT14" i="63"/>
  <c r="AL14" i="63"/>
  <c r="AM14" i="63"/>
  <c r="D82" i="63"/>
  <c r="H47" i="63" s="1"/>
  <c r="F34" i="23" s="1"/>
  <c r="H34" i="24" s="1"/>
  <c r="A16" i="73"/>
  <c r="AI15" i="73"/>
  <c r="AK14" i="71"/>
  <c r="AT14" i="71"/>
  <c r="AR14" i="71"/>
  <c r="AJ14" i="71"/>
  <c r="AI14" i="71"/>
  <c r="AG14" i="71"/>
  <c r="B15" i="65"/>
  <c r="AR14" i="63"/>
  <c r="D14" i="63"/>
  <c r="H3" i="23" s="1"/>
  <c r="J3" i="24" s="1"/>
  <c r="AW15" i="73"/>
  <c r="AS14" i="71"/>
  <c r="D82" i="70"/>
  <c r="H47" i="70" s="1"/>
  <c r="AH34" i="23" s="1"/>
  <c r="M34" i="25" s="1"/>
  <c r="D83" i="69"/>
  <c r="H48" i="69" s="1"/>
  <c r="AD34" i="23" s="1"/>
  <c r="H34" i="25" s="1"/>
  <c r="D83" i="64"/>
  <c r="D82" i="72"/>
  <c r="H47" i="72" s="1"/>
  <c r="AP34" i="23" s="1"/>
  <c r="W34" i="25" s="1"/>
  <c r="D81" i="68"/>
  <c r="H46" i="68" s="1"/>
  <c r="Z34" i="23" s="1"/>
  <c r="C34" i="25" s="1"/>
  <c r="D83" i="67"/>
  <c r="DG45" i="73"/>
  <c r="A16" i="72"/>
  <c r="AO5" i="23" s="1"/>
  <c r="U5" i="25" s="1"/>
  <c r="B15" i="72"/>
  <c r="DG44" i="72"/>
  <c r="A17" i="71"/>
  <c r="AK6" i="23" s="1"/>
  <c r="P6" i="25" s="1"/>
  <c r="B16" i="71"/>
  <c r="DG45" i="71"/>
  <c r="DG44" i="70"/>
  <c r="AV15" i="69"/>
  <c r="AN15" i="69"/>
  <c r="AU15" i="69"/>
  <c r="AM15" i="69"/>
  <c r="AT15" i="69"/>
  <c r="AL15" i="69"/>
  <c r="AS15" i="69"/>
  <c r="AK15" i="69"/>
  <c r="D15" i="69"/>
  <c r="AZ15" i="69"/>
  <c r="AR15" i="69"/>
  <c r="AJ15" i="69"/>
  <c r="AP15" i="69"/>
  <c r="AO15" i="69"/>
  <c r="AI15" i="69"/>
  <c r="AH15" i="69"/>
  <c r="AQ15" i="69"/>
  <c r="AY15" i="69"/>
  <c r="AG15" i="69"/>
  <c r="AX15" i="69"/>
  <c r="AW15" i="69"/>
  <c r="A17" i="69"/>
  <c r="AC6" i="23" s="1"/>
  <c r="F6" i="25" s="1"/>
  <c r="B16" i="69"/>
  <c r="DG45" i="69"/>
  <c r="A17" i="68"/>
  <c r="Y6" i="23" s="1"/>
  <c r="A6" i="25" s="1"/>
  <c r="B16" i="68"/>
  <c r="AW14" i="68"/>
  <c r="AO14" i="68"/>
  <c r="AG14" i="68"/>
  <c r="AV14" i="68"/>
  <c r="AN14" i="68"/>
  <c r="AR14" i="68"/>
  <c r="AH14" i="68"/>
  <c r="AQ14" i="68"/>
  <c r="AZ14" i="68"/>
  <c r="AP14" i="68"/>
  <c r="D14" i="68"/>
  <c r="AY14" i="68"/>
  <c r="AM14" i="68"/>
  <c r="AX14" i="68"/>
  <c r="AL14" i="68"/>
  <c r="AU14" i="68"/>
  <c r="AK14" i="68"/>
  <c r="AT14" i="68"/>
  <c r="AJ14" i="68"/>
  <c r="AS14" i="68"/>
  <c r="AI14" i="68"/>
  <c r="DG45" i="67"/>
  <c r="DG45" i="66"/>
  <c r="AV15" i="66"/>
  <c r="AN15" i="66"/>
  <c r="AU15" i="66"/>
  <c r="AM15" i="66"/>
  <c r="AT15" i="66"/>
  <c r="AL15" i="66"/>
  <c r="AS15" i="66"/>
  <c r="AK15" i="66"/>
  <c r="D15" i="66"/>
  <c r="T4" i="23" s="1"/>
  <c r="Y4" i="24" s="1"/>
  <c r="AZ15" i="66"/>
  <c r="AR15" i="66"/>
  <c r="AJ15" i="66"/>
  <c r="AY15" i="66"/>
  <c r="AQ15" i="66"/>
  <c r="AI15" i="66"/>
  <c r="AX15" i="66"/>
  <c r="AP15" i="66"/>
  <c r="AH15" i="66"/>
  <c r="AW15" i="66"/>
  <c r="AO15" i="66"/>
  <c r="AG15" i="66"/>
  <c r="DG44" i="65"/>
  <c r="B16" i="65"/>
  <c r="A17" i="65"/>
  <c r="M6" i="23" s="1"/>
  <c r="P6" i="24" s="1"/>
  <c r="A17" i="64"/>
  <c r="I6" i="23" s="1"/>
  <c r="K6" i="24" s="1"/>
  <c r="B16" i="64"/>
  <c r="AT15" i="64"/>
  <c r="AL15" i="64"/>
  <c r="AS15" i="64"/>
  <c r="AK15" i="64"/>
  <c r="D15" i="64"/>
  <c r="L4" i="23" s="1"/>
  <c r="O4" i="24" s="1"/>
  <c r="AZ15" i="64"/>
  <c r="AR15" i="64"/>
  <c r="AJ15" i="64"/>
  <c r="AY15" i="64"/>
  <c r="AQ15" i="64"/>
  <c r="AI15" i="64"/>
  <c r="AX15" i="64"/>
  <c r="AP15" i="64"/>
  <c r="AH15" i="64"/>
  <c r="AW15" i="64"/>
  <c r="AO15" i="64"/>
  <c r="AG15" i="64"/>
  <c r="AV15" i="64"/>
  <c r="AN15" i="64"/>
  <c r="AU15" i="64"/>
  <c r="AM15" i="64"/>
  <c r="DG45" i="64"/>
  <c r="AQ14" i="63"/>
  <c r="AK14" i="63"/>
  <c r="AG14" i="63"/>
  <c r="AS14" i="63"/>
  <c r="AO14" i="63"/>
  <c r="AH14" i="63"/>
  <c r="A17" i="63"/>
  <c r="E6" i="23" s="1"/>
  <c r="F6" i="24" s="1"/>
  <c r="B16" i="63"/>
  <c r="DG44" i="63"/>
  <c r="E20" i="62"/>
  <c r="F11" i="62"/>
  <c r="A1" i="23" s="1"/>
  <c r="AO1" i="61"/>
  <c r="E109" i="1"/>
  <c r="J68" i="1"/>
  <c r="BB14" i="73" l="1"/>
  <c r="Q33" i="43"/>
  <c r="P34" i="43" s="1"/>
  <c r="A21" i="47"/>
  <c r="BA14" i="67"/>
  <c r="N14" i="67" s="1"/>
  <c r="BA14" i="73"/>
  <c r="N14" i="73" s="1"/>
  <c r="AK15" i="73"/>
  <c r="BB15" i="73" s="1"/>
  <c r="AQ15" i="73"/>
  <c r="AX15" i="73"/>
  <c r="AV15" i="73"/>
  <c r="AH15" i="73"/>
  <c r="AG15" i="73"/>
  <c r="AP15" i="73"/>
  <c r="AT15" i="73"/>
  <c r="AM15" i="73"/>
  <c r="AL15" i="73"/>
  <c r="AZ15" i="73"/>
  <c r="AR15" i="73"/>
  <c r="AN15" i="73"/>
  <c r="D15" i="73"/>
  <c r="AY15" i="73"/>
  <c r="BB14" i="70"/>
  <c r="CA14" i="73"/>
  <c r="O14" i="73" s="1"/>
  <c r="AF18" i="66"/>
  <c r="AF45" i="66" s="1"/>
  <c r="AF22" i="41"/>
  <c r="AF15" i="41"/>
  <c r="AF41" i="41"/>
  <c r="AF39" i="41"/>
  <c r="AF25" i="41"/>
  <c r="AF26" i="41"/>
  <c r="AF21" i="41"/>
  <c r="AF32" i="41"/>
  <c r="AF40" i="41"/>
  <c r="AF34" i="41"/>
  <c r="AF33" i="41"/>
  <c r="AF42" i="41"/>
  <c r="AF18" i="41"/>
  <c r="AF19" i="41"/>
  <c r="AF27" i="41"/>
  <c r="AF35" i="41"/>
  <c r="AF43" i="41"/>
  <c r="AF28" i="41"/>
  <c r="AF36" i="41"/>
  <c r="AF20" i="41"/>
  <c r="AF29" i="41"/>
  <c r="BA14" i="70"/>
  <c r="N14" i="70" s="1"/>
  <c r="CA14" i="67"/>
  <c r="O14" i="67" s="1"/>
  <c r="CA14" i="70"/>
  <c r="O14" i="70" s="1"/>
  <c r="CX14" i="70"/>
  <c r="AP4" i="23"/>
  <c r="V4" i="25" s="1"/>
  <c r="CL15" i="72"/>
  <c r="CH15" i="72"/>
  <c r="CQ15" i="72"/>
  <c r="CE15" i="72"/>
  <c r="CG15" i="72"/>
  <c r="CP15" i="72"/>
  <c r="CF15" i="72"/>
  <c r="CR15" i="72"/>
  <c r="CI15" i="72"/>
  <c r="CS15" i="72"/>
  <c r="CK15" i="72"/>
  <c r="CM15" i="72"/>
  <c r="CN15" i="72"/>
  <c r="CO15" i="72"/>
  <c r="CT15" i="72"/>
  <c r="CJ15" i="72"/>
  <c r="CU15" i="72"/>
  <c r="CV15" i="72"/>
  <c r="CW15" i="72"/>
  <c r="BI15" i="72"/>
  <c r="BR15" i="72"/>
  <c r="BZ15" i="72"/>
  <c r="BK15" i="72"/>
  <c r="BT15" i="72"/>
  <c r="BM15" i="72"/>
  <c r="BN15" i="72"/>
  <c r="BV15" i="72"/>
  <c r="BO15" i="72"/>
  <c r="BW15" i="72"/>
  <c r="BP15" i="72"/>
  <c r="BX15" i="72"/>
  <c r="BH15" i="72"/>
  <c r="BQ15" i="72"/>
  <c r="BY15" i="72"/>
  <c r="BJ15" i="72"/>
  <c r="BS15" i="72"/>
  <c r="BU15" i="72"/>
  <c r="BL15" i="72"/>
  <c r="BG15" i="72"/>
  <c r="CD15" i="72"/>
  <c r="AT4" i="23"/>
  <c r="AA4" i="25" s="1"/>
  <c r="CL15" i="73"/>
  <c r="CI15" i="73"/>
  <c r="CR15" i="73"/>
  <c r="CJ15" i="73"/>
  <c r="CS15" i="73"/>
  <c r="CK15" i="73"/>
  <c r="CT15" i="73"/>
  <c r="CD15" i="73"/>
  <c r="CM15" i="73"/>
  <c r="CU15" i="73"/>
  <c r="CE15" i="73"/>
  <c r="CN15" i="73"/>
  <c r="CV15" i="73"/>
  <c r="CF15" i="73"/>
  <c r="CO15" i="73"/>
  <c r="CW15" i="73"/>
  <c r="CG15" i="73"/>
  <c r="CP15" i="73"/>
  <c r="CH15" i="73"/>
  <c r="CQ15" i="73"/>
  <c r="BH15" i="73"/>
  <c r="BP15" i="73"/>
  <c r="BX15" i="73"/>
  <c r="BI15" i="73"/>
  <c r="BQ15" i="73"/>
  <c r="BY15" i="73"/>
  <c r="BJ15" i="73"/>
  <c r="BR15" i="73"/>
  <c r="BZ15" i="73"/>
  <c r="BK15" i="73"/>
  <c r="BS15" i="73"/>
  <c r="BL15" i="73"/>
  <c r="BT15" i="73"/>
  <c r="BN15" i="73"/>
  <c r="BU15" i="73"/>
  <c r="BV15" i="73"/>
  <c r="BW15" i="73"/>
  <c r="BG15" i="73"/>
  <c r="BM15" i="73"/>
  <c r="BO15" i="73"/>
  <c r="CX15" i="69"/>
  <c r="AR3" i="23"/>
  <c r="CX14" i="71"/>
  <c r="CX14" i="72"/>
  <c r="AD5" i="23"/>
  <c r="G5" i="25" s="1"/>
  <c r="CL16" i="69"/>
  <c r="CI16" i="69"/>
  <c r="CR16" i="69"/>
  <c r="CJ16" i="69"/>
  <c r="CS16" i="69"/>
  <c r="CK16" i="69"/>
  <c r="CT16" i="69"/>
  <c r="CM16" i="69"/>
  <c r="CE16" i="69"/>
  <c r="CN16" i="69"/>
  <c r="CF16" i="69"/>
  <c r="CO16" i="69"/>
  <c r="CW16" i="69"/>
  <c r="CG16" i="69"/>
  <c r="CP16" i="69"/>
  <c r="CH16" i="69"/>
  <c r="CQ16" i="69"/>
  <c r="CU16" i="69"/>
  <c r="CV16" i="69"/>
  <c r="BO16" i="69"/>
  <c r="BW16" i="69"/>
  <c r="BP16" i="69"/>
  <c r="BX16" i="69"/>
  <c r="BI16" i="69"/>
  <c r="BR16" i="69"/>
  <c r="BZ16" i="69"/>
  <c r="BJ16" i="69"/>
  <c r="BS16" i="69"/>
  <c r="BK16" i="69"/>
  <c r="BT16" i="69"/>
  <c r="BM16" i="69"/>
  <c r="BU16" i="69"/>
  <c r="BN16" i="69"/>
  <c r="BV16" i="69"/>
  <c r="BH16" i="69"/>
  <c r="BQ16" i="69"/>
  <c r="BY16" i="69"/>
  <c r="BL16" i="69"/>
  <c r="BG16" i="69"/>
  <c r="CD16" i="69"/>
  <c r="CX14" i="69"/>
  <c r="CX14" i="73"/>
  <c r="P14" i="73" s="1"/>
  <c r="CH16" i="70"/>
  <c r="CQ16" i="70"/>
  <c r="CI16" i="70"/>
  <c r="CR16" i="70"/>
  <c r="CJ16" i="70"/>
  <c r="CS16" i="70"/>
  <c r="CP16" i="70"/>
  <c r="CD16" i="70"/>
  <c r="CT16" i="70"/>
  <c r="CE16" i="70"/>
  <c r="CU16" i="70"/>
  <c r="CF16" i="70"/>
  <c r="CV16" i="70"/>
  <c r="CK16" i="70"/>
  <c r="CW16" i="70"/>
  <c r="CM16" i="70"/>
  <c r="CN16" i="70"/>
  <c r="CO16" i="70"/>
  <c r="BN16" i="70"/>
  <c r="BW16" i="70"/>
  <c r="BP16" i="70"/>
  <c r="BX16" i="70"/>
  <c r="BG16" i="70"/>
  <c r="BQ16" i="70"/>
  <c r="BY16" i="70"/>
  <c r="BH16" i="70"/>
  <c r="BR16" i="70"/>
  <c r="BZ16" i="70"/>
  <c r="BI16" i="70"/>
  <c r="BS16" i="70"/>
  <c r="BL16" i="70"/>
  <c r="BU16" i="70"/>
  <c r="BM16" i="70"/>
  <c r="BV16" i="70"/>
  <c r="BK16" i="70"/>
  <c r="BT16" i="70"/>
  <c r="CG16" i="70"/>
  <c r="BJ16" i="70"/>
  <c r="CL16" i="70"/>
  <c r="BO16" i="70"/>
  <c r="AL5" i="23"/>
  <c r="Q5" i="25" s="1"/>
  <c r="CL16" i="71"/>
  <c r="CK16" i="71"/>
  <c r="CT16" i="71"/>
  <c r="CE16" i="71"/>
  <c r="CO16" i="71"/>
  <c r="CH16" i="71"/>
  <c r="CS16" i="71"/>
  <c r="CI16" i="71"/>
  <c r="CU16" i="71"/>
  <c r="CJ16" i="71"/>
  <c r="CV16" i="71"/>
  <c r="CM16" i="71"/>
  <c r="CW16" i="71"/>
  <c r="CN16" i="71"/>
  <c r="CD16" i="71"/>
  <c r="CP16" i="71"/>
  <c r="CF16" i="71"/>
  <c r="CQ16" i="71"/>
  <c r="CG16" i="71"/>
  <c r="CR16" i="71"/>
  <c r="BK16" i="71"/>
  <c r="BS16" i="71"/>
  <c r="BL16" i="71"/>
  <c r="BT16" i="71"/>
  <c r="BM16" i="71"/>
  <c r="BU16" i="71"/>
  <c r="BN16" i="71"/>
  <c r="BV16" i="71"/>
  <c r="BG16" i="71"/>
  <c r="BO16" i="71"/>
  <c r="BW16" i="71"/>
  <c r="BH16" i="71"/>
  <c r="BP16" i="71"/>
  <c r="BX16" i="71"/>
  <c r="BI16" i="71"/>
  <c r="BQ16" i="71"/>
  <c r="BY16" i="71"/>
  <c r="BJ16" i="71"/>
  <c r="BR16" i="71"/>
  <c r="BZ16" i="71"/>
  <c r="CL15" i="70"/>
  <c r="CI15" i="70"/>
  <c r="CS15" i="70"/>
  <c r="CJ15" i="70"/>
  <c r="CT15" i="70"/>
  <c r="CM15" i="70"/>
  <c r="CU15" i="70"/>
  <c r="CE15" i="70"/>
  <c r="CP15" i="70"/>
  <c r="CD15" i="70"/>
  <c r="CW15" i="70"/>
  <c r="CG15" i="70"/>
  <c r="CH15" i="70"/>
  <c r="CN15" i="70"/>
  <c r="CO15" i="70"/>
  <c r="CQ15" i="70"/>
  <c r="CR15" i="70"/>
  <c r="CV15" i="70"/>
  <c r="BG15" i="70"/>
  <c r="BQ15" i="70"/>
  <c r="BY15" i="70"/>
  <c r="BH15" i="70"/>
  <c r="BR15" i="70"/>
  <c r="BZ15" i="70"/>
  <c r="BJ15" i="70"/>
  <c r="BS15" i="70"/>
  <c r="BK15" i="70"/>
  <c r="BT15" i="70"/>
  <c r="BL15" i="70"/>
  <c r="BU15" i="70"/>
  <c r="BO15" i="70"/>
  <c r="BW15" i="70"/>
  <c r="BP15" i="70"/>
  <c r="BX15" i="70"/>
  <c r="BM15" i="70"/>
  <c r="BV15" i="70"/>
  <c r="CK15" i="70"/>
  <c r="CF15" i="70"/>
  <c r="BN15" i="70"/>
  <c r="BI15" i="70"/>
  <c r="CX15" i="71"/>
  <c r="AS15" i="73"/>
  <c r="AU15" i="73"/>
  <c r="AJ15" i="73"/>
  <c r="V4" i="23"/>
  <c r="AA4" i="24" s="1"/>
  <c r="CL15" i="67"/>
  <c r="CI15" i="67"/>
  <c r="CR15" i="67"/>
  <c r="CJ15" i="67"/>
  <c r="CS15" i="67"/>
  <c r="CK15" i="67"/>
  <c r="CT15" i="67"/>
  <c r="CM15" i="67"/>
  <c r="CN15" i="67"/>
  <c r="CO15" i="67"/>
  <c r="CD15" i="67"/>
  <c r="CP15" i="67"/>
  <c r="CE15" i="67"/>
  <c r="CQ15" i="67"/>
  <c r="CF15" i="67"/>
  <c r="CU15" i="67"/>
  <c r="CG15" i="67"/>
  <c r="CH15" i="67"/>
  <c r="CV15" i="67"/>
  <c r="CW15" i="67"/>
  <c r="BK15" i="67"/>
  <c r="BS15" i="67"/>
  <c r="BL15" i="67"/>
  <c r="BT15" i="67"/>
  <c r="BN15" i="67"/>
  <c r="BV15" i="67"/>
  <c r="BG15" i="67"/>
  <c r="BO15" i="67"/>
  <c r="BW15" i="67"/>
  <c r="BH15" i="67"/>
  <c r="BP15" i="67"/>
  <c r="BX15" i="67"/>
  <c r="BI15" i="67"/>
  <c r="BQ15" i="67"/>
  <c r="BY15" i="67"/>
  <c r="BJ15" i="67"/>
  <c r="BR15" i="67"/>
  <c r="BZ15" i="67"/>
  <c r="BM15" i="67"/>
  <c r="BU15" i="67"/>
  <c r="CX14" i="67"/>
  <c r="P14" i="67" s="1"/>
  <c r="CX15" i="66"/>
  <c r="CX14" i="64"/>
  <c r="J5" i="23"/>
  <c r="L5" i="24" s="1"/>
  <c r="CL16" i="64"/>
  <c r="CE16" i="64"/>
  <c r="CO16" i="64"/>
  <c r="CW16" i="64"/>
  <c r="CF16" i="64"/>
  <c r="CP16" i="64"/>
  <c r="CH16" i="64"/>
  <c r="CQ16" i="64"/>
  <c r="CR16" i="64"/>
  <c r="CS16" i="64"/>
  <c r="CD16" i="64"/>
  <c r="CT16" i="64"/>
  <c r="CI16" i="64"/>
  <c r="CU16" i="64"/>
  <c r="CJ16" i="64"/>
  <c r="CV16" i="64"/>
  <c r="CK16" i="64"/>
  <c r="CM16" i="64"/>
  <c r="CN16" i="64"/>
  <c r="BI16" i="64"/>
  <c r="BR16" i="64"/>
  <c r="BZ16" i="64"/>
  <c r="BL16" i="64"/>
  <c r="BT16" i="64"/>
  <c r="BN16" i="64"/>
  <c r="BV16" i="64"/>
  <c r="BG16" i="64"/>
  <c r="BU16" i="64"/>
  <c r="BH16" i="64"/>
  <c r="BW16" i="64"/>
  <c r="BK16" i="64"/>
  <c r="BX16" i="64"/>
  <c r="BM16" i="64"/>
  <c r="BY16" i="64"/>
  <c r="BO16" i="64"/>
  <c r="BP16" i="64"/>
  <c r="BQ16" i="64"/>
  <c r="BS16" i="64"/>
  <c r="BJ16" i="64"/>
  <c r="CG16" i="64"/>
  <c r="CX14" i="63"/>
  <c r="F5" i="23"/>
  <c r="G5" i="24" s="1"/>
  <c r="CL16" i="63"/>
  <c r="CM16" i="63"/>
  <c r="CU16" i="63"/>
  <c r="CD16" i="63"/>
  <c r="CN16" i="63"/>
  <c r="CV16" i="63"/>
  <c r="CH16" i="63"/>
  <c r="CQ16" i="63"/>
  <c r="CI16" i="63"/>
  <c r="CR16" i="63"/>
  <c r="CK16" i="63"/>
  <c r="CT16" i="63"/>
  <c r="CJ16" i="63"/>
  <c r="CO16" i="63"/>
  <c r="CP16" i="63"/>
  <c r="CS16" i="63"/>
  <c r="CW16" i="63"/>
  <c r="CF16" i="63"/>
  <c r="CG16" i="63"/>
  <c r="BM16" i="63"/>
  <c r="BU16" i="63"/>
  <c r="BN16" i="63"/>
  <c r="BV16" i="63"/>
  <c r="BO16" i="63"/>
  <c r="BW16" i="63"/>
  <c r="BG16" i="63"/>
  <c r="BP16" i="63"/>
  <c r="BX16" i="63"/>
  <c r="BI16" i="63"/>
  <c r="BQ16" i="63"/>
  <c r="BY16" i="63"/>
  <c r="BJ16" i="63"/>
  <c r="BR16" i="63"/>
  <c r="BZ16" i="63"/>
  <c r="BK16" i="63"/>
  <c r="BL16" i="63"/>
  <c r="BS16" i="63"/>
  <c r="BT16" i="63"/>
  <c r="BH16" i="63"/>
  <c r="CE16" i="63"/>
  <c r="CL15" i="63"/>
  <c r="CF15" i="63"/>
  <c r="CO15" i="63"/>
  <c r="CW15" i="63"/>
  <c r="CG15" i="63"/>
  <c r="CP15" i="63"/>
  <c r="CJ15" i="63"/>
  <c r="CS15" i="63"/>
  <c r="CK15" i="63"/>
  <c r="CT15" i="63"/>
  <c r="CE15" i="63"/>
  <c r="CN15" i="63"/>
  <c r="CV15" i="63"/>
  <c r="CH15" i="63"/>
  <c r="CI15" i="63"/>
  <c r="CM15" i="63"/>
  <c r="CQ15" i="63"/>
  <c r="CR15" i="63"/>
  <c r="CU15" i="63"/>
  <c r="BH15" i="63"/>
  <c r="BP15" i="63"/>
  <c r="BX15" i="63"/>
  <c r="BI15" i="63"/>
  <c r="BQ15" i="63"/>
  <c r="BY15" i="63"/>
  <c r="BJ15" i="63"/>
  <c r="BR15" i="63"/>
  <c r="BZ15" i="63"/>
  <c r="BK15" i="63"/>
  <c r="BS15" i="63"/>
  <c r="BL15" i="63"/>
  <c r="BT15" i="63"/>
  <c r="BM15" i="63"/>
  <c r="BU15" i="63"/>
  <c r="BV15" i="63"/>
  <c r="BW15" i="63"/>
  <c r="BN15" i="63"/>
  <c r="BO15" i="63"/>
  <c r="BG15" i="63"/>
  <c r="CD15" i="63"/>
  <c r="CX14" i="66"/>
  <c r="CX15" i="64"/>
  <c r="N4" i="23"/>
  <c r="Q4" i="24" s="1"/>
  <c r="CL15" i="65"/>
  <c r="CK15" i="65"/>
  <c r="CT15" i="65"/>
  <c r="CD15" i="65"/>
  <c r="CE15" i="65"/>
  <c r="CN15" i="65"/>
  <c r="CV15" i="65"/>
  <c r="CF15" i="65"/>
  <c r="CG15" i="65"/>
  <c r="CH15" i="65"/>
  <c r="CS15" i="65"/>
  <c r="CI15" i="65"/>
  <c r="CU15" i="65"/>
  <c r="CJ15" i="65"/>
  <c r="CW15" i="65"/>
  <c r="CM15" i="65"/>
  <c r="CO15" i="65"/>
  <c r="CP15" i="65"/>
  <c r="CQ15" i="65"/>
  <c r="CR15" i="65"/>
  <c r="BJ15" i="65"/>
  <c r="BR15" i="65"/>
  <c r="BZ15" i="65"/>
  <c r="BK15" i="65"/>
  <c r="BS15" i="65"/>
  <c r="BL15" i="65"/>
  <c r="BT15" i="65"/>
  <c r="BM15" i="65"/>
  <c r="BU15" i="65"/>
  <c r="BN15" i="65"/>
  <c r="BV15" i="65"/>
  <c r="BG15" i="65"/>
  <c r="BO15" i="65"/>
  <c r="BW15" i="65"/>
  <c r="BH15" i="65"/>
  <c r="BP15" i="65"/>
  <c r="BX15" i="65"/>
  <c r="BI15" i="65"/>
  <c r="BQ15" i="65"/>
  <c r="BY15" i="65"/>
  <c r="N5" i="23"/>
  <c r="Q5" i="24" s="1"/>
  <c r="CL16" i="65"/>
  <c r="CJ16" i="65"/>
  <c r="CS16" i="65"/>
  <c r="CI16" i="65"/>
  <c r="CT16" i="65"/>
  <c r="CK16" i="65"/>
  <c r="CU16" i="65"/>
  <c r="CM16" i="65"/>
  <c r="CV16" i="65"/>
  <c r="CD16" i="65"/>
  <c r="CN16" i="65"/>
  <c r="CW16" i="65"/>
  <c r="CE16" i="65"/>
  <c r="CO16" i="65"/>
  <c r="CF16" i="65"/>
  <c r="CP16" i="65"/>
  <c r="CQ16" i="65"/>
  <c r="CR16" i="65"/>
  <c r="CG16" i="65"/>
  <c r="CH16" i="65"/>
  <c r="BN16" i="65"/>
  <c r="BV16" i="65"/>
  <c r="BG16" i="65"/>
  <c r="BO16" i="65"/>
  <c r="BW16" i="65"/>
  <c r="BH16" i="65"/>
  <c r="BP16" i="65"/>
  <c r="BX16" i="65"/>
  <c r="BI16" i="65"/>
  <c r="BQ16" i="65"/>
  <c r="BY16" i="65"/>
  <c r="BJ16" i="65"/>
  <c r="BR16" i="65"/>
  <c r="BZ16" i="65"/>
  <c r="BK16" i="65"/>
  <c r="BS16" i="65"/>
  <c r="BL16" i="65"/>
  <c r="BT16" i="65"/>
  <c r="BM16" i="65"/>
  <c r="BU16" i="65"/>
  <c r="CX14" i="65"/>
  <c r="H48" i="67"/>
  <c r="V34" i="23" s="1"/>
  <c r="AB34" i="24" s="1"/>
  <c r="BA14" i="72"/>
  <c r="N14" i="72" s="1"/>
  <c r="BB14" i="72"/>
  <c r="Z5" i="23"/>
  <c r="B5" i="25" s="1"/>
  <c r="CL16" i="68"/>
  <c r="CF16" i="68"/>
  <c r="CO16" i="68"/>
  <c r="CW16" i="68"/>
  <c r="BK16" i="68"/>
  <c r="BT16" i="68"/>
  <c r="CG16" i="68"/>
  <c r="CP16" i="68"/>
  <c r="BM16" i="68"/>
  <c r="BU16" i="68"/>
  <c r="CH16" i="68"/>
  <c r="CQ16" i="68"/>
  <c r="BN16" i="68"/>
  <c r="BV16" i="68"/>
  <c r="CI16" i="68"/>
  <c r="CR16" i="68"/>
  <c r="BO16" i="68"/>
  <c r="BW16" i="68"/>
  <c r="CJ16" i="68"/>
  <c r="CS16" i="68"/>
  <c r="BP16" i="68"/>
  <c r="BX16" i="68"/>
  <c r="CK16" i="68"/>
  <c r="CT16" i="68"/>
  <c r="BH16" i="68"/>
  <c r="BQ16" i="68"/>
  <c r="BY16" i="68"/>
  <c r="CM16" i="68"/>
  <c r="CU16" i="68"/>
  <c r="BI16" i="68"/>
  <c r="BR16" i="68"/>
  <c r="BZ16" i="68"/>
  <c r="CE16" i="68"/>
  <c r="CN16" i="68"/>
  <c r="CV16" i="68"/>
  <c r="BJ16" i="68"/>
  <c r="BS16" i="68"/>
  <c r="BL16" i="68"/>
  <c r="BG16" i="68"/>
  <c r="CD16" i="68"/>
  <c r="CL15" i="68"/>
  <c r="CH15" i="68"/>
  <c r="CQ15" i="68"/>
  <c r="BN15" i="68"/>
  <c r="BV15" i="68"/>
  <c r="CI15" i="68"/>
  <c r="CR15" i="68"/>
  <c r="BG15" i="68"/>
  <c r="BO15" i="68"/>
  <c r="BW15" i="68"/>
  <c r="CJ15" i="68"/>
  <c r="CS15" i="68"/>
  <c r="BH15" i="68"/>
  <c r="BP15" i="68"/>
  <c r="BX15" i="68"/>
  <c r="CK15" i="68"/>
  <c r="CT15" i="68"/>
  <c r="BI15" i="68"/>
  <c r="BQ15" i="68"/>
  <c r="BY15" i="68"/>
  <c r="CD15" i="68"/>
  <c r="CM15" i="68"/>
  <c r="CU15" i="68"/>
  <c r="BJ15" i="68"/>
  <c r="BR15" i="68"/>
  <c r="BZ15" i="68"/>
  <c r="CE15" i="68"/>
  <c r="CN15" i="68"/>
  <c r="CV15" i="68"/>
  <c r="BK15" i="68"/>
  <c r="BS15" i="68"/>
  <c r="CF15" i="68"/>
  <c r="CO15" i="68"/>
  <c r="CW15" i="68"/>
  <c r="BL15" i="68"/>
  <c r="BT15" i="68"/>
  <c r="CG15" i="68"/>
  <c r="CP15" i="68"/>
  <c r="BM15" i="68"/>
  <c r="BU15" i="68"/>
  <c r="AX15" i="68"/>
  <c r="CX14" i="68"/>
  <c r="AR15" i="68"/>
  <c r="BA14" i="65"/>
  <c r="N14" i="65" s="1"/>
  <c r="BB14" i="65"/>
  <c r="AM15" i="68"/>
  <c r="AG15" i="68"/>
  <c r="AJ15" i="68"/>
  <c r="AU15" i="68"/>
  <c r="AO15" i="68"/>
  <c r="BB15" i="71"/>
  <c r="AK15" i="68"/>
  <c r="AZ15" i="68"/>
  <c r="AH15" i="68"/>
  <c r="AT15" i="68"/>
  <c r="AY15" i="68"/>
  <c r="AQ15" i="68"/>
  <c r="D15" i="68"/>
  <c r="AL15" i="68"/>
  <c r="AW15" i="68"/>
  <c r="Z4" i="23"/>
  <c r="B4" i="25" s="1"/>
  <c r="AV15" i="68"/>
  <c r="AN15" i="68"/>
  <c r="AP15" i="68"/>
  <c r="AS15" i="68"/>
  <c r="H50" i="65"/>
  <c r="N34" i="23"/>
  <c r="R34" i="24" s="1"/>
  <c r="H51" i="66"/>
  <c r="R34" i="23"/>
  <c r="W34" i="24" s="1"/>
  <c r="H51" i="71"/>
  <c r="AL34" i="23"/>
  <c r="R34" i="25" s="1"/>
  <c r="AB34" i="25"/>
  <c r="H48" i="64"/>
  <c r="A17" i="73"/>
  <c r="AS6" i="23" s="1"/>
  <c r="Z6" i="25" s="1"/>
  <c r="AS5" i="23"/>
  <c r="Z5" i="25" s="1"/>
  <c r="A17" i="70"/>
  <c r="AG5" i="23"/>
  <c r="K5" i="25" s="1"/>
  <c r="AG16" i="70"/>
  <c r="AH5" i="23"/>
  <c r="L5" i="25" s="1"/>
  <c r="AK16" i="70"/>
  <c r="AI16" i="70"/>
  <c r="AJ15" i="70"/>
  <c r="AU16" i="70"/>
  <c r="AY16" i="70"/>
  <c r="AQ16" i="70"/>
  <c r="AN16" i="70"/>
  <c r="AV16" i="70"/>
  <c r="AF3" i="23"/>
  <c r="J3" i="25"/>
  <c r="AT15" i="70"/>
  <c r="AH4" i="23"/>
  <c r="L4" i="25" s="1"/>
  <c r="J4" i="25"/>
  <c r="AF4" i="23"/>
  <c r="AL16" i="70"/>
  <c r="AJ16" i="70"/>
  <c r="AX16" i="70"/>
  <c r="AV4" i="23"/>
  <c r="AD4" i="25"/>
  <c r="T4" i="25"/>
  <c r="AN4" i="23"/>
  <c r="AN3" i="23"/>
  <c r="T3" i="25"/>
  <c r="E3" i="25"/>
  <c r="AB3" i="23"/>
  <c r="AT16" i="70"/>
  <c r="D16" i="70"/>
  <c r="B16" i="67"/>
  <c r="U5" i="23"/>
  <c r="Z5" i="24" s="1"/>
  <c r="A17" i="67"/>
  <c r="B16" i="66"/>
  <c r="Q5" i="23"/>
  <c r="U5" i="24" s="1"/>
  <c r="A17" i="66"/>
  <c r="F4" i="23"/>
  <c r="G4" i="24" s="1"/>
  <c r="AM15" i="63"/>
  <c r="AW15" i="63"/>
  <c r="AZ15" i="63"/>
  <c r="AR15" i="63"/>
  <c r="AJ15" i="63"/>
  <c r="AT15" i="63"/>
  <c r="AO15" i="63"/>
  <c r="AN15" i="63"/>
  <c r="AV15" i="63"/>
  <c r="AY15" i="63"/>
  <c r="AS15" i="63"/>
  <c r="AX15" i="63"/>
  <c r="AK15" i="63"/>
  <c r="AL15" i="63"/>
  <c r="AU15" i="63"/>
  <c r="AG15" i="63"/>
  <c r="AQ15" i="63"/>
  <c r="AH15" i="63"/>
  <c r="AP15" i="63"/>
  <c r="AI15" i="63"/>
  <c r="D15" i="63"/>
  <c r="H4" i="23" s="1"/>
  <c r="J4" i="24" s="1"/>
  <c r="BA15" i="71"/>
  <c r="N15" i="71" s="1"/>
  <c r="AS16" i="70"/>
  <c r="AX15" i="70"/>
  <c r="BB14" i="69"/>
  <c r="AL15" i="70"/>
  <c r="AO16" i="70"/>
  <c r="AH16" i="70"/>
  <c r="AW16" i="70"/>
  <c r="AZ16" i="70"/>
  <c r="AR15" i="70"/>
  <c r="AM16" i="70"/>
  <c r="AR16" i="70"/>
  <c r="H49" i="68"/>
  <c r="D5" i="74"/>
  <c r="D25" i="74" s="1"/>
  <c r="D27" i="74" s="1"/>
  <c r="D15" i="70"/>
  <c r="AS15" i="70"/>
  <c r="AO15" i="70"/>
  <c r="AI15" i="70"/>
  <c r="AW15" i="70"/>
  <c r="AY15" i="70"/>
  <c r="AG15" i="70"/>
  <c r="AN15" i="70"/>
  <c r="AP15" i="70"/>
  <c r="AH15" i="70"/>
  <c r="AV15" i="70"/>
  <c r="AQ15" i="70"/>
  <c r="AM15" i="70"/>
  <c r="AZ15" i="70"/>
  <c r="AU15" i="70"/>
  <c r="AK15" i="70"/>
  <c r="AL15" i="65"/>
  <c r="AT15" i="65"/>
  <c r="AU15" i="65"/>
  <c r="D15" i="65"/>
  <c r="P4" i="23" s="1"/>
  <c r="T4" i="24" s="1"/>
  <c r="AI15" i="65"/>
  <c r="AJ15" i="65"/>
  <c r="B16" i="73"/>
  <c r="AR15" i="65"/>
  <c r="AK15" i="65"/>
  <c r="AX15" i="65"/>
  <c r="AO15" i="65"/>
  <c r="AP15" i="65"/>
  <c r="AG15" i="65"/>
  <c r="AQ15" i="65"/>
  <c r="AZ15" i="65"/>
  <c r="AS15" i="65"/>
  <c r="AN15" i="65"/>
  <c r="AW15" i="65"/>
  <c r="AY15" i="65"/>
  <c r="AV15" i="65"/>
  <c r="AM15" i="65"/>
  <c r="BB14" i="66"/>
  <c r="BA14" i="69"/>
  <c r="N14" i="69" s="1"/>
  <c r="AZ15" i="67"/>
  <c r="AR15" i="67"/>
  <c r="AW15" i="67"/>
  <c r="AG15" i="67"/>
  <c r="AO15" i="67"/>
  <c r="AQ15" i="67"/>
  <c r="AJ15" i="67"/>
  <c r="AV15" i="67"/>
  <c r="AY15" i="67"/>
  <c r="AN15" i="67"/>
  <c r="AI15" i="67"/>
  <c r="AX15" i="67"/>
  <c r="D15" i="67"/>
  <c r="X4" i="23" s="1"/>
  <c r="AD4" i="24" s="1"/>
  <c r="AL15" i="67"/>
  <c r="AU15" i="67"/>
  <c r="AK15" i="67"/>
  <c r="AT15" i="67"/>
  <c r="AH15" i="67"/>
  <c r="AM15" i="67"/>
  <c r="AP15" i="67"/>
  <c r="AS15" i="67"/>
  <c r="BA14" i="66"/>
  <c r="N14" i="66" s="1"/>
  <c r="AH15" i="65"/>
  <c r="BB14" i="64"/>
  <c r="CA14" i="64"/>
  <c r="O14" i="64" s="1"/>
  <c r="BA14" i="64"/>
  <c r="N14" i="64" s="1"/>
  <c r="H50" i="63"/>
  <c r="I49" i="71"/>
  <c r="I50" i="73"/>
  <c r="I49" i="73"/>
  <c r="I49" i="72"/>
  <c r="I49" i="66"/>
  <c r="I49" i="63"/>
  <c r="I49" i="65"/>
  <c r="I48" i="70"/>
  <c r="I48" i="72"/>
  <c r="I50" i="69"/>
  <c r="I48" i="63"/>
  <c r="I49" i="69"/>
  <c r="I48" i="68"/>
  <c r="I47" i="68"/>
  <c r="I50" i="64"/>
  <c r="I49" i="64"/>
  <c r="I50" i="71"/>
  <c r="I48" i="65"/>
  <c r="I49" i="70"/>
  <c r="I50" i="66"/>
  <c r="I50" i="67"/>
  <c r="I49" i="67"/>
  <c r="H51" i="73"/>
  <c r="H50" i="70"/>
  <c r="H51" i="69"/>
  <c r="BB14" i="71"/>
  <c r="BA14" i="71"/>
  <c r="N14" i="71" s="1"/>
  <c r="BB14" i="63"/>
  <c r="H50" i="72"/>
  <c r="B17" i="73"/>
  <c r="A18" i="73"/>
  <c r="AS7" i="23" s="1"/>
  <c r="Z7" i="25" s="1"/>
  <c r="AW15" i="72"/>
  <c r="AO15" i="72"/>
  <c r="AG15" i="72"/>
  <c r="AV15" i="72"/>
  <c r="AN15" i="72"/>
  <c r="AU15" i="72"/>
  <c r="AM15" i="72"/>
  <c r="AT15" i="72"/>
  <c r="AL15" i="72"/>
  <c r="AS15" i="72"/>
  <c r="AK15" i="72"/>
  <c r="D15" i="72"/>
  <c r="AZ15" i="72"/>
  <c r="AR15" i="72"/>
  <c r="AJ15" i="72"/>
  <c r="AY15" i="72"/>
  <c r="AQ15" i="72"/>
  <c r="AI15" i="72"/>
  <c r="AX15" i="72"/>
  <c r="AP15" i="72"/>
  <c r="AH15" i="72"/>
  <c r="B16" i="72"/>
  <c r="A17" i="72"/>
  <c r="AO6" i="23" s="1"/>
  <c r="U6" i="25" s="1"/>
  <c r="AV16" i="71"/>
  <c r="AN16" i="71"/>
  <c r="AU16" i="71"/>
  <c r="AM16" i="71"/>
  <c r="AT16" i="71"/>
  <c r="AL16" i="71"/>
  <c r="AS16" i="71"/>
  <c r="AK16" i="71"/>
  <c r="D16" i="71"/>
  <c r="AW16" i="71"/>
  <c r="AG16" i="71"/>
  <c r="AR16" i="71"/>
  <c r="AQ16" i="71"/>
  <c r="AP16" i="71"/>
  <c r="AO16" i="71"/>
  <c r="AZ16" i="71"/>
  <c r="AJ16" i="71"/>
  <c r="AY16" i="71"/>
  <c r="AI16" i="71"/>
  <c r="AX16" i="71"/>
  <c r="AH16" i="71"/>
  <c r="A18" i="71"/>
  <c r="AK7" i="23" s="1"/>
  <c r="P7" i="25" s="1"/>
  <c r="B17" i="71"/>
  <c r="B17" i="69"/>
  <c r="A18" i="69"/>
  <c r="AC7" i="23" s="1"/>
  <c r="F7" i="25" s="1"/>
  <c r="AY16" i="69"/>
  <c r="AQ16" i="69"/>
  <c r="AI16" i="69"/>
  <c r="AX16" i="69"/>
  <c r="AP16" i="69"/>
  <c r="AH16" i="69"/>
  <c r="AW16" i="69"/>
  <c r="AO16" i="69"/>
  <c r="AG16" i="69"/>
  <c r="AV16" i="69"/>
  <c r="AN16" i="69"/>
  <c r="AU16" i="69"/>
  <c r="AM16" i="69"/>
  <c r="AR16" i="69"/>
  <c r="AL16" i="69"/>
  <c r="AS16" i="69"/>
  <c r="AK16" i="69"/>
  <c r="AJ16" i="69"/>
  <c r="D16" i="69"/>
  <c r="AZ16" i="69"/>
  <c r="AT16" i="69"/>
  <c r="BB15" i="69"/>
  <c r="BA15" i="69"/>
  <c r="BB14" i="68"/>
  <c r="BA14" i="68"/>
  <c r="AU16" i="68"/>
  <c r="AM16" i="68"/>
  <c r="AT16" i="68"/>
  <c r="AL16" i="68"/>
  <c r="AR16" i="68"/>
  <c r="AH16" i="68"/>
  <c r="AQ16" i="68"/>
  <c r="AG16" i="68"/>
  <c r="AZ16" i="68"/>
  <c r="AP16" i="68"/>
  <c r="AY16" i="68"/>
  <c r="AO16" i="68"/>
  <c r="D16" i="68"/>
  <c r="AX16" i="68"/>
  <c r="AN16" i="68"/>
  <c r="AW16" i="68"/>
  <c r="AK16" i="68"/>
  <c r="AV16" i="68"/>
  <c r="AJ16" i="68"/>
  <c r="AS16" i="68"/>
  <c r="AI16" i="68"/>
  <c r="A18" i="68"/>
  <c r="Y7" i="23" s="1"/>
  <c r="A7" i="25" s="1"/>
  <c r="B17" i="68"/>
  <c r="BB15" i="66"/>
  <c r="BA15" i="66"/>
  <c r="A18" i="65"/>
  <c r="M7" i="23" s="1"/>
  <c r="P7" i="24" s="1"/>
  <c r="B17" i="65"/>
  <c r="AS16" i="65"/>
  <c r="AK16" i="65"/>
  <c r="D16" i="65"/>
  <c r="P5" i="23" s="1"/>
  <c r="T5" i="24" s="1"/>
  <c r="AZ16" i="65"/>
  <c r="AR16" i="65"/>
  <c r="AJ16" i="65"/>
  <c r="AY16" i="65"/>
  <c r="AQ16" i="65"/>
  <c r="AI16" i="65"/>
  <c r="AX16" i="65"/>
  <c r="AP16" i="65"/>
  <c r="AH16" i="65"/>
  <c r="AW16" i="65"/>
  <c r="AO16" i="65"/>
  <c r="AG16" i="65"/>
  <c r="AV16" i="65"/>
  <c r="AN16" i="65"/>
  <c r="AU16" i="65"/>
  <c r="AM16" i="65"/>
  <c r="AT16" i="65"/>
  <c r="AL16" i="65"/>
  <c r="BB15" i="64"/>
  <c r="BA15" i="64"/>
  <c r="N15" i="64" s="1"/>
  <c r="AW16" i="64"/>
  <c r="AO16" i="64"/>
  <c r="AG16" i="64"/>
  <c r="AV16" i="64"/>
  <c r="AN16" i="64"/>
  <c r="AU16" i="64"/>
  <c r="AM16" i="64"/>
  <c r="AT16" i="64"/>
  <c r="AL16" i="64"/>
  <c r="AS16" i="64"/>
  <c r="AK16" i="64"/>
  <c r="D16" i="64"/>
  <c r="L5" i="23" s="1"/>
  <c r="O5" i="24" s="1"/>
  <c r="AZ16" i="64"/>
  <c r="AR16" i="64"/>
  <c r="AJ16" i="64"/>
  <c r="AY16" i="64"/>
  <c r="AQ16" i="64"/>
  <c r="AI16" i="64"/>
  <c r="AX16" i="64"/>
  <c r="AP16" i="64"/>
  <c r="AH16" i="64"/>
  <c r="A18" i="64"/>
  <c r="I7" i="23" s="1"/>
  <c r="K7" i="24" s="1"/>
  <c r="B17" i="64"/>
  <c r="CA15" i="64"/>
  <c r="O15" i="64" s="1"/>
  <c r="BA14" i="63"/>
  <c r="N14" i="63" s="1"/>
  <c r="AW16" i="63"/>
  <c r="AO16" i="63"/>
  <c r="AG16" i="63"/>
  <c r="AV16" i="63"/>
  <c r="AN16" i="63"/>
  <c r="AT16" i="63"/>
  <c r="AU16" i="63"/>
  <c r="AM16" i="63"/>
  <c r="AL16" i="63"/>
  <c r="AS16" i="63"/>
  <c r="AK16" i="63"/>
  <c r="D16" i="63"/>
  <c r="H5" i="23" s="1"/>
  <c r="J5" i="24" s="1"/>
  <c r="AZ16" i="63"/>
  <c r="AR16" i="63"/>
  <c r="AJ16" i="63"/>
  <c r="AY16" i="63"/>
  <c r="AX16" i="63"/>
  <c r="AP16" i="63"/>
  <c r="AQ16" i="63"/>
  <c r="AI16" i="63"/>
  <c r="AH16" i="63"/>
  <c r="B17" i="63"/>
  <c r="A18" i="63"/>
  <c r="E7" i="23" s="1"/>
  <c r="F7" i="24" s="1"/>
  <c r="AA15" i="41"/>
  <c r="Z16" i="41"/>
  <c r="Z17" i="41"/>
  <c r="Z18" i="41"/>
  <c r="Z19" i="41"/>
  <c r="Z22" i="41"/>
  <c r="Z23" i="41"/>
  <c r="Z24" i="41"/>
  <c r="Z25" i="41"/>
  <c r="Z26" i="41"/>
  <c r="Z27" i="41"/>
  <c r="Z29" i="41"/>
  <c r="Z31" i="41"/>
  <c r="Z32" i="41"/>
  <c r="Z33" i="41"/>
  <c r="Z34" i="41"/>
  <c r="Z35" i="41"/>
  <c r="Z36" i="41"/>
  <c r="Z37" i="41"/>
  <c r="Z38" i="41"/>
  <c r="Z39" i="41"/>
  <c r="Z40" i="41"/>
  <c r="Z41" i="41"/>
  <c r="Z42" i="41"/>
  <c r="Z44" i="41"/>
  <c r="Z45" i="41"/>
  <c r="A57" i="41"/>
  <c r="A52" i="41"/>
  <c r="A51" i="41"/>
  <c r="A50" i="41"/>
  <c r="A48" i="41"/>
  <c r="B17" i="46"/>
  <c r="B18" i="46"/>
  <c r="B19" i="46"/>
  <c r="B20" i="46"/>
  <c r="B21" i="46"/>
  <c r="A17" i="46"/>
  <c r="A18" i="46"/>
  <c r="A19" i="46"/>
  <c r="A20" i="46"/>
  <c r="A21" i="46"/>
  <c r="C5" i="46"/>
  <c r="D5" i="46"/>
  <c r="E5" i="46"/>
  <c r="F5" i="46"/>
  <c r="G5" i="46"/>
  <c r="C6" i="46"/>
  <c r="D6" i="46"/>
  <c r="E6" i="46"/>
  <c r="F6" i="46"/>
  <c r="G6" i="46"/>
  <c r="C7" i="46"/>
  <c r="D7" i="46"/>
  <c r="E7" i="46"/>
  <c r="F7" i="46"/>
  <c r="G7" i="46"/>
  <c r="C8" i="46"/>
  <c r="D8" i="46"/>
  <c r="E8" i="46"/>
  <c r="F8" i="46"/>
  <c r="G8" i="46"/>
  <c r="C9" i="46"/>
  <c r="D9" i="46"/>
  <c r="E9" i="46"/>
  <c r="F9" i="46"/>
  <c r="G9" i="46"/>
  <c r="C10" i="46"/>
  <c r="D10" i="46"/>
  <c r="E10" i="46"/>
  <c r="F10" i="46"/>
  <c r="G10" i="46"/>
  <c r="C11" i="46"/>
  <c r="D11" i="46"/>
  <c r="E11" i="46"/>
  <c r="F11" i="46"/>
  <c r="G11" i="46"/>
  <c r="C12" i="46"/>
  <c r="D12" i="46"/>
  <c r="E12" i="46"/>
  <c r="F12" i="46"/>
  <c r="G12" i="46"/>
  <c r="C13" i="46"/>
  <c r="D13" i="46"/>
  <c r="E13" i="46"/>
  <c r="F13" i="46"/>
  <c r="G13" i="46"/>
  <c r="C14" i="46"/>
  <c r="D14" i="46"/>
  <c r="E14" i="46"/>
  <c r="F14" i="46"/>
  <c r="G14" i="46"/>
  <c r="C15" i="46"/>
  <c r="D15" i="46"/>
  <c r="E15" i="46"/>
  <c r="F15" i="46"/>
  <c r="G15" i="46"/>
  <c r="C16" i="46"/>
  <c r="D16" i="46"/>
  <c r="E16" i="46"/>
  <c r="F16" i="46"/>
  <c r="G16" i="46"/>
  <c r="C17" i="46"/>
  <c r="D17" i="46"/>
  <c r="E17" i="46"/>
  <c r="F17" i="46"/>
  <c r="G17" i="46"/>
  <c r="C18" i="46"/>
  <c r="D18" i="46"/>
  <c r="E18" i="46"/>
  <c r="F18" i="46"/>
  <c r="G18" i="46"/>
  <c r="C19" i="46"/>
  <c r="D19" i="46"/>
  <c r="E19" i="46"/>
  <c r="F19" i="46"/>
  <c r="G19" i="46"/>
  <c r="C20" i="46"/>
  <c r="D20" i="46"/>
  <c r="E20" i="46"/>
  <c r="F20" i="46"/>
  <c r="G20" i="46"/>
  <c r="C21" i="46"/>
  <c r="D21" i="46"/>
  <c r="E21" i="46"/>
  <c r="F21" i="46"/>
  <c r="G21" i="46"/>
  <c r="D4" i="46"/>
  <c r="E4" i="46"/>
  <c r="F4" i="46"/>
  <c r="G4" i="46"/>
  <c r="C4" i="46"/>
  <c r="A1" i="46"/>
  <c r="Q34" i="43" l="1"/>
  <c r="A22" i="47"/>
  <c r="Q14" i="67"/>
  <c r="Q14" i="73"/>
  <c r="B21" i="47"/>
  <c r="BA15" i="73"/>
  <c r="N15" i="73" s="1"/>
  <c r="CA15" i="73"/>
  <c r="O15" i="73" s="1"/>
  <c r="FX15" i="41"/>
  <c r="FV15" i="41"/>
  <c r="H51" i="67"/>
  <c r="AD6" i="23"/>
  <c r="G6" i="25" s="1"/>
  <c r="CL17" i="69"/>
  <c r="CG17" i="69"/>
  <c r="CQ17" i="69"/>
  <c r="CH17" i="69"/>
  <c r="CR17" i="69"/>
  <c r="CI17" i="69"/>
  <c r="CS17" i="69"/>
  <c r="CN17" i="69"/>
  <c r="CV17" i="69"/>
  <c r="CD17" i="69"/>
  <c r="CO17" i="69"/>
  <c r="CW17" i="69"/>
  <c r="CF17" i="69"/>
  <c r="CP17" i="69"/>
  <c r="CK17" i="69"/>
  <c r="CM17" i="69"/>
  <c r="CT17" i="69"/>
  <c r="CU17" i="69"/>
  <c r="BL17" i="69"/>
  <c r="BU17" i="69"/>
  <c r="BN17" i="69"/>
  <c r="BV17" i="69"/>
  <c r="BP17" i="69"/>
  <c r="BX17" i="69"/>
  <c r="BG17" i="69"/>
  <c r="BQ17" i="69"/>
  <c r="BY17" i="69"/>
  <c r="BI17" i="69"/>
  <c r="BR17" i="69"/>
  <c r="BZ17" i="69"/>
  <c r="BJ17" i="69"/>
  <c r="BS17" i="69"/>
  <c r="BK17" i="69"/>
  <c r="BT17" i="69"/>
  <c r="BO17" i="69"/>
  <c r="BW17" i="69"/>
  <c r="CE17" i="69"/>
  <c r="BM17" i="69"/>
  <c r="BH17" i="69"/>
  <c r="CJ17" i="69"/>
  <c r="CX16" i="69"/>
  <c r="AT6" i="23"/>
  <c r="AA6" i="25" s="1"/>
  <c r="CL17" i="73"/>
  <c r="CK17" i="73"/>
  <c r="CT17" i="73"/>
  <c r="CD17" i="73"/>
  <c r="CM17" i="73"/>
  <c r="CU17" i="73"/>
  <c r="CE17" i="73"/>
  <c r="CN17" i="73"/>
  <c r="CV17" i="73"/>
  <c r="CF17" i="73"/>
  <c r="CO17" i="73"/>
  <c r="CW17" i="73"/>
  <c r="CG17" i="73"/>
  <c r="CP17" i="73"/>
  <c r="CH17" i="73"/>
  <c r="CQ17" i="73"/>
  <c r="CI17" i="73"/>
  <c r="CR17" i="73"/>
  <c r="CJ17" i="73"/>
  <c r="CS17" i="73"/>
  <c r="BH17" i="73"/>
  <c r="BP17" i="73"/>
  <c r="BX17" i="73"/>
  <c r="BI17" i="73"/>
  <c r="BQ17" i="73"/>
  <c r="BY17" i="73"/>
  <c r="BJ17" i="73"/>
  <c r="BR17" i="73"/>
  <c r="BZ17" i="73"/>
  <c r="BK17" i="73"/>
  <c r="BS17" i="73"/>
  <c r="BL17" i="73"/>
  <c r="BT17" i="73"/>
  <c r="BO17" i="73"/>
  <c r="BV17" i="73"/>
  <c r="BW17" i="73"/>
  <c r="BG17" i="73"/>
  <c r="BM17" i="73"/>
  <c r="BN17" i="73"/>
  <c r="BU17" i="73"/>
  <c r="AL6" i="23"/>
  <c r="Q6" i="25" s="1"/>
  <c r="CL17" i="71"/>
  <c r="CH17" i="71"/>
  <c r="CQ17" i="71"/>
  <c r="CD17" i="71"/>
  <c r="CN17" i="71"/>
  <c r="CW17" i="71"/>
  <c r="CJ17" i="71"/>
  <c r="CU17" i="71"/>
  <c r="CK17" i="71"/>
  <c r="CV17" i="71"/>
  <c r="CM17" i="71"/>
  <c r="CO17" i="71"/>
  <c r="CE17" i="71"/>
  <c r="CP17" i="71"/>
  <c r="CF17" i="71"/>
  <c r="CR17" i="71"/>
  <c r="CG17" i="71"/>
  <c r="CS17" i="71"/>
  <c r="CI17" i="71"/>
  <c r="CT17" i="71"/>
  <c r="BG17" i="71"/>
  <c r="BO17" i="71"/>
  <c r="BW17" i="71"/>
  <c r="BH17" i="71"/>
  <c r="BP17" i="71"/>
  <c r="BX17" i="71"/>
  <c r="BI17" i="71"/>
  <c r="BQ17" i="71"/>
  <c r="BY17" i="71"/>
  <c r="BJ17" i="71"/>
  <c r="BR17" i="71"/>
  <c r="BZ17" i="71"/>
  <c r="BK17" i="71"/>
  <c r="BS17" i="71"/>
  <c r="BL17" i="71"/>
  <c r="BT17" i="71"/>
  <c r="BM17" i="71"/>
  <c r="BU17" i="71"/>
  <c r="BN17" i="71"/>
  <c r="BV17" i="71"/>
  <c r="AP5" i="23"/>
  <c r="V5" i="25" s="1"/>
  <c r="CL16" i="72"/>
  <c r="CF16" i="72"/>
  <c r="CP16" i="72"/>
  <c r="CG16" i="72"/>
  <c r="CR16" i="72"/>
  <c r="CH16" i="72"/>
  <c r="CS16" i="72"/>
  <c r="CI16" i="72"/>
  <c r="CT16" i="72"/>
  <c r="CD16" i="72"/>
  <c r="CW16" i="72"/>
  <c r="CK16" i="72"/>
  <c r="CM16" i="72"/>
  <c r="CN16" i="72"/>
  <c r="CO16" i="72"/>
  <c r="CQ16" i="72"/>
  <c r="CU16" i="72"/>
  <c r="CV16" i="72"/>
  <c r="BP16" i="72"/>
  <c r="BX16" i="72"/>
  <c r="BI16" i="72"/>
  <c r="BR16" i="72"/>
  <c r="BZ16" i="72"/>
  <c r="BK16" i="72"/>
  <c r="BT16" i="72"/>
  <c r="BL16" i="72"/>
  <c r="BU16" i="72"/>
  <c r="BN16" i="72"/>
  <c r="BV16" i="72"/>
  <c r="BO16" i="72"/>
  <c r="BW16" i="72"/>
  <c r="BJ16" i="72"/>
  <c r="BQ16" i="72"/>
  <c r="BS16" i="72"/>
  <c r="BY16" i="72"/>
  <c r="BG16" i="72"/>
  <c r="CE16" i="72"/>
  <c r="BM16" i="72"/>
  <c r="BH16" i="72"/>
  <c r="CJ16" i="72"/>
  <c r="CX15" i="70"/>
  <c r="AK16" i="73"/>
  <c r="CL16" i="73"/>
  <c r="CF16" i="73"/>
  <c r="CO16" i="73"/>
  <c r="CW16" i="73"/>
  <c r="CG16" i="73"/>
  <c r="CP16" i="73"/>
  <c r="CH16" i="73"/>
  <c r="CQ16" i="73"/>
  <c r="CI16" i="73"/>
  <c r="CR16" i="73"/>
  <c r="CJ16" i="73"/>
  <c r="CS16" i="73"/>
  <c r="CK16" i="73"/>
  <c r="CT16" i="73"/>
  <c r="CD16" i="73"/>
  <c r="CM16" i="73"/>
  <c r="CU16" i="73"/>
  <c r="CE16" i="73"/>
  <c r="CN16" i="73"/>
  <c r="CV16" i="73"/>
  <c r="BL16" i="73"/>
  <c r="BT16" i="73"/>
  <c r="BM16" i="73"/>
  <c r="BU16" i="73"/>
  <c r="BN16" i="73"/>
  <c r="BV16" i="73"/>
  <c r="BG16" i="73"/>
  <c r="BO16" i="73"/>
  <c r="BW16" i="73"/>
  <c r="BH16" i="73"/>
  <c r="BP16" i="73"/>
  <c r="BX16" i="73"/>
  <c r="BQ16" i="73"/>
  <c r="BS16" i="73"/>
  <c r="BY16" i="73"/>
  <c r="BZ16" i="73"/>
  <c r="BI16" i="73"/>
  <c r="BJ16" i="73"/>
  <c r="BK16" i="73"/>
  <c r="BR16" i="73"/>
  <c r="CL16" i="67"/>
  <c r="CF16" i="67"/>
  <c r="CO16" i="67"/>
  <c r="CW16" i="67"/>
  <c r="CG16" i="67"/>
  <c r="CP16" i="67"/>
  <c r="CH16" i="67"/>
  <c r="CQ16" i="67"/>
  <c r="CD16" i="67"/>
  <c r="CS16" i="67"/>
  <c r="CE16" i="67"/>
  <c r="CT16" i="67"/>
  <c r="CI16" i="67"/>
  <c r="CU16" i="67"/>
  <c r="CJ16" i="67"/>
  <c r="CV16" i="67"/>
  <c r="CK16" i="67"/>
  <c r="CM16" i="67"/>
  <c r="CR16" i="67"/>
  <c r="CN16" i="67"/>
  <c r="BG16" i="67"/>
  <c r="BO16" i="67"/>
  <c r="BW16" i="67"/>
  <c r="BH16" i="67"/>
  <c r="BP16" i="67"/>
  <c r="BX16" i="67"/>
  <c r="BJ16" i="67"/>
  <c r="BR16" i="67"/>
  <c r="BZ16" i="67"/>
  <c r="BK16" i="67"/>
  <c r="BS16" i="67"/>
  <c r="BL16" i="67"/>
  <c r="BT16" i="67"/>
  <c r="BM16" i="67"/>
  <c r="BU16" i="67"/>
  <c r="BN16" i="67"/>
  <c r="BV16" i="67"/>
  <c r="BI16" i="67"/>
  <c r="BY16" i="67"/>
  <c r="BQ16" i="67"/>
  <c r="CX15" i="67"/>
  <c r="P15" i="67" s="1"/>
  <c r="CX15" i="73"/>
  <c r="P15" i="73" s="1"/>
  <c r="CX16" i="71"/>
  <c r="CX16" i="70"/>
  <c r="CX15" i="72"/>
  <c r="N6" i="23"/>
  <c r="Q6" i="24" s="1"/>
  <c r="CL17" i="65"/>
  <c r="CH17" i="65"/>
  <c r="CQ17" i="65"/>
  <c r="CJ17" i="65"/>
  <c r="CT17" i="65"/>
  <c r="CK17" i="65"/>
  <c r="CU17" i="65"/>
  <c r="CM17" i="65"/>
  <c r="CV17" i="65"/>
  <c r="CN17" i="65"/>
  <c r="CW17" i="65"/>
  <c r="CE17" i="65"/>
  <c r="CO17" i="65"/>
  <c r="CF17" i="65"/>
  <c r="CP17" i="65"/>
  <c r="CG17" i="65"/>
  <c r="CI17" i="65"/>
  <c r="CR17" i="65"/>
  <c r="CS17" i="65"/>
  <c r="BK17" i="65"/>
  <c r="BS17" i="65"/>
  <c r="BL17" i="65"/>
  <c r="BT17" i="65"/>
  <c r="BM17" i="65"/>
  <c r="BU17" i="65"/>
  <c r="BN17" i="65"/>
  <c r="BV17" i="65"/>
  <c r="BO17" i="65"/>
  <c r="BW17" i="65"/>
  <c r="BH17" i="65"/>
  <c r="BP17" i="65"/>
  <c r="BX17" i="65"/>
  <c r="BI17" i="65"/>
  <c r="BQ17" i="65"/>
  <c r="BY17" i="65"/>
  <c r="BJ17" i="65"/>
  <c r="BR17" i="65"/>
  <c r="BZ17" i="65"/>
  <c r="BG17" i="65"/>
  <c r="CD17" i="65"/>
  <c r="CX16" i="64"/>
  <c r="F6" i="23"/>
  <c r="G6" i="24" s="1"/>
  <c r="CL17" i="63"/>
  <c r="CJ17" i="63"/>
  <c r="CT17" i="63"/>
  <c r="CM17" i="63"/>
  <c r="CU17" i="63"/>
  <c r="CE17" i="63"/>
  <c r="CP17" i="63"/>
  <c r="CG17" i="63"/>
  <c r="CQ17" i="63"/>
  <c r="CI17" i="63"/>
  <c r="CS17" i="63"/>
  <c r="CO17" i="63"/>
  <c r="CR17" i="63"/>
  <c r="CV17" i="63"/>
  <c r="CW17" i="63"/>
  <c r="CD17" i="63"/>
  <c r="CH17" i="63"/>
  <c r="CN17" i="63"/>
  <c r="BJ17" i="63"/>
  <c r="BS17" i="63"/>
  <c r="BK17" i="63"/>
  <c r="BT17" i="63"/>
  <c r="BL17" i="63"/>
  <c r="BU17" i="63"/>
  <c r="BM17" i="63"/>
  <c r="BV17" i="63"/>
  <c r="BO17" i="63"/>
  <c r="BW17" i="63"/>
  <c r="BP17" i="63"/>
  <c r="BX17" i="63"/>
  <c r="BQ17" i="63"/>
  <c r="BR17" i="63"/>
  <c r="BH17" i="63"/>
  <c r="BY17" i="63"/>
  <c r="BZ17" i="63"/>
  <c r="BG17" i="63"/>
  <c r="BI17" i="63"/>
  <c r="CK17" i="63"/>
  <c r="CF17" i="63"/>
  <c r="BN17" i="63"/>
  <c r="J6" i="23"/>
  <c r="L6" i="24" s="1"/>
  <c r="CL17" i="64"/>
  <c r="CM17" i="64"/>
  <c r="CU17" i="64"/>
  <c r="CD17" i="64"/>
  <c r="CN17" i="64"/>
  <c r="CV17" i="64"/>
  <c r="CE17" i="64"/>
  <c r="CO17" i="64"/>
  <c r="CW17" i="64"/>
  <c r="CJ17" i="64"/>
  <c r="CK17" i="64"/>
  <c r="CP17" i="64"/>
  <c r="CQ17" i="64"/>
  <c r="CR17" i="64"/>
  <c r="CF17" i="64"/>
  <c r="CS17" i="64"/>
  <c r="CG17" i="64"/>
  <c r="CT17" i="64"/>
  <c r="CI17" i="64"/>
  <c r="BO17" i="64"/>
  <c r="BW17" i="64"/>
  <c r="BH17" i="64"/>
  <c r="BJ17" i="64"/>
  <c r="BS17" i="64"/>
  <c r="BN17" i="64"/>
  <c r="BY17" i="64"/>
  <c r="BP17" i="64"/>
  <c r="BZ17" i="64"/>
  <c r="BQ17" i="64"/>
  <c r="BR17" i="64"/>
  <c r="BG17" i="64"/>
  <c r="BT17" i="64"/>
  <c r="BI17" i="64"/>
  <c r="BU17" i="64"/>
  <c r="BV17" i="64"/>
  <c r="BX17" i="64"/>
  <c r="BL17" i="64"/>
  <c r="BM17" i="64"/>
  <c r="CH17" i="64"/>
  <c r="BK17" i="64"/>
  <c r="CL16" i="66"/>
  <c r="CD16" i="66"/>
  <c r="CN16" i="66"/>
  <c r="CV16" i="66"/>
  <c r="CF16" i="66"/>
  <c r="CO16" i="66"/>
  <c r="CW16" i="66"/>
  <c r="CG16" i="66"/>
  <c r="CP16" i="66"/>
  <c r="CH16" i="66"/>
  <c r="CQ16" i="66"/>
  <c r="CI16" i="66"/>
  <c r="CR16" i="66"/>
  <c r="CJ16" i="66"/>
  <c r="CS16" i="66"/>
  <c r="CK16" i="66"/>
  <c r="CT16" i="66"/>
  <c r="CM16" i="66"/>
  <c r="CU16" i="66"/>
  <c r="BJ16" i="66"/>
  <c r="BR16" i="66"/>
  <c r="BZ16" i="66"/>
  <c r="BK16" i="66"/>
  <c r="BS16" i="66"/>
  <c r="BL16" i="66"/>
  <c r="BT16" i="66"/>
  <c r="BM16" i="66"/>
  <c r="BU16" i="66"/>
  <c r="BN16" i="66"/>
  <c r="BV16" i="66"/>
  <c r="BO16" i="66"/>
  <c r="BW16" i="66"/>
  <c r="BG16" i="66"/>
  <c r="BP16" i="66"/>
  <c r="BX16" i="66"/>
  <c r="BI16" i="66"/>
  <c r="BQ16" i="66"/>
  <c r="BY16" i="66"/>
  <c r="BH16" i="66"/>
  <c r="CE16" i="66"/>
  <c r="CX15" i="63"/>
  <c r="CX15" i="65"/>
  <c r="CX16" i="65"/>
  <c r="CX16" i="63"/>
  <c r="AB4" i="23"/>
  <c r="E4" i="25" s="1"/>
  <c r="AB5" i="23"/>
  <c r="E5" i="25" s="1"/>
  <c r="CX15" i="68"/>
  <c r="CL17" i="68"/>
  <c r="CN17" i="68"/>
  <c r="CV17" i="68"/>
  <c r="BI17" i="68"/>
  <c r="BR17" i="68"/>
  <c r="BZ17" i="68"/>
  <c r="CD17" i="68"/>
  <c r="CO17" i="68"/>
  <c r="CW17" i="68"/>
  <c r="BJ17" i="68"/>
  <c r="BS17" i="68"/>
  <c r="CF17" i="68"/>
  <c r="CP17" i="68"/>
  <c r="BK17" i="68"/>
  <c r="BT17" i="68"/>
  <c r="CG17" i="68"/>
  <c r="CQ17" i="68"/>
  <c r="BL17" i="68"/>
  <c r="BU17" i="68"/>
  <c r="CH17" i="68"/>
  <c r="CR17" i="68"/>
  <c r="BN17" i="68"/>
  <c r="BV17" i="68"/>
  <c r="CI17" i="68"/>
  <c r="CS17" i="68"/>
  <c r="BO17" i="68"/>
  <c r="BW17" i="68"/>
  <c r="CK17" i="68"/>
  <c r="CT17" i="68"/>
  <c r="BP17" i="68"/>
  <c r="BX17" i="68"/>
  <c r="CM17" i="68"/>
  <c r="CU17" i="68"/>
  <c r="BG17" i="68"/>
  <c r="BQ17" i="68"/>
  <c r="BY17" i="68"/>
  <c r="BH17" i="68"/>
  <c r="CE17" i="68"/>
  <c r="CJ17" i="68"/>
  <c r="BM17" i="68"/>
  <c r="CX16" i="68"/>
  <c r="BB15" i="68"/>
  <c r="BA15" i="68"/>
  <c r="N15" i="68" s="1"/>
  <c r="H51" i="64"/>
  <c r="J34" i="23"/>
  <c r="BB16" i="70"/>
  <c r="AG6" i="23"/>
  <c r="K6" i="25" s="1"/>
  <c r="A18" i="70"/>
  <c r="B17" i="70"/>
  <c r="T5" i="25"/>
  <c r="AN5" i="23"/>
  <c r="O5" i="25"/>
  <c r="AJ5" i="23"/>
  <c r="AT5" i="23"/>
  <c r="AA5" i="25" s="1"/>
  <c r="AJ4" i="23"/>
  <c r="O4" i="25"/>
  <c r="U6" i="23"/>
  <c r="Z6" i="24" s="1"/>
  <c r="B17" i="67"/>
  <c r="A18" i="67"/>
  <c r="V5" i="23"/>
  <c r="AA5" i="24" s="1"/>
  <c r="AO16" i="67"/>
  <c r="AX16" i="67"/>
  <c r="AS16" i="67"/>
  <c r="AP16" i="67"/>
  <c r="AG16" i="67"/>
  <c r="AL16" i="67"/>
  <c r="AI16" i="67"/>
  <c r="D16" i="67"/>
  <c r="X5" i="23" s="1"/>
  <c r="AD5" i="24" s="1"/>
  <c r="AN16" i="67"/>
  <c r="AZ16" i="67"/>
  <c r="AY16" i="67"/>
  <c r="AT16" i="67"/>
  <c r="AH16" i="67"/>
  <c r="AM16" i="67"/>
  <c r="AJ16" i="67"/>
  <c r="AQ16" i="67"/>
  <c r="AU16" i="67"/>
  <c r="AV16" i="67"/>
  <c r="AK16" i="67"/>
  <c r="AR16" i="67"/>
  <c r="AW16" i="67"/>
  <c r="AR4" i="23"/>
  <c r="Y4" i="25"/>
  <c r="Z6" i="23"/>
  <c r="B6" i="25" s="1"/>
  <c r="J5" i="25"/>
  <c r="AF5" i="23"/>
  <c r="Q6" i="23"/>
  <c r="U6" i="24" s="1"/>
  <c r="A18" i="66"/>
  <c r="B17" i="66"/>
  <c r="R5" i="23"/>
  <c r="V5" i="24" s="1"/>
  <c r="AX16" i="66"/>
  <c r="AK16" i="66"/>
  <c r="D16" i="66"/>
  <c r="T5" i="23" s="1"/>
  <c r="Y5" i="24" s="1"/>
  <c r="AG16" i="66"/>
  <c r="AU16" i="66"/>
  <c r="AZ16" i="66"/>
  <c r="AY16" i="66"/>
  <c r="AM16" i="66"/>
  <c r="AS16" i="66"/>
  <c r="AV16" i="66"/>
  <c r="AH16" i="66"/>
  <c r="AR16" i="66"/>
  <c r="AQ16" i="66"/>
  <c r="AW16" i="66"/>
  <c r="AT16" i="66"/>
  <c r="AJ16" i="66"/>
  <c r="AI16" i="66"/>
  <c r="AP16" i="66"/>
  <c r="AL16" i="66"/>
  <c r="AN16" i="66"/>
  <c r="AO16" i="66"/>
  <c r="BA15" i="63"/>
  <c r="N15" i="63" s="1"/>
  <c r="BB15" i="63"/>
  <c r="BA16" i="70"/>
  <c r="N16" i="70" s="1"/>
  <c r="CA16" i="70"/>
  <c r="O16" i="70" s="1"/>
  <c r="AR16" i="73"/>
  <c r="AH16" i="73"/>
  <c r="AI16" i="73"/>
  <c r="AZ16" i="73"/>
  <c r="AT16" i="73"/>
  <c r="AQ16" i="73"/>
  <c r="AY16" i="73"/>
  <c r="AV16" i="73"/>
  <c r="BB15" i="70"/>
  <c r="BA15" i="70"/>
  <c r="N15" i="70" s="1"/>
  <c r="D31" i="74"/>
  <c r="D29" i="74"/>
  <c r="D33" i="74"/>
  <c r="CA15" i="70"/>
  <c r="O15" i="70" s="1"/>
  <c r="AN16" i="73"/>
  <c r="AO16" i="73"/>
  <c r="AW16" i="73"/>
  <c r="AJ16" i="73"/>
  <c r="AP16" i="73"/>
  <c r="AS16" i="73"/>
  <c r="AX16" i="73"/>
  <c r="AG16" i="73"/>
  <c r="BB15" i="67"/>
  <c r="AM16" i="73"/>
  <c r="D16" i="73"/>
  <c r="AL16" i="73"/>
  <c r="AU16" i="73"/>
  <c r="BB15" i="65"/>
  <c r="BA15" i="65"/>
  <c r="N15" i="65" s="1"/>
  <c r="BA15" i="67"/>
  <c r="N15" i="67" s="1"/>
  <c r="CA15" i="67"/>
  <c r="O15" i="67" s="1"/>
  <c r="A19" i="73"/>
  <c r="AS8" i="23" s="1"/>
  <c r="Z8" i="25" s="1"/>
  <c r="B18" i="73"/>
  <c r="AS17" i="73"/>
  <c r="AK17" i="73"/>
  <c r="D17" i="73"/>
  <c r="AZ17" i="73"/>
  <c r="AR17" i="73"/>
  <c r="AJ17" i="73"/>
  <c r="AY17" i="73"/>
  <c r="AQ17" i="73"/>
  <c r="AI17" i="73"/>
  <c r="AX17" i="73"/>
  <c r="AP17" i="73"/>
  <c r="AH17" i="73"/>
  <c r="AW17" i="73"/>
  <c r="AO17" i="73"/>
  <c r="AG17" i="73"/>
  <c r="AV17" i="73"/>
  <c r="AN17" i="73"/>
  <c r="AU17" i="73"/>
  <c r="AM17" i="73"/>
  <c r="AT17" i="73"/>
  <c r="AL17" i="73"/>
  <c r="AZ16" i="72"/>
  <c r="AR16" i="72"/>
  <c r="AJ16" i="72"/>
  <c r="AY16" i="72"/>
  <c r="AQ16" i="72"/>
  <c r="AI16" i="72"/>
  <c r="AX16" i="72"/>
  <c r="AP16" i="72"/>
  <c r="AH16" i="72"/>
  <c r="AW16" i="72"/>
  <c r="AO16" i="72"/>
  <c r="AG16" i="72"/>
  <c r="AV16" i="72"/>
  <c r="AN16" i="72"/>
  <c r="AU16" i="72"/>
  <c r="AM16" i="72"/>
  <c r="AT16" i="72"/>
  <c r="AL16" i="72"/>
  <c r="AS16" i="72"/>
  <c r="AK16" i="72"/>
  <c r="D16" i="72"/>
  <c r="BB15" i="72"/>
  <c r="BA15" i="72"/>
  <c r="B17" i="72"/>
  <c r="A18" i="72"/>
  <c r="AO7" i="23" s="1"/>
  <c r="U7" i="25" s="1"/>
  <c r="B18" i="71"/>
  <c r="A19" i="71"/>
  <c r="AK8" i="23" s="1"/>
  <c r="P8" i="25" s="1"/>
  <c r="BB16" i="71"/>
  <c r="BA16" i="71"/>
  <c r="AY17" i="71"/>
  <c r="AQ17" i="71"/>
  <c r="AI17" i="71"/>
  <c r="AX17" i="71"/>
  <c r="AP17" i="71"/>
  <c r="AH17" i="71"/>
  <c r="AW17" i="71"/>
  <c r="AO17" i="71"/>
  <c r="AG17" i="71"/>
  <c r="AV17" i="71"/>
  <c r="AN17" i="71"/>
  <c r="AS17" i="71"/>
  <c r="AR17" i="71"/>
  <c r="AM17" i="71"/>
  <c r="AL17" i="71"/>
  <c r="AK17" i="71"/>
  <c r="AZ17" i="71"/>
  <c r="AJ17" i="71"/>
  <c r="AU17" i="71"/>
  <c r="AT17" i="71"/>
  <c r="D17" i="71"/>
  <c r="N15" i="69"/>
  <c r="Y14" i="69" s="1"/>
  <c r="BB16" i="69"/>
  <c r="BA16" i="69"/>
  <c r="N16" i="69" s="1"/>
  <c r="A19" i="69"/>
  <c r="AC8" i="23" s="1"/>
  <c r="F8" i="25" s="1"/>
  <c r="B18" i="69"/>
  <c r="AT17" i="69"/>
  <c r="AL17" i="69"/>
  <c r="AS17" i="69"/>
  <c r="AK17" i="69"/>
  <c r="D17" i="69"/>
  <c r="AZ17" i="69"/>
  <c r="AR17" i="69"/>
  <c r="AJ17" i="69"/>
  <c r="AY17" i="69"/>
  <c r="AQ17" i="69"/>
  <c r="AI17" i="69"/>
  <c r="AX17" i="69"/>
  <c r="AP17" i="69"/>
  <c r="AH17" i="69"/>
  <c r="AW17" i="69"/>
  <c r="AO17" i="69"/>
  <c r="AG17" i="69"/>
  <c r="AV17" i="69"/>
  <c r="AN17" i="69"/>
  <c r="AU17" i="69"/>
  <c r="AM17" i="69"/>
  <c r="AV17" i="68"/>
  <c r="AN17" i="68"/>
  <c r="AU17" i="68"/>
  <c r="AM17" i="68"/>
  <c r="AT17" i="68"/>
  <c r="AJ17" i="68"/>
  <c r="AS17" i="68"/>
  <c r="AI17" i="68"/>
  <c r="AQ17" i="68"/>
  <c r="D17" i="68"/>
  <c r="AP17" i="68"/>
  <c r="AO17" i="68"/>
  <c r="AZ17" i="68"/>
  <c r="AL17" i="68"/>
  <c r="AY17" i="68"/>
  <c r="AK17" i="68"/>
  <c r="AX17" i="68"/>
  <c r="AH17" i="68"/>
  <c r="AW17" i="68"/>
  <c r="AG17" i="68"/>
  <c r="AR17" i="68"/>
  <c r="B18" i="68"/>
  <c r="A19" i="68"/>
  <c r="Y8" i="23" s="1"/>
  <c r="A8" i="25" s="1"/>
  <c r="N14" i="68"/>
  <c r="BB16" i="68"/>
  <c r="BA16" i="68"/>
  <c r="N16" i="68" s="1"/>
  <c r="N15" i="66"/>
  <c r="Y14" i="66" s="1"/>
  <c r="BB16" i="65"/>
  <c r="BA16" i="65"/>
  <c r="N16" i="65" s="1"/>
  <c r="AV17" i="65"/>
  <c r="AN17" i="65"/>
  <c r="AU17" i="65"/>
  <c r="AM17" i="65"/>
  <c r="AT17" i="65"/>
  <c r="AL17" i="65"/>
  <c r="AS17" i="65"/>
  <c r="AK17" i="65"/>
  <c r="D17" i="65"/>
  <c r="P6" i="23" s="1"/>
  <c r="T6" i="24" s="1"/>
  <c r="AZ17" i="65"/>
  <c r="AR17" i="65"/>
  <c r="AJ17" i="65"/>
  <c r="AY17" i="65"/>
  <c r="AQ17" i="65"/>
  <c r="AI17" i="65"/>
  <c r="AX17" i="65"/>
  <c r="AP17" i="65"/>
  <c r="AH17" i="65"/>
  <c r="AW17" i="65"/>
  <c r="AO17" i="65"/>
  <c r="AG17" i="65"/>
  <c r="A19" i="65"/>
  <c r="M8" i="23" s="1"/>
  <c r="P8" i="24" s="1"/>
  <c r="B18" i="65"/>
  <c r="BB16" i="64"/>
  <c r="BA16" i="64"/>
  <c r="N16" i="64" s="1"/>
  <c r="AW17" i="64"/>
  <c r="AO17" i="64"/>
  <c r="AG17" i="64"/>
  <c r="AV17" i="64"/>
  <c r="AN17" i="64"/>
  <c r="AY17" i="64"/>
  <c r="AM17" i="64"/>
  <c r="AX17" i="64"/>
  <c r="AL17" i="64"/>
  <c r="AU17" i="64"/>
  <c r="AK17" i="64"/>
  <c r="AT17" i="64"/>
  <c r="AJ17" i="64"/>
  <c r="AS17" i="64"/>
  <c r="AI17" i="64"/>
  <c r="AR17" i="64"/>
  <c r="AH17" i="64"/>
  <c r="AQ17" i="64"/>
  <c r="AZ17" i="64"/>
  <c r="AP17" i="64"/>
  <c r="D17" i="64"/>
  <c r="L6" i="23" s="1"/>
  <c r="O6" i="24" s="1"/>
  <c r="B18" i="64"/>
  <c r="A19" i="64"/>
  <c r="I8" i="23" s="1"/>
  <c r="K8" i="24" s="1"/>
  <c r="B18" i="63"/>
  <c r="A19" i="63"/>
  <c r="E8" i="23" s="1"/>
  <c r="F8" i="24" s="1"/>
  <c r="AZ17" i="63"/>
  <c r="AR17" i="63"/>
  <c r="AJ17" i="63"/>
  <c r="AY17" i="63"/>
  <c r="AQ17" i="63"/>
  <c r="AI17" i="63"/>
  <c r="AX17" i="63"/>
  <c r="AP17" i="63"/>
  <c r="AH17" i="63"/>
  <c r="AW17" i="63"/>
  <c r="AO17" i="63"/>
  <c r="AG17" i="63"/>
  <c r="AV17" i="63"/>
  <c r="AN17" i="63"/>
  <c r="AU17" i="63"/>
  <c r="AM17" i="63"/>
  <c r="AT17" i="63"/>
  <c r="AL17" i="63"/>
  <c r="AK17" i="63"/>
  <c r="AS17" i="63"/>
  <c r="D17" i="63"/>
  <c r="H6" i="23" s="1"/>
  <c r="J6" i="24" s="1"/>
  <c r="CA16" i="63"/>
  <c r="BB16" i="63"/>
  <c r="BA16" i="63"/>
  <c r="P35" i="43" l="1"/>
  <c r="Q35" i="43" s="1"/>
  <c r="P36" i="43" s="1"/>
  <c r="Q36" i="43" s="1"/>
  <c r="P37" i="43" s="1"/>
  <c r="Q37" i="43" s="1"/>
  <c r="P38" i="43" s="1"/>
  <c r="Q38" i="43" s="1"/>
  <c r="P39" i="43" s="1"/>
  <c r="Q39" i="43" s="1"/>
  <c r="P40" i="43" s="1"/>
  <c r="Q40" i="43" s="1"/>
  <c r="P41" i="43" s="1"/>
  <c r="Q41" i="43" s="1"/>
  <c r="P42" i="43" s="1"/>
  <c r="Q42" i="43" s="1"/>
  <c r="P43" i="43" s="1"/>
  <c r="Q43" i="43" s="1"/>
  <c r="P44" i="43" s="1"/>
  <c r="Q44" i="43" s="1"/>
  <c r="P45" i="43" s="1"/>
  <c r="Q45" i="43" s="1"/>
  <c r="B22" i="47"/>
  <c r="Q15" i="67"/>
  <c r="Z14" i="73"/>
  <c r="Q15" i="73"/>
  <c r="CX17" i="63"/>
  <c r="CL17" i="70"/>
  <c r="CE17" i="70"/>
  <c r="CP17" i="70"/>
  <c r="CF17" i="70"/>
  <c r="CQ17" i="70"/>
  <c r="CG17" i="70"/>
  <c r="CR17" i="70"/>
  <c r="CK17" i="70"/>
  <c r="CN17" i="70"/>
  <c r="CO17" i="70"/>
  <c r="CS17" i="70"/>
  <c r="CT17" i="70"/>
  <c r="CD17" i="70"/>
  <c r="CU17" i="70"/>
  <c r="CI17" i="70"/>
  <c r="CV17" i="70"/>
  <c r="CJ17" i="70"/>
  <c r="CW17" i="70"/>
  <c r="BL17" i="70"/>
  <c r="BU17" i="70"/>
  <c r="BM17" i="70"/>
  <c r="BV17" i="70"/>
  <c r="BN17" i="70"/>
  <c r="BW17" i="70"/>
  <c r="BO17" i="70"/>
  <c r="BX17" i="70"/>
  <c r="BG17" i="70"/>
  <c r="BQ17" i="70"/>
  <c r="BY17" i="70"/>
  <c r="BI17" i="70"/>
  <c r="BS17" i="70"/>
  <c r="BJ17" i="70"/>
  <c r="BT17" i="70"/>
  <c r="BR17" i="70"/>
  <c r="BZ17" i="70"/>
  <c r="BH17" i="70"/>
  <c r="BP17" i="70"/>
  <c r="CM17" i="70"/>
  <c r="CH17" i="70"/>
  <c r="BK17" i="70"/>
  <c r="CX16" i="67"/>
  <c r="P16" i="67" s="1"/>
  <c r="CX17" i="71"/>
  <c r="AL7" i="23"/>
  <c r="Q7" i="25" s="1"/>
  <c r="CL18" i="71"/>
  <c r="CF18" i="71"/>
  <c r="CN18" i="71"/>
  <c r="CV18" i="71"/>
  <c r="CM18" i="71"/>
  <c r="CW18" i="71"/>
  <c r="CO18" i="71"/>
  <c r="CE18" i="71"/>
  <c r="CP18" i="71"/>
  <c r="CG18" i="71"/>
  <c r="CQ18" i="71"/>
  <c r="CH18" i="71"/>
  <c r="CR18" i="71"/>
  <c r="CI18" i="71"/>
  <c r="CS18" i="71"/>
  <c r="CJ18" i="71"/>
  <c r="CT18" i="71"/>
  <c r="CK18" i="71"/>
  <c r="CU18" i="71"/>
  <c r="BM18" i="71"/>
  <c r="BU18" i="71"/>
  <c r="BN18" i="71"/>
  <c r="BV18" i="71"/>
  <c r="BO18" i="71"/>
  <c r="BW18" i="71"/>
  <c r="BP18" i="71"/>
  <c r="BX18" i="71"/>
  <c r="BH18" i="71"/>
  <c r="BQ18" i="71"/>
  <c r="BY18" i="71"/>
  <c r="BI18" i="71"/>
  <c r="BR18" i="71"/>
  <c r="BZ18" i="71"/>
  <c r="BJ18" i="71"/>
  <c r="BS18" i="71"/>
  <c r="BK18" i="71"/>
  <c r="BT18" i="71"/>
  <c r="BL18" i="71"/>
  <c r="BG18" i="71"/>
  <c r="CD18" i="71"/>
  <c r="AT7" i="23"/>
  <c r="AA7" i="25" s="1"/>
  <c r="CL18" i="73"/>
  <c r="CH18" i="73"/>
  <c r="CQ18" i="73"/>
  <c r="CI18" i="73"/>
  <c r="CR18" i="73"/>
  <c r="CJ18" i="73"/>
  <c r="CS18" i="73"/>
  <c r="CK18" i="73"/>
  <c r="CT18" i="73"/>
  <c r="CD18" i="73"/>
  <c r="CM18" i="73"/>
  <c r="CU18" i="73"/>
  <c r="CE18" i="73"/>
  <c r="CN18" i="73"/>
  <c r="CV18" i="73"/>
  <c r="CF18" i="73"/>
  <c r="CO18" i="73"/>
  <c r="CW18" i="73"/>
  <c r="CG18" i="73"/>
  <c r="CP18" i="73"/>
  <c r="BL18" i="73"/>
  <c r="BT18" i="73"/>
  <c r="BM18" i="73"/>
  <c r="BU18" i="73"/>
  <c r="BN18" i="73"/>
  <c r="BV18" i="73"/>
  <c r="BG18" i="73"/>
  <c r="BO18" i="73"/>
  <c r="BW18" i="73"/>
  <c r="BH18" i="73"/>
  <c r="BP18" i="73"/>
  <c r="BX18" i="73"/>
  <c r="BR18" i="73"/>
  <c r="BY18" i="73"/>
  <c r="BZ18" i="73"/>
  <c r="BI18" i="73"/>
  <c r="BJ18" i="73"/>
  <c r="BK18" i="73"/>
  <c r="BQ18" i="73"/>
  <c r="BS18" i="73"/>
  <c r="CX16" i="72"/>
  <c r="CX17" i="73"/>
  <c r="P17" i="73" s="1"/>
  <c r="CX16" i="73"/>
  <c r="P16" i="73" s="1"/>
  <c r="AP6" i="23"/>
  <c r="V6" i="25" s="1"/>
  <c r="CL17" i="72"/>
  <c r="CD17" i="72"/>
  <c r="CO17" i="72"/>
  <c r="CW17" i="72"/>
  <c r="CH17" i="72"/>
  <c r="CS17" i="72"/>
  <c r="CI17" i="72"/>
  <c r="CT17" i="72"/>
  <c r="CJ17" i="72"/>
  <c r="CU17" i="72"/>
  <c r="CV17" i="72"/>
  <c r="CE17" i="72"/>
  <c r="CG17" i="72"/>
  <c r="CM17" i="72"/>
  <c r="CN17" i="72"/>
  <c r="CP17" i="72"/>
  <c r="CQ17" i="72"/>
  <c r="CR17" i="72"/>
  <c r="BM17" i="72"/>
  <c r="BV17" i="72"/>
  <c r="BP17" i="72"/>
  <c r="BX17" i="72"/>
  <c r="BH17" i="72"/>
  <c r="BR17" i="72"/>
  <c r="BZ17" i="72"/>
  <c r="BJ17" i="72"/>
  <c r="BS17" i="72"/>
  <c r="BK17" i="72"/>
  <c r="BT17" i="72"/>
  <c r="BL17" i="72"/>
  <c r="BU17" i="72"/>
  <c r="BY17" i="72"/>
  <c r="BG17" i="72"/>
  <c r="BO17" i="72"/>
  <c r="BQ17" i="72"/>
  <c r="BW17" i="72"/>
  <c r="BI17" i="72"/>
  <c r="BN17" i="72"/>
  <c r="CK17" i="72"/>
  <c r="CF17" i="72"/>
  <c r="AD7" i="23"/>
  <c r="G7" i="25" s="1"/>
  <c r="CL18" i="69"/>
  <c r="CE18" i="69"/>
  <c r="CP18" i="69"/>
  <c r="CG18" i="69"/>
  <c r="CQ18" i="69"/>
  <c r="CH18" i="69"/>
  <c r="CR18" i="69"/>
  <c r="CM18" i="69"/>
  <c r="CU18" i="69"/>
  <c r="CN18" i="69"/>
  <c r="CV18" i="69"/>
  <c r="CD18" i="69"/>
  <c r="CO18" i="69"/>
  <c r="CW18" i="69"/>
  <c r="CS18" i="69"/>
  <c r="CT18" i="69"/>
  <c r="CI18" i="69"/>
  <c r="CJ18" i="69"/>
  <c r="BJ18" i="69"/>
  <c r="BS18" i="69"/>
  <c r="BK18" i="69"/>
  <c r="BT18" i="69"/>
  <c r="BM18" i="69"/>
  <c r="BV18" i="69"/>
  <c r="BO18" i="69"/>
  <c r="BW18" i="69"/>
  <c r="BP18" i="69"/>
  <c r="BX18" i="69"/>
  <c r="BG18" i="69"/>
  <c r="BQ18" i="69"/>
  <c r="BY18" i="69"/>
  <c r="BH18" i="69"/>
  <c r="BR18" i="69"/>
  <c r="BZ18" i="69"/>
  <c r="BL18" i="69"/>
  <c r="BU18" i="69"/>
  <c r="CK18" i="69"/>
  <c r="BI18" i="69"/>
  <c r="BN18" i="69"/>
  <c r="CF18" i="69"/>
  <c r="CX17" i="69"/>
  <c r="CL17" i="67"/>
  <c r="CK17" i="67"/>
  <c r="CD17" i="67"/>
  <c r="CM17" i="67"/>
  <c r="CU17" i="67"/>
  <c r="CE17" i="67"/>
  <c r="CN17" i="67"/>
  <c r="CV17" i="67"/>
  <c r="CJ17" i="67"/>
  <c r="CO17" i="67"/>
  <c r="CP17" i="67"/>
  <c r="CQ17" i="67"/>
  <c r="CF17" i="67"/>
  <c r="CR17" i="67"/>
  <c r="CG17" i="67"/>
  <c r="CS17" i="67"/>
  <c r="CI17" i="67"/>
  <c r="CT17" i="67"/>
  <c r="CW17" i="67"/>
  <c r="CH17" i="67"/>
  <c r="BK17" i="67"/>
  <c r="BS17" i="67"/>
  <c r="BL17" i="67"/>
  <c r="BT17" i="67"/>
  <c r="BN17" i="67"/>
  <c r="BV17" i="67"/>
  <c r="BG17" i="67"/>
  <c r="BO17" i="67"/>
  <c r="BW17" i="67"/>
  <c r="BH17" i="67"/>
  <c r="BP17" i="67"/>
  <c r="BX17" i="67"/>
  <c r="BI17" i="67"/>
  <c r="BQ17" i="67"/>
  <c r="BY17" i="67"/>
  <c r="BJ17" i="67"/>
  <c r="BR17" i="67"/>
  <c r="BZ17" i="67"/>
  <c r="BU17" i="67"/>
  <c r="BM17" i="67"/>
  <c r="CX17" i="64"/>
  <c r="CX16" i="66"/>
  <c r="F7" i="23"/>
  <c r="G7" i="24" s="1"/>
  <c r="CL18" i="63"/>
  <c r="CI18" i="63"/>
  <c r="CR18" i="63"/>
  <c r="CJ18" i="63"/>
  <c r="CS18" i="63"/>
  <c r="CD18" i="63"/>
  <c r="CN18" i="63"/>
  <c r="CV18" i="63"/>
  <c r="CE18" i="63"/>
  <c r="CO18" i="63"/>
  <c r="CW18" i="63"/>
  <c r="CH18" i="63"/>
  <c r="CQ18" i="63"/>
  <c r="CT18" i="63"/>
  <c r="CU18" i="63"/>
  <c r="CF18" i="63"/>
  <c r="CK18" i="63"/>
  <c r="CM18" i="63"/>
  <c r="CP18" i="63"/>
  <c r="BG18" i="63"/>
  <c r="BP18" i="63"/>
  <c r="BX18" i="63"/>
  <c r="BH18" i="63"/>
  <c r="BQ18" i="63"/>
  <c r="BY18" i="63"/>
  <c r="BI18" i="63"/>
  <c r="BR18" i="63"/>
  <c r="BZ18" i="63"/>
  <c r="BK18" i="63"/>
  <c r="BS18" i="63"/>
  <c r="BL18" i="63"/>
  <c r="BT18" i="63"/>
  <c r="BM18" i="63"/>
  <c r="BU18" i="63"/>
  <c r="BN18" i="63"/>
  <c r="BO18" i="63"/>
  <c r="BV18" i="63"/>
  <c r="BW18" i="63"/>
  <c r="CG18" i="63"/>
  <c r="BJ18" i="63"/>
  <c r="CL17" i="66"/>
  <c r="CM17" i="66"/>
  <c r="CU17" i="66"/>
  <c r="CN17" i="66"/>
  <c r="CV17" i="66"/>
  <c r="CD17" i="66"/>
  <c r="CO17" i="66"/>
  <c r="CW17" i="66"/>
  <c r="CE17" i="66"/>
  <c r="CP17" i="66"/>
  <c r="CG17" i="66"/>
  <c r="CQ17" i="66"/>
  <c r="CH17" i="66"/>
  <c r="CR17" i="66"/>
  <c r="CI17" i="66"/>
  <c r="CS17" i="66"/>
  <c r="CJ17" i="66"/>
  <c r="CT17" i="66"/>
  <c r="BP17" i="66"/>
  <c r="BX17" i="66"/>
  <c r="BG17" i="66"/>
  <c r="BQ17" i="66"/>
  <c r="BY17" i="66"/>
  <c r="BH17" i="66"/>
  <c r="BR17" i="66"/>
  <c r="BZ17" i="66"/>
  <c r="BJ17" i="66"/>
  <c r="BS17" i="66"/>
  <c r="BK17" i="66"/>
  <c r="BT17" i="66"/>
  <c r="BL17" i="66"/>
  <c r="BU17" i="66"/>
  <c r="BM17" i="66"/>
  <c r="BV17" i="66"/>
  <c r="BO17" i="66"/>
  <c r="BW17" i="66"/>
  <c r="BI17" i="66"/>
  <c r="BN17" i="66"/>
  <c r="CF17" i="66"/>
  <c r="CK17" i="66"/>
  <c r="J7" i="23"/>
  <c r="L7" i="24" s="1"/>
  <c r="CL18" i="64"/>
  <c r="CI18" i="64"/>
  <c r="CR18" i="64"/>
  <c r="CJ18" i="64"/>
  <c r="CS18" i="64"/>
  <c r="CK18" i="64"/>
  <c r="CT18" i="64"/>
  <c r="CE18" i="64"/>
  <c r="CQ18" i="64"/>
  <c r="CF18" i="64"/>
  <c r="CU18" i="64"/>
  <c r="CG18" i="64"/>
  <c r="CV18" i="64"/>
  <c r="CH18" i="64"/>
  <c r="CW18" i="64"/>
  <c r="CM18" i="64"/>
  <c r="CN18" i="64"/>
  <c r="CO18" i="64"/>
  <c r="CD18" i="64"/>
  <c r="CP18" i="64"/>
  <c r="BK18" i="64"/>
  <c r="BS18" i="64"/>
  <c r="BG18" i="64"/>
  <c r="BO18" i="64"/>
  <c r="BW18" i="64"/>
  <c r="BP18" i="64"/>
  <c r="BZ18" i="64"/>
  <c r="BQ18" i="64"/>
  <c r="BH18" i="64"/>
  <c r="BR18" i="64"/>
  <c r="BI18" i="64"/>
  <c r="BT18" i="64"/>
  <c r="BJ18" i="64"/>
  <c r="BU18" i="64"/>
  <c r="BL18" i="64"/>
  <c r="BV18" i="64"/>
  <c r="BM18" i="64"/>
  <c r="BN18" i="64"/>
  <c r="BX18" i="64"/>
  <c r="BY18" i="64"/>
  <c r="N7" i="23"/>
  <c r="Q7" i="24" s="1"/>
  <c r="CL18" i="65"/>
  <c r="CF18" i="65"/>
  <c r="CO18" i="65"/>
  <c r="CW18" i="65"/>
  <c r="CJ18" i="65"/>
  <c r="CT18" i="65"/>
  <c r="CK18" i="65"/>
  <c r="CU18" i="65"/>
  <c r="CM18" i="65"/>
  <c r="CV18" i="65"/>
  <c r="CN18" i="65"/>
  <c r="CD18" i="65"/>
  <c r="CP18" i="65"/>
  <c r="CG18" i="65"/>
  <c r="CQ18" i="65"/>
  <c r="CR18" i="65"/>
  <c r="CS18" i="65"/>
  <c r="CH18" i="65"/>
  <c r="CI18" i="65"/>
  <c r="BG18" i="65"/>
  <c r="BP18" i="65"/>
  <c r="BX18" i="65"/>
  <c r="BI18" i="65"/>
  <c r="BQ18" i="65"/>
  <c r="BY18" i="65"/>
  <c r="BJ18" i="65"/>
  <c r="BR18" i="65"/>
  <c r="BZ18" i="65"/>
  <c r="BK18" i="65"/>
  <c r="BS18" i="65"/>
  <c r="BL18" i="65"/>
  <c r="BT18" i="65"/>
  <c r="BM18" i="65"/>
  <c r="BU18" i="65"/>
  <c r="BN18" i="65"/>
  <c r="BV18" i="65"/>
  <c r="BO18" i="65"/>
  <c r="BW18" i="65"/>
  <c r="BH18" i="65"/>
  <c r="CE18" i="65"/>
  <c r="CX17" i="65"/>
  <c r="AB6" i="23"/>
  <c r="E6" i="25" s="1"/>
  <c r="Z7" i="23"/>
  <c r="B7" i="25" s="1"/>
  <c r="CL18" i="68"/>
  <c r="CM18" i="68"/>
  <c r="CU18" i="68"/>
  <c r="BP18" i="68"/>
  <c r="BX18" i="68"/>
  <c r="CN18" i="68"/>
  <c r="CV18" i="68"/>
  <c r="BG18" i="68"/>
  <c r="BQ18" i="68"/>
  <c r="BY18" i="68"/>
  <c r="CD18" i="68"/>
  <c r="CO18" i="68"/>
  <c r="CW18" i="68"/>
  <c r="BH18" i="68"/>
  <c r="BR18" i="68"/>
  <c r="BZ18" i="68"/>
  <c r="CE18" i="68"/>
  <c r="CP18" i="68"/>
  <c r="BJ18" i="68"/>
  <c r="BS18" i="68"/>
  <c r="CG18" i="68"/>
  <c r="CQ18" i="68"/>
  <c r="BK18" i="68"/>
  <c r="BT18" i="68"/>
  <c r="CH18" i="68"/>
  <c r="CR18" i="68"/>
  <c r="BL18" i="68"/>
  <c r="BU18" i="68"/>
  <c r="CI18" i="68"/>
  <c r="CS18" i="68"/>
  <c r="BM18" i="68"/>
  <c r="BV18" i="68"/>
  <c r="CJ18" i="68"/>
  <c r="CT18" i="68"/>
  <c r="BO18" i="68"/>
  <c r="BW18" i="68"/>
  <c r="BN18" i="68"/>
  <c r="BI18" i="68"/>
  <c r="CK18" i="68"/>
  <c r="CF18" i="68"/>
  <c r="CX17" i="68"/>
  <c r="M34" i="24"/>
  <c r="AH6" i="23"/>
  <c r="L6" i="25" s="1"/>
  <c r="D17" i="70"/>
  <c r="AZ17" i="70"/>
  <c r="AY17" i="70"/>
  <c r="AU17" i="70"/>
  <c r="AP17" i="70"/>
  <c r="AX17" i="70"/>
  <c r="AR17" i="70"/>
  <c r="AQ17" i="70"/>
  <c r="AK17" i="70"/>
  <c r="AN17" i="70"/>
  <c r="AJ17" i="70"/>
  <c r="AI17" i="70"/>
  <c r="AS17" i="70"/>
  <c r="AG17" i="70"/>
  <c r="AO17" i="70"/>
  <c r="AV17" i="70"/>
  <c r="AW17" i="70"/>
  <c r="AL17" i="70"/>
  <c r="AT17" i="70"/>
  <c r="AH17" i="70"/>
  <c r="AM17" i="70"/>
  <c r="AG7" i="23"/>
  <c r="K7" i="25" s="1"/>
  <c r="A19" i="70"/>
  <c r="B18" i="70"/>
  <c r="U7" i="23"/>
  <c r="Z7" i="24" s="1"/>
  <c r="A19" i="67"/>
  <c r="B18" i="67"/>
  <c r="AN6" i="23"/>
  <c r="T6" i="25"/>
  <c r="V6" i="23"/>
  <c r="AA6" i="24" s="1"/>
  <c r="AH17" i="67"/>
  <c r="AT17" i="67"/>
  <c r="AV17" i="67"/>
  <c r="AP17" i="67"/>
  <c r="AL17" i="67"/>
  <c r="AX17" i="67"/>
  <c r="AO17" i="67"/>
  <c r="AZ17" i="67"/>
  <c r="AY17" i="67"/>
  <c r="AN17" i="67"/>
  <c r="AU17" i="67"/>
  <c r="AS17" i="67"/>
  <c r="AR17" i="67"/>
  <c r="AQ17" i="67"/>
  <c r="AW17" i="67"/>
  <c r="AK17" i="67"/>
  <c r="AG17" i="67"/>
  <c r="AJ17" i="67"/>
  <c r="AI17" i="67"/>
  <c r="AM17" i="67"/>
  <c r="D17" i="67"/>
  <c r="X6" i="23" s="1"/>
  <c r="AD6" i="24" s="1"/>
  <c r="AV6" i="23"/>
  <c r="AD6" i="25"/>
  <c r="AR5" i="23"/>
  <c r="Y5" i="25"/>
  <c r="J6" i="25"/>
  <c r="AF6" i="23"/>
  <c r="AV5" i="23"/>
  <c r="AD5" i="25"/>
  <c r="CA16" i="67"/>
  <c r="O16" i="67" s="1"/>
  <c r="BA16" i="67"/>
  <c r="N16" i="67" s="1"/>
  <c r="BB16" i="67"/>
  <c r="CA16" i="66"/>
  <c r="O16" i="66" s="1"/>
  <c r="BB16" i="66"/>
  <c r="BA16" i="66"/>
  <c r="N16" i="66" s="1"/>
  <c r="R6" i="23"/>
  <c r="V6" i="24" s="1"/>
  <c r="AO17" i="66"/>
  <c r="AR17" i="66"/>
  <c r="D17" i="66"/>
  <c r="T6" i="23" s="1"/>
  <c r="Y6" i="24" s="1"/>
  <c r="AW17" i="66"/>
  <c r="AH17" i="66"/>
  <c r="AZ17" i="66"/>
  <c r="AK17" i="66"/>
  <c r="AP17" i="66"/>
  <c r="AS17" i="66"/>
  <c r="AT17" i="66"/>
  <c r="AI17" i="66"/>
  <c r="AU17" i="66"/>
  <c r="AL17" i="66"/>
  <c r="AX17" i="66"/>
  <c r="AM17" i="66"/>
  <c r="AN17" i="66"/>
  <c r="AV17" i="66"/>
  <c r="AQ17" i="66"/>
  <c r="AY17" i="66"/>
  <c r="AJ17" i="66"/>
  <c r="AG17" i="66"/>
  <c r="Q7" i="23"/>
  <c r="U7" i="24" s="1"/>
  <c r="A19" i="66"/>
  <c r="B18" i="66"/>
  <c r="BB16" i="73"/>
  <c r="D35" i="74"/>
  <c r="CA16" i="73"/>
  <c r="O16" i="73" s="1"/>
  <c r="BA16" i="73"/>
  <c r="N16" i="73" s="1"/>
  <c r="BB17" i="73"/>
  <c r="BA17" i="73"/>
  <c r="N17" i="73" s="1"/>
  <c r="Y16" i="73" s="1"/>
  <c r="CA17" i="73"/>
  <c r="AW18" i="73"/>
  <c r="AO18" i="73"/>
  <c r="AG18" i="73"/>
  <c r="AV18" i="73"/>
  <c r="AN18" i="73"/>
  <c r="AU18" i="73"/>
  <c r="AM18" i="73"/>
  <c r="AT18" i="73"/>
  <c r="AL18" i="73"/>
  <c r="AY18" i="73"/>
  <c r="AI18" i="73"/>
  <c r="AX18" i="73"/>
  <c r="AH18" i="73"/>
  <c r="D18" i="73"/>
  <c r="AS18" i="73"/>
  <c r="AR18" i="73"/>
  <c r="AQ18" i="73"/>
  <c r="AP18" i="73"/>
  <c r="AK18" i="73"/>
  <c r="AZ18" i="73"/>
  <c r="AJ18" i="73"/>
  <c r="B19" i="73"/>
  <c r="A20" i="73"/>
  <c r="AS9" i="23" s="1"/>
  <c r="Z9" i="25" s="1"/>
  <c r="N15" i="72"/>
  <c r="CA16" i="72"/>
  <c r="O16" i="72" s="1"/>
  <c r="A19" i="72"/>
  <c r="AO8" i="23" s="1"/>
  <c r="U8" i="25" s="1"/>
  <c r="B18" i="72"/>
  <c r="AU17" i="72"/>
  <c r="AM17" i="72"/>
  <c r="AT17" i="72"/>
  <c r="AL17" i="72"/>
  <c r="AS17" i="72"/>
  <c r="AK17" i="72"/>
  <c r="D17" i="72"/>
  <c r="AZ17" i="72"/>
  <c r="AR17" i="72"/>
  <c r="AJ17" i="72"/>
  <c r="AY17" i="72"/>
  <c r="AQ17" i="72"/>
  <c r="AI17" i="72"/>
  <c r="AX17" i="72"/>
  <c r="AP17" i="72"/>
  <c r="AH17" i="72"/>
  <c r="AW17" i="72"/>
  <c r="AO17" i="72"/>
  <c r="AG17" i="72"/>
  <c r="AV17" i="72"/>
  <c r="AN17" i="72"/>
  <c r="BB16" i="72"/>
  <c r="BA16" i="72"/>
  <c r="N16" i="72" s="1"/>
  <c r="BB17" i="71"/>
  <c r="BA17" i="71"/>
  <c r="N17" i="71" s="1"/>
  <c r="Y16" i="71" s="1"/>
  <c r="N16" i="71"/>
  <c r="A20" i="71"/>
  <c r="AK9" i="23" s="1"/>
  <c r="P9" i="25" s="1"/>
  <c r="B19" i="71"/>
  <c r="AT18" i="71"/>
  <c r="AL18" i="71"/>
  <c r="AS18" i="71"/>
  <c r="AK18" i="71"/>
  <c r="D18" i="71"/>
  <c r="AZ18" i="71"/>
  <c r="AR18" i="71"/>
  <c r="AJ18" i="71"/>
  <c r="AY18" i="71"/>
  <c r="AQ18" i="71"/>
  <c r="AI18" i="71"/>
  <c r="AX18" i="71"/>
  <c r="AW18" i="71"/>
  <c r="AV18" i="71"/>
  <c r="AN18" i="71"/>
  <c r="AM18" i="71"/>
  <c r="AH18" i="71"/>
  <c r="AG18" i="71"/>
  <c r="AU18" i="71"/>
  <c r="AP18" i="71"/>
  <c r="AO18" i="71"/>
  <c r="CA17" i="69"/>
  <c r="O17" i="69" s="1"/>
  <c r="B19" i="69"/>
  <c r="A20" i="69"/>
  <c r="AC9" i="23" s="1"/>
  <c r="F9" i="25" s="1"/>
  <c r="BB17" i="69"/>
  <c r="BA17" i="69"/>
  <c r="N17" i="69" s="1"/>
  <c r="AW18" i="69"/>
  <c r="AO18" i="69"/>
  <c r="AG18" i="69"/>
  <c r="AV18" i="69"/>
  <c r="AN18" i="69"/>
  <c r="AU18" i="69"/>
  <c r="AM18" i="69"/>
  <c r="AT18" i="69"/>
  <c r="AL18" i="69"/>
  <c r="AS18" i="69"/>
  <c r="AK18" i="69"/>
  <c r="D18" i="69"/>
  <c r="AZ18" i="69"/>
  <c r="AR18" i="69"/>
  <c r="AJ18" i="69"/>
  <c r="AY18" i="69"/>
  <c r="AQ18" i="69"/>
  <c r="AI18" i="69"/>
  <c r="AX18" i="69"/>
  <c r="AP18" i="69"/>
  <c r="AH18" i="69"/>
  <c r="B19" i="68"/>
  <c r="A20" i="68"/>
  <c r="Y9" i="23" s="1"/>
  <c r="A9" i="25" s="1"/>
  <c r="CA17" i="68"/>
  <c r="O17" i="68" s="1"/>
  <c r="AY18" i="68"/>
  <c r="AQ18" i="68"/>
  <c r="AI18" i="68"/>
  <c r="AX18" i="68"/>
  <c r="AP18" i="68"/>
  <c r="AH18" i="68"/>
  <c r="AZ18" i="68"/>
  <c r="AN18" i="68"/>
  <c r="AW18" i="68"/>
  <c r="AM18" i="68"/>
  <c r="D18" i="68"/>
  <c r="AS18" i="68"/>
  <c r="AR18" i="68"/>
  <c r="AO18" i="68"/>
  <c r="AL18" i="68"/>
  <c r="AK18" i="68"/>
  <c r="AV18" i="68"/>
  <c r="AJ18" i="68"/>
  <c r="AU18" i="68"/>
  <c r="AG18" i="68"/>
  <c r="AT18" i="68"/>
  <c r="BB17" i="68"/>
  <c r="BA17" i="68"/>
  <c r="N17" i="68" s="1"/>
  <c r="Y17" i="68" s="1"/>
  <c r="AY18" i="65"/>
  <c r="AQ18" i="65"/>
  <c r="AI18" i="65"/>
  <c r="AX18" i="65"/>
  <c r="AP18" i="65"/>
  <c r="AH18" i="65"/>
  <c r="AW18" i="65"/>
  <c r="AO18" i="65"/>
  <c r="AG18" i="65"/>
  <c r="AV18" i="65"/>
  <c r="AN18" i="65"/>
  <c r="AU18" i="65"/>
  <c r="AM18" i="65"/>
  <c r="AT18" i="65"/>
  <c r="AL18" i="65"/>
  <c r="AS18" i="65"/>
  <c r="AK18" i="65"/>
  <c r="D18" i="65"/>
  <c r="P7" i="23" s="1"/>
  <c r="T7" i="24" s="1"/>
  <c r="AZ18" i="65"/>
  <c r="AR18" i="65"/>
  <c r="AJ18" i="65"/>
  <c r="B19" i="65"/>
  <c r="A20" i="65"/>
  <c r="M9" i="23" s="1"/>
  <c r="P9" i="24" s="1"/>
  <c r="BB17" i="65"/>
  <c r="BA17" i="65"/>
  <c r="BB17" i="64"/>
  <c r="BA17" i="64"/>
  <c r="B19" i="64"/>
  <c r="A20" i="64"/>
  <c r="I9" i="23" s="1"/>
  <c r="K9" i="24" s="1"/>
  <c r="AZ18" i="64"/>
  <c r="AR18" i="64"/>
  <c r="AJ18" i="64"/>
  <c r="AY18" i="64"/>
  <c r="AQ18" i="64"/>
  <c r="AI18" i="64"/>
  <c r="AP18" i="64"/>
  <c r="AO18" i="64"/>
  <c r="AX18" i="64"/>
  <c r="AN18" i="64"/>
  <c r="AW18" i="64"/>
  <c r="AM18" i="64"/>
  <c r="D18" i="64"/>
  <c r="L7" i="23" s="1"/>
  <c r="O7" i="24" s="1"/>
  <c r="AV18" i="64"/>
  <c r="AL18" i="64"/>
  <c r="AU18" i="64"/>
  <c r="AK18" i="64"/>
  <c r="AT18" i="64"/>
  <c r="AH18" i="64"/>
  <c r="AS18" i="64"/>
  <c r="AG18" i="64"/>
  <c r="O16" i="63"/>
  <c r="CA17" i="63"/>
  <c r="O17" i="63" s="1"/>
  <c r="A20" i="63"/>
  <c r="E9" i="23" s="1"/>
  <c r="F9" i="24" s="1"/>
  <c r="B19" i="63"/>
  <c r="BB17" i="63"/>
  <c r="BA17" i="63"/>
  <c r="N17" i="63" s="1"/>
  <c r="AU18" i="63"/>
  <c r="AM18" i="63"/>
  <c r="AT18" i="63"/>
  <c r="AL18" i="63"/>
  <c r="AS18" i="63"/>
  <c r="AK18" i="63"/>
  <c r="D18" i="63"/>
  <c r="H7" i="23" s="1"/>
  <c r="J7" i="24" s="1"/>
  <c r="AZ18" i="63"/>
  <c r="AR18" i="63"/>
  <c r="AJ18" i="63"/>
  <c r="AY18" i="63"/>
  <c r="AQ18" i="63"/>
  <c r="AI18" i="63"/>
  <c r="AX18" i="63"/>
  <c r="AP18" i="63"/>
  <c r="AH18" i="63"/>
  <c r="AW18" i="63"/>
  <c r="AO18" i="63"/>
  <c r="AG18" i="63"/>
  <c r="AV18" i="63"/>
  <c r="AN18" i="63"/>
  <c r="N16" i="63"/>
  <c r="Y16" i="63" s="1"/>
  <c r="Q16" i="67" l="1"/>
  <c r="Q16" i="73"/>
  <c r="FN16" i="73"/>
  <c r="FL16" i="73"/>
  <c r="FN16" i="71"/>
  <c r="FL16" i="71"/>
  <c r="FN17" i="68"/>
  <c r="FL17" i="68"/>
  <c r="CX18" i="71"/>
  <c r="FN16" i="63"/>
  <c r="FL16" i="63"/>
  <c r="CX17" i="70"/>
  <c r="CL18" i="67"/>
  <c r="CI18" i="67"/>
  <c r="CR18" i="67"/>
  <c r="CJ18" i="67"/>
  <c r="CS18" i="67"/>
  <c r="CD18" i="67"/>
  <c r="CO18" i="67"/>
  <c r="CE18" i="67"/>
  <c r="CP18" i="67"/>
  <c r="CF18" i="67"/>
  <c r="CQ18" i="67"/>
  <c r="CG18" i="67"/>
  <c r="CT18" i="67"/>
  <c r="CH18" i="67"/>
  <c r="CU18" i="67"/>
  <c r="CK18" i="67"/>
  <c r="CV18" i="67"/>
  <c r="CM18" i="67"/>
  <c r="CN18" i="67"/>
  <c r="CW18" i="67"/>
  <c r="BG18" i="67"/>
  <c r="BO18" i="67"/>
  <c r="BW18" i="67"/>
  <c r="BH18" i="67"/>
  <c r="BP18" i="67"/>
  <c r="BX18" i="67"/>
  <c r="BJ18" i="67"/>
  <c r="BR18" i="67"/>
  <c r="BZ18" i="67"/>
  <c r="BK18" i="67"/>
  <c r="BS18" i="67"/>
  <c r="BL18" i="67"/>
  <c r="BT18" i="67"/>
  <c r="BM18" i="67"/>
  <c r="BU18" i="67"/>
  <c r="BN18" i="67"/>
  <c r="BV18" i="67"/>
  <c r="BI18" i="67"/>
  <c r="BQ18" i="67"/>
  <c r="BY18" i="67"/>
  <c r="AP7" i="23"/>
  <c r="V7" i="25" s="1"/>
  <c r="CL18" i="72"/>
  <c r="CK18" i="72"/>
  <c r="CT18" i="72"/>
  <c r="CH18" i="72"/>
  <c r="CR18" i="72"/>
  <c r="CI18" i="72"/>
  <c r="CS18" i="72"/>
  <c r="CJ18" i="72"/>
  <c r="CU18" i="72"/>
  <c r="CP18" i="72"/>
  <c r="CD18" i="72"/>
  <c r="CQ18" i="72"/>
  <c r="CE18" i="72"/>
  <c r="CV18" i="72"/>
  <c r="CF18" i="72"/>
  <c r="CW18" i="72"/>
  <c r="CG18" i="72"/>
  <c r="CO18" i="72"/>
  <c r="CM18" i="72"/>
  <c r="CN18" i="72"/>
  <c r="BJ18" i="72"/>
  <c r="BR18" i="72"/>
  <c r="BZ18" i="72"/>
  <c r="BL18" i="72"/>
  <c r="BT18" i="72"/>
  <c r="BN18" i="72"/>
  <c r="BV18" i="72"/>
  <c r="BG18" i="72"/>
  <c r="BO18" i="72"/>
  <c r="BW18" i="72"/>
  <c r="BH18" i="72"/>
  <c r="BP18" i="72"/>
  <c r="BX18" i="72"/>
  <c r="BI18" i="72"/>
  <c r="BQ18" i="72"/>
  <c r="BY18" i="72"/>
  <c r="BK18" i="72"/>
  <c r="BM18" i="72"/>
  <c r="BS18" i="72"/>
  <c r="BU18" i="72"/>
  <c r="CX18" i="73"/>
  <c r="P18" i="73" s="1"/>
  <c r="CL18" i="70"/>
  <c r="CD18" i="70"/>
  <c r="CM18" i="70"/>
  <c r="CU18" i="70"/>
  <c r="CE18" i="70"/>
  <c r="CN18" i="70"/>
  <c r="CV18" i="70"/>
  <c r="CF18" i="70"/>
  <c r="CO18" i="70"/>
  <c r="CW18" i="70"/>
  <c r="CG18" i="70"/>
  <c r="CS18" i="70"/>
  <c r="CH18" i="70"/>
  <c r="CT18" i="70"/>
  <c r="CI18" i="70"/>
  <c r="CJ18" i="70"/>
  <c r="CK18" i="70"/>
  <c r="CP18" i="70"/>
  <c r="CQ18" i="70"/>
  <c r="CR18" i="70"/>
  <c r="BI18" i="70"/>
  <c r="BQ18" i="70"/>
  <c r="BY18" i="70"/>
  <c r="BJ18" i="70"/>
  <c r="BR18" i="70"/>
  <c r="BZ18" i="70"/>
  <c r="BK18" i="70"/>
  <c r="BS18" i="70"/>
  <c r="BL18" i="70"/>
  <c r="BT18" i="70"/>
  <c r="BM18" i="70"/>
  <c r="BU18" i="70"/>
  <c r="BG18" i="70"/>
  <c r="BO18" i="70"/>
  <c r="BW18" i="70"/>
  <c r="BH18" i="70"/>
  <c r="BP18" i="70"/>
  <c r="BX18" i="70"/>
  <c r="BN18" i="70"/>
  <c r="BV18" i="70"/>
  <c r="CX17" i="67"/>
  <c r="CX18" i="69"/>
  <c r="AD8" i="23"/>
  <c r="G8" i="25" s="1"/>
  <c r="CD19" i="69"/>
  <c r="CN19" i="69"/>
  <c r="CV19" i="69"/>
  <c r="CE19" i="69"/>
  <c r="CO19" i="69"/>
  <c r="CW19" i="69"/>
  <c r="CF19" i="69"/>
  <c r="CP19" i="69"/>
  <c r="CJ19" i="69"/>
  <c r="CS19" i="69"/>
  <c r="CK19" i="69"/>
  <c r="CT19" i="69"/>
  <c r="CM19" i="69"/>
  <c r="CU19" i="69"/>
  <c r="CH19" i="69"/>
  <c r="CI19" i="69"/>
  <c r="CQ19" i="69"/>
  <c r="CR19" i="69"/>
  <c r="BG19" i="69"/>
  <c r="BQ19" i="69"/>
  <c r="BY19" i="69"/>
  <c r="BH19" i="69"/>
  <c r="BR19" i="69"/>
  <c r="BZ19" i="69"/>
  <c r="BK19" i="69"/>
  <c r="BT19" i="69"/>
  <c r="BL19" i="69"/>
  <c r="BU19" i="69"/>
  <c r="BM19" i="69"/>
  <c r="BV19" i="69"/>
  <c r="BN19" i="69"/>
  <c r="BW19" i="69"/>
  <c r="BP19" i="69"/>
  <c r="BX19" i="69"/>
  <c r="BI19" i="69"/>
  <c r="BS19" i="69"/>
  <c r="BJ19" i="69"/>
  <c r="BO19" i="69"/>
  <c r="CL19" i="69"/>
  <c r="CG19" i="69"/>
  <c r="AT8" i="23"/>
  <c r="AA8" i="25" s="1"/>
  <c r="CL19" i="73"/>
  <c r="CE19" i="73"/>
  <c r="CN19" i="73"/>
  <c r="CV19" i="73"/>
  <c r="CF19" i="73"/>
  <c r="CO19" i="73"/>
  <c r="CW19" i="73"/>
  <c r="CG19" i="73"/>
  <c r="CP19" i="73"/>
  <c r="CH19" i="73"/>
  <c r="CQ19" i="73"/>
  <c r="CI19" i="73"/>
  <c r="CR19" i="73"/>
  <c r="CJ19" i="73"/>
  <c r="CS19" i="73"/>
  <c r="CK19" i="73"/>
  <c r="CT19" i="73"/>
  <c r="CD19" i="73"/>
  <c r="CM19" i="73"/>
  <c r="CU19" i="73"/>
  <c r="BH19" i="73"/>
  <c r="BP19" i="73"/>
  <c r="BX19" i="73"/>
  <c r="BI19" i="73"/>
  <c r="BQ19" i="73"/>
  <c r="BY19" i="73"/>
  <c r="BJ19" i="73"/>
  <c r="BR19" i="73"/>
  <c r="BZ19" i="73"/>
  <c r="BK19" i="73"/>
  <c r="BS19" i="73"/>
  <c r="BL19" i="73"/>
  <c r="BT19" i="73"/>
  <c r="BU19" i="73"/>
  <c r="BW19" i="73"/>
  <c r="BG19" i="73"/>
  <c r="BM19" i="73"/>
  <c r="BN19" i="73"/>
  <c r="BO19" i="73"/>
  <c r="BV19" i="73"/>
  <c r="CX17" i="72"/>
  <c r="AL8" i="23"/>
  <c r="Q8" i="25" s="1"/>
  <c r="CL19" i="71"/>
  <c r="CM19" i="71"/>
  <c r="CU19" i="71"/>
  <c r="CO19" i="71"/>
  <c r="CD19" i="71"/>
  <c r="CP19" i="71"/>
  <c r="CF19" i="71"/>
  <c r="CQ19" i="71"/>
  <c r="CG19" i="71"/>
  <c r="CR19" i="71"/>
  <c r="CH19" i="71"/>
  <c r="CS19" i="71"/>
  <c r="CI19" i="71"/>
  <c r="CT19" i="71"/>
  <c r="CK19" i="71"/>
  <c r="CV19" i="71"/>
  <c r="CN19" i="71"/>
  <c r="CW19" i="71"/>
  <c r="BJ19" i="71"/>
  <c r="BS19" i="71"/>
  <c r="BK19" i="71"/>
  <c r="BT19" i="71"/>
  <c r="BL19" i="71"/>
  <c r="BU19" i="71"/>
  <c r="BN19" i="71"/>
  <c r="BV19" i="71"/>
  <c r="BO19" i="71"/>
  <c r="BW19" i="71"/>
  <c r="BP19" i="71"/>
  <c r="BX19" i="71"/>
  <c r="BG19" i="71"/>
  <c r="BQ19" i="71"/>
  <c r="BY19" i="71"/>
  <c r="BI19" i="71"/>
  <c r="BR19" i="71"/>
  <c r="BZ19" i="71"/>
  <c r="CE19" i="71"/>
  <c r="CJ19" i="71"/>
  <c r="BH19" i="71"/>
  <c r="BM19" i="71"/>
  <c r="N8" i="23"/>
  <c r="Q8" i="24" s="1"/>
  <c r="CL19" i="65"/>
  <c r="CN19" i="65"/>
  <c r="CV19" i="65"/>
  <c r="CJ19" i="65"/>
  <c r="CU19" i="65"/>
  <c r="CM19" i="65"/>
  <c r="CW19" i="65"/>
  <c r="CO19" i="65"/>
  <c r="CD19" i="65"/>
  <c r="CP19" i="65"/>
  <c r="CE19" i="65"/>
  <c r="CQ19" i="65"/>
  <c r="CG19" i="65"/>
  <c r="CR19" i="65"/>
  <c r="CH19" i="65"/>
  <c r="CI19" i="65"/>
  <c r="CS19" i="65"/>
  <c r="CT19" i="65"/>
  <c r="BM19" i="65"/>
  <c r="BV19" i="65"/>
  <c r="BO19" i="65"/>
  <c r="BW19" i="65"/>
  <c r="BP19" i="65"/>
  <c r="BX19" i="65"/>
  <c r="BG19" i="65"/>
  <c r="BQ19" i="65"/>
  <c r="BY19" i="65"/>
  <c r="BH19" i="65"/>
  <c r="BR19" i="65"/>
  <c r="BZ19" i="65"/>
  <c r="BJ19" i="65"/>
  <c r="BS19" i="65"/>
  <c r="BK19" i="65"/>
  <c r="BT19" i="65"/>
  <c r="BL19" i="65"/>
  <c r="BU19" i="65"/>
  <c r="BN19" i="65"/>
  <c r="CF19" i="65"/>
  <c r="CK19" i="65"/>
  <c r="BI19" i="65"/>
  <c r="F8" i="23"/>
  <c r="G8" i="24" s="1"/>
  <c r="CL19" i="63"/>
  <c r="CF19" i="63"/>
  <c r="CP19" i="63"/>
  <c r="CG19" i="63"/>
  <c r="CQ19" i="63"/>
  <c r="CK19" i="63"/>
  <c r="CM19" i="63"/>
  <c r="CR19" i="63"/>
  <c r="CS19" i="63"/>
  <c r="CD19" i="63"/>
  <c r="CT19" i="63"/>
  <c r="CE19" i="63"/>
  <c r="CU19" i="63"/>
  <c r="CI19" i="63"/>
  <c r="CV19" i="63"/>
  <c r="CJ19" i="63"/>
  <c r="CN19" i="63"/>
  <c r="CO19" i="63"/>
  <c r="CW19" i="63"/>
  <c r="BM19" i="63"/>
  <c r="BU19" i="63"/>
  <c r="BN19" i="63"/>
  <c r="BV19" i="63"/>
  <c r="BO19" i="63"/>
  <c r="BW19" i="63"/>
  <c r="BG19" i="63"/>
  <c r="BP19" i="63"/>
  <c r="BX19" i="63"/>
  <c r="BH19" i="63"/>
  <c r="BQ19" i="63"/>
  <c r="BY19" i="63"/>
  <c r="BI19" i="63"/>
  <c r="BR19" i="63"/>
  <c r="BZ19" i="63"/>
  <c r="BJ19" i="63"/>
  <c r="BL19" i="63"/>
  <c r="BS19" i="63"/>
  <c r="BT19" i="63"/>
  <c r="BK19" i="63"/>
  <c r="CH19" i="63"/>
  <c r="CX18" i="64"/>
  <c r="J8" i="23"/>
  <c r="L8" i="24" s="1"/>
  <c r="CL19" i="64"/>
  <c r="CF19" i="64"/>
  <c r="CO19" i="64"/>
  <c r="CW19" i="64"/>
  <c r="CG19" i="64"/>
  <c r="CP19" i="64"/>
  <c r="CH19" i="64"/>
  <c r="CQ19" i="64"/>
  <c r="CK19" i="64"/>
  <c r="CM19" i="64"/>
  <c r="CN19" i="64"/>
  <c r="CR19" i="64"/>
  <c r="CD19" i="64"/>
  <c r="CS19" i="64"/>
  <c r="CE19" i="64"/>
  <c r="CT19" i="64"/>
  <c r="CI19" i="64"/>
  <c r="CU19" i="64"/>
  <c r="CJ19" i="64"/>
  <c r="CV19" i="64"/>
  <c r="BG19" i="64"/>
  <c r="BO19" i="64"/>
  <c r="BW19" i="64"/>
  <c r="BK19" i="64"/>
  <c r="BQ19" i="64"/>
  <c r="BZ19" i="64"/>
  <c r="BH19" i="64"/>
  <c r="BR19" i="64"/>
  <c r="BI19" i="64"/>
  <c r="BS19" i="64"/>
  <c r="BJ19" i="64"/>
  <c r="BT19" i="64"/>
  <c r="BL19" i="64"/>
  <c r="BU19" i="64"/>
  <c r="BM19" i="64"/>
  <c r="BV19" i="64"/>
  <c r="BX19" i="64"/>
  <c r="BY19" i="64"/>
  <c r="BN19" i="64"/>
  <c r="BP19" i="64"/>
  <c r="CL18" i="66"/>
  <c r="CJ18" i="66"/>
  <c r="CS18" i="66"/>
  <c r="CK18" i="66"/>
  <c r="CT18" i="66"/>
  <c r="CM18" i="66"/>
  <c r="CU18" i="66"/>
  <c r="CD18" i="66"/>
  <c r="CN18" i="66"/>
  <c r="CV18" i="66"/>
  <c r="CE18" i="66"/>
  <c r="CO18" i="66"/>
  <c r="CW18" i="66"/>
  <c r="CF18" i="66"/>
  <c r="CP18" i="66"/>
  <c r="CH18" i="66"/>
  <c r="CQ18" i="66"/>
  <c r="CI18" i="66"/>
  <c r="CR18" i="66"/>
  <c r="BM18" i="66"/>
  <c r="BU18" i="66"/>
  <c r="BN18" i="66"/>
  <c r="BV18" i="66"/>
  <c r="BO18" i="66"/>
  <c r="BW18" i="66"/>
  <c r="BG18" i="66"/>
  <c r="BP18" i="66"/>
  <c r="BX18" i="66"/>
  <c r="BH18" i="66"/>
  <c r="BQ18" i="66"/>
  <c r="BY18" i="66"/>
  <c r="BI18" i="66"/>
  <c r="BR18" i="66"/>
  <c r="BZ18" i="66"/>
  <c r="BK18" i="66"/>
  <c r="BS18" i="66"/>
  <c r="BL18" i="66"/>
  <c r="BT18" i="66"/>
  <c r="BJ18" i="66"/>
  <c r="CG18" i="66"/>
  <c r="CX18" i="65"/>
  <c r="CX17" i="66"/>
  <c r="CX18" i="63"/>
  <c r="AB7" i="23"/>
  <c r="E7" i="25" s="1"/>
  <c r="Z8" i="23"/>
  <c r="B8" i="25" s="1"/>
  <c r="CJ19" i="68"/>
  <c r="CS19" i="68"/>
  <c r="BM19" i="68"/>
  <c r="BV19" i="68"/>
  <c r="CK19" i="68"/>
  <c r="CT19" i="68"/>
  <c r="BN19" i="68"/>
  <c r="BW19" i="68"/>
  <c r="CM19" i="68"/>
  <c r="CU19" i="68"/>
  <c r="BP19" i="68"/>
  <c r="BX19" i="68"/>
  <c r="CD19" i="68"/>
  <c r="CN19" i="68"/>
  <c r="CV19" i="68"/>
  <c r="BG19" i="68"/>
  <c r="BQ19" i="68"/>
  <c r="BY19" i="68"/>
  <c r="CE19" i="68"/>
  <c r="CO19" i="68"/>
  <c r="CW19" i="68"/>
  <c r="BH19" i="68"/>
  <c r="BR19" i="68"/>
  <c r="BZ19" i="68"/>
  <c r="CF19" i="68"/>
  <c r="CP19" i="68"/>
  <c r="BI19" i="68"/>
  <c r="BS19" i="68"/>
  <c r="CH19" i="68"/>
  <c r="CQ19" i="68"/>
  <c r="BK19" i="68"/>
  <c r="BT19" i="68"/>
  <c r="CI19" i="68"/>
  <c r="CR19" i="68"/>
  <c r="BL19" i="68"/>
  <c r="BU19" i="68"/>
  <c r="BO19" i="68"/>
  <c r="CL19" i="68"/>
  <c r="CG19" i="68"/>
  <c r="BJ19" i="68"/>
  <c r="CX18" i="68"/>
  <c r="AH7" i="23"/>
  <c r="L7" i="25" s="1"/>
  <c r="AI18" i="70"/>
  <c r="AP18" i="70"/>
  <c r="AK18" i="70"/>
  <c r="AW18" i="70"/>
  <c r="AQ18" i="70"/>
  <c r="AV18" i="70"/>
  <c r="AO18" i="70"/>
  <c r="AT18" i="70"/>
  <c r="AG18" i="70"/>
  <c r="AJ18" i="70"/>
  <c r="AS18" i="70"/>
  <c r="AL18" i="70"/>
  <c r="AX18" i="70"/>
  <c r="AN18" i="70"/>
  <c r="D18" i="70"/>
  <c r="AU18" i="70"/>
  <c r="AR18" i="70"/>
  <c r="AM18" i="70"/>
  <c r="AH18" i="70"/>
  <c r="AY18" i="70"/>
  <c r="AZ18" i="70"/>
  <c r="AG8" i="23"/>
  <c r="K8" i="25" s="1"/>
  <c r="A20" i="70"/>
  <c r="B19" i="70"/>
  <c r="BB17" i="70"/>
  <c r="BA17" i="70"/>
  <c r="N17" i="70" s="1"/>
  <c r="CA17" i="70"/>
  <c r="O17" i="70" s="1"/>
  <c r="AJ6" i="23"/>
  <c r="O6" i="25"/>
  <c r="BB17" i="67"/>
  <c r="BA17" i="67"/>
  <c r="N17" i="67" s="1"/>
  <c r="Y16" i="67" s="1"/>
  <c r="AV7" i="23"/>
  <c r="AD7" i="25"/>
  <c r="AR6" i="23"/>
  <c r="Y6" i="25"/>
  <c r="J7" i="25"/>
  <c r="AF7" i="23"/>
  <c r="AN7" i="23"/>
  <c r="T7" i="25"/>
  <c r="V7" i="23"/>
  <c r="AA7" i="24" s="1"/>
  <c r="AL18" i="67"/>
  <c r="D18" i="67"/>
  <c r="X7" i="23" s="1"/>
  <c r="AD7" i="24" s="1"/>
  <c r="AR18" i="67"/>
  <c r="AX18" i="67"/>
  <c r="AK18" i="67"/>
  <c r="AO18" i="67"/>
  <c r="AU18" i="67"/>
  <c r="AH18" i="67"/>
  <c r="AT18" i="67"/>
  <c r="AM18" i="67"/>
  <c r="AQ18" i="67"/>
  <c r="AY18" i="67"/>
  <c r="AZ18" i="67"/>
  <c r="AN18" i="67"/>
  <c r="AI18" i="67"/>
  <c r="AW18" i="67"/>
  <c r="AJ18" i="67"/>
  <c r="AV18" i="67"/>
  <c r="AS18" i="67"/>
  <c r="AG18" i="67"/>
  <c r="AP18" i="67"/>
  <c r="U8" i="23"/>
  <c r="Z8" i="24" s="1"/>
  <c r="B19" i="67"/>
  <c r="A20" i="67"/>
  <c r="BA17" i="66"/>
  <c r="N17" i="66" s="1"/>
  <c r="Y16" i="66" s="1"/>
  <c r="BB17" i="66"/>
  <c r="CA17" i="66"/>
  <c r="O17" i="66" s="1"/>
  <c r="R7" i="23"/>
  <c r="V7" i="24" s="1"/>
  <c r="AO18" i="66"/>
  <c r="AX18" i="66"/>
  <c r="AG18" i="66"/>
  <c r="AR18" i="66"/>
  <c r="AZ18" i="66"/>
  <c r="AP18" i="66"/>
  <c r="AN18" i="66"/>
  <c r="D18" i="66"/>
  <c r="T7" i="23" s="1"/>
  <c r="Y7" i="24" s="1"/>
  <c r="AH18" i="66"/>
  <c r="AU18" i="66"/>
  <c r="AK18" i="66"/>
  <c r="AS18" i="66"/>
  <c r="AV18" i="66"/>
  <c r="AI18" i="66"/>
  <c r="AQ18" i="66"/>
  <c r="AM18" i="66"/>
  <c r="AL18" i="66"/>
  <c r="AT18" i="66"/>
  <c r="AY18" i="66"/>
  <c r="AW18" i="66"/>
  <c r="AJ18" i="66"/>
  <c r="Q8" i="23"/>
  <c r="U8" i="24" s="1"/>
  <c r="B19" i="66"/>
  <c r="A20" i="66"/>
  <c r="G38" i="50"/>
  <c r="B20" i="73"/>
  <c r="A21" i="73"/>
  <c r="AS10" i="23" s="1"/>
  <c r="Z10" i="25" s="1"/>
  <c r="CA18" i="73"/>
  <c r="O18" i="73" s="1"/>
  <c r="O17" i="73"/>
  <c r="Q17" i="73" s="1"/>
  <c r="BB18" i="73"/>
  <c r="BA18" i="73"/>
  <c r="N18" i="73" s="1"/>
  <c r="Y17" i="73" s="1"/>
  <c r="AZ19" i="73"/>
  <c r="AR19" i="73"/>
  <c r="AJ19" i="73"/>
  <c r="AY19" i="73"/>
  <c r="AQ19" i="73"/>
  <c r="AI19" i="73"/>
  <c r="AX19" i="73"/>
  <c r="AP19" i="73"/>
  <c r="AH19" i="73"/>
  <c r="AW19" i="73"/>
  <c r="AO19" i="73"/>
  <c r="AG19" i="73"/>
  <c r="AS19" i="73"/>
  <c r="AN19" i="73"/>
  <c r="AM19" i="73"/>
  <c r="AL19" i="73"/>
  <c r="AK19" i="73"/>
  <c r="AV19" i="73"/>
  <c r="AU19" i="73"/>
  <c r="AT19" i="73"/>
  <c r="D19" i="73"/>
  <c r="AZ18" i="72"/>
  <c r="AX18" i="72"/>
  <c r="AP18" i="72"/>
  <c r="AH18" i="72"/>
  <c r="AW18" i="72"/>
  <c r="AO18" i="72"/>
  <c r="AG18" i="72"/>
  <c r="AV18" i="72"/>
  <c r="AN18" i="72"/>
  <c r="AU18" i="72"/>
  <c r="AM18" i="72"/>
  <c r="AT18" i="72"/>
  <c r="AL18" i="72"/>
  <c r="AS18" i="72"/>
  <c r="AK18" i="72"/>
  <c r="D18" i="72"/>
  <c r="AR18" i="72"/>
  <c r="AJ18" i="72"/>
  <c r="AY18" i="72"/>
  <c r="AQ18" i="72"/>
  <c r="AI18" i="72"/>
  <c r="A20" i="72"/>
  <c r="AO9" i="23" s="1"/>
  <c r="U9" i="25" s="1"/>
  <c r="B19" i="72"/>
  <c r="BB17" i="72"/>
  <c r="BA17" i="72"/>
  <c r="N17" i="72" s="1"/>
  <c r="CA17" i="72"/>
  <c r="O17" i="72" s="1"/>
  <c r="BB18" i="71"/>
  <c r="BA18" i="71"/>
  <c r="N18" i="71" s="1"/>
  <c r="B20" i="71"/>
  <c r="A21" i="71"/>
  <c r="AK10" i="23" s="1"/>
  <c r="P10" i="25" s="1"/>
  <c r="CA18" i="71"/>
  <c r="O18" i="71" s="1"/>
  <c r="AW19" i="71"/>
  <c r="AO19" i="71"/>
  <c r="AG19" i="71"/>
  <c r="AV19" i="71"/>
  <c r="AN19" i="71"/>
  <c r="AU19" i="71"/>
  <c r="AM19" i="71"/>
  <c r="AT19" i="71"/>
  <c r="AL19" i="71"/>
  <c r="AS19" i="71"/>
  <c r="AK19" i="71"/>
  <c r="D19" i="71"/>
  <c r="AZ19" i="71"/>
  <c r="AR19" i="71"/>
  <c r="AJ19" i="71"/>
  <c r="AY19" i="71"/>
  <c r="AQ19" i="71"/>
  <c r="AI19" i="71"/>
  <c r="AX19" i="71"/>
  <c r="AP19" i="71"/>
  <c r="AH19" i="71"/>
  <c r="A21" i="69"/>
  <c r="AC10" i="23" s="1"/>
  <c r="F10" i="25" s="1"/>
  <c r="B20" i="69"/>
  <c r="AZ19" i="69"/>
  <c r="AR19" i="69"/>
  <c r="AJ19" i="69"/>
  <c r="AY19" i="69"/>
  <c r="AQ19" i="69"/>
  <c r="AI19" i="69"/>
  <c r="AX19" i="69"/>
  <c r="AP19" i="69"/>
  <c r="AH19" i="69"/>
  <c r="AW19" i="69"/>
  <c r="AO19" i="69"/>
  <c r="AG19" i="69"/>
  <c r="AV19" i="69"/>
  <c r="AN19" i="69"/>
  <c r="AU19" i="69"/>
  <c r="AM19" i="69"/>
  <c r="AT19" i="69"/>
  <c r="AL19" i="69"/>
  <c r="AS19" i="69"/>
  <c r="AK19" i="69"/>
  <c r="D19" i="69"/>
  <c r="BB18" i="69"/>
  <c r="BA18" i="69"/>
  <c r="CA18" i="69"/>
  <c r="O18" i="69" s="1"/>
  <c r="BB18" i="68"/>
  <c r="BA18" i="68"/>
  <c r="A21" i="68"/>
  <c r="Y10" i="23" s="1"/>
  <c r="A10" i="25" s="1"/>
  <c r="B20" i="68"/>
  <c r="CA18" i="68"/>
  <c r="AT19" i="68"/>
  <c r="AL19" i="68"/>
  <c r="AS19" i="68"/>
  <c r="AK19" i="68"/>
  <c r="D19" i="68"/>
  <c r="AV19" i="68"/>
  <c r="AJ19" i="68"/>
  <c r="AU19" i="68"/>
  <c r="AI19" i="68"/>
  <c r="AR19" i="68"/>
  <c r="AQ19" i="68"/>
  <c r="AP19" i="68"/>
  <c r="AO19" i="68"/>
  <c r="AZ19" i="68"/>
  <c r="AN19" i="68"/>
  <c r="AY19" i="68"/>
  <c r="AM19" i="68"/>
  <c r="AX19" i="68"/>
  <c r="AH19" i="68"/>
  <c r="AW19" i="68"/>
  <c r="AG19" i="68"/>
  <c r="CA18" i="65"/>
  <c r="B20" i="65"/>
  <c r="A21" i="65"/>
  <c r="M10" i="23" s="1"/>
  <c r="P10" i="24" s="1"/>
  <c r="AT19" i="65"/>
  <c r="AL19" i="65"/>
  <c r="AS19" i="65"/>
  <c r="AK19" i="65"/>
  <c r="D19" i="65"/>
  <c r="P8" i="23" s="1"/>
  <c r="T8" i="24" s="1"/>
  <c r="AZ19" i="65"/>
  <c r="AR19" i="65"/>
  <c r="AJ19" i="65"/>
  <c r="AY19" i="65"/>
  <c r="AQ19" i="65"/>
  <c r="AI19" i="65"/>
  <c r="AX19" i="65"/>
  <c r="AP19" i="65"/>
  <c r="AH19" i="65"/>
  <c r="AW19" i="65"/>
  <c r="AO19" i="65"/>
  <c r="AG19" i="65"/>
  <c r="AV19" i="65"/>
  <c r="AN19" i="65"/>
  <c r="AU19" i="65"/>
  <c r="AM19" i="65"/>
  <c r="N17" i="65"/>
  <c r="BB18" i="65"/>
  <c r="BA18" i="65"/>
  <c r="N18" i="65" s="1"/>
  <c r="AU19" i="64"/>
  <c r="AM19" i="64"/>
  <c r="AT19" i="64"/>
  <c r="AL19" i="64"/>
  <c r="AY19" i="64"/>
  <c r="AO19" i="64"/>
  <c r="D19" i="64"/>
  <c r="L8" i="23" s="1"/>
  <c r="O8" i="24" s="1"/>
  <c r="AX19" i="64"/>
  <c r="AN19" i="64"/>
  <c r="AW19" i="64"/>
  <c r="AK19" i="64"/>
  <c r="AV19" i="64"/>
  <c r="AJ19" i="64"/>
  <c r="AS19" i="64"/>
  <c r="AI19" i="64"/>
  <c r="AR19" i="64"/>
  <c r="AH19" i="64"/>
  <c r="AQ19" i="64"/>
  <c r="AG19" i="64"/>
  <c r="AZ19" i="64"/>
  <c r="AP19" i="64"/>
  <c r="BB18" i="64"/>
  <c r="BA18" i="64"/>
  <c r="N18" i="64" s="1"/>
  <c r="Y17" i="64" s="1"/>
  <c r="N17" i="64"/>
  <c r="Y16" i="64" s="1"/>
  <c r="A21" i="64"/>
  <c r="I10" i="23" s="1"/>
  <c r="K10" i="24" s="1"/>
  <c r="B20" i="64"/>
  <c r="BB18" i="63"/>
  <c r="BA18" i="63"/>
  <c r="AX19" i="63"/>
  <c r="AP19" i="63"/>
  <c r="AH19" i="63"/>
  <c r="AW19" i="63"/>
  <c r="AO19" i="63"/>
  <c r="AG19" i="63"/>
  <c r="AV19" i="63"/>
  <c r="AN19" i="63"/>
  <c r="AU19" i="63"/>
  <c r="AM19" i="63"/>
  <c r="AT19" i="63"/>
  <c r="AL19" i="63"/>
  <c r="AS19" i="63"/>
  <c r="AK19" i="63"/>
  <c r="D19" i="63"/>
  <c r="H8" i="23" s="1"/>
  <c r="J8" i="24" s="1"/>
  <c r="AZ19" i="63"/>
  <c r="AR19" i="63"/>
  <c r="AJ19" i="63"/>
  <c r="AY19" i="63"/>
  <c r="AQ19" i="63"/>
  <c r="AI19" i="63"/>
  <c r="B20" i="63"/>
  <c r="A21" i="63"/>
  <c r="E10" i="23" s="1"/>
  <c r="F10" i="24" s="1"/>
  <c r="Q18" i="73" l="1"/>
  <c r="FN17" i="73"/>
  <c r="FL17" i="73"/>
  <c r="FL17" i="64"/>
  <c r="FN17" i="64"/>
  <c r="FL16" i="64"/>
  <c r="FN16" i="64"/>
  <c r="FN16" i="66"/>
  <c r="FL16" i="66"/>
  <c r="FN16" i="67"/>
  <c r="FL16" i="67"/>
  <c r="CX19" i="73"/>
  <c r="P19" i="73" s="1"/>
  <c r="AP8" i="23"/>
  <c r="V8" i="25" s="1"/>
  <c r="CL19" i="72"/>
  <c r="CI19" i="72"/>
  <c r="CS19" i="72"/>
  <c r="CG19" i="72"/>
  <c r="CT19" i="72"/>
  <c r="CJ19" i="72"/>
  <c r="CU19" i="72"/>
  <c r="CK19" i="72"/>
  <c r="CV19" i="72"/>
  <c r="CO19" i="72"/>
  <c r="CP19" i="72"/>
  <c r="CQ19" i="72"/>
  <c r="CR19" i="72"/>
  <c r="CD19" i="72"/>
  <c r="CW19" i="72"/>
  <c r="CE19" i="72"/>
  <c r="CF19" i="72"/>
  <c r="CN19" i="72"/>
  <c r="BO19" i="72"/>
  <c r="BX19" i="72"/>
  <c r="BH19" i="72"/>
  <c r="BR19" i="72"/>
  <c r="BZ19" i="72"/>
  <c r="BJ19" i="72"/>
  <c r="BT19" i="72"/>
  <c r="BL19" i="72"/>
  <c r="BU19" i="72"/>
  <c r="BM19" i="72"/>
  <c r="BV19" i="72"/>
  <c r="BN19" i="72"/>
  <c r="BW19" i="72"/>
  <c r="BS19" i="72"/>
  <c r="BY19" i="72"/>
  <c r="BG19" i="72"/>
  <c r="BI19" i="72"/>
  <c r="BQ19" i="72"/>
  <c r="CM19" i="72"/>
  <c r="CH19" i="72"/>
  <c r="BP19" i="72"/>
  <c r="BK19" i="72"/>
  <c r="CX19" i="69"/>
  <c r="CX18" i="67"/>
  <c r="AD9" i="23"/>
  <c r="G9" i="25" s="1"/>
  <c r="CL20" i="69"/>
  <c r="CK20" i="69"/>
  <c r="CU20" i="69"/>
  <c r="CN20" i="69"/>
  <c r="CV20" i="69"/>
  <c r="CD20" i="69"/>
  <c r="CO20" i="69"/>
  <c r="CW20" i="69"/>
  <c r="CG20" i="69"/>
  <c r="CR20" i="69"/>
  <c r="CI20" i="69"/>
  <c r="CS20" i="69"/>
  <c r="CJ20" i="69"/>
  <c r="CT20" i="69"/>
  <c r="CP20" i="69"/>
  <c r="CQ20" i="69"/>
  <c r="CE20" i="69"/>
  <c r="CF20" i="69"/>
  <c r="BN20" i="69"/>
  <c r="BW20" i="69"/>
  <c r="BO20" i="69"/>
  <c r="BX20" i="69"/>
  <c r="BH20" i="69"/>
  <c r="BR20" i="69"/>
  <c r="BZ20" i="69"/>
  <c r="BI20" i="69"/>
  <c r="BS20" i="69"/>
  <c r="BJ20" i="69"/>
  <c r="BT20" i="69"/>
  <c r="BL20" i="69"/>
  <c r="BU20" i="69"/>
  <c r="BM20" i="69"/>
  <c r="BV20" i="69"/>
  <c r="BG20" i="69"/>
  <c r="BQ20" i="69"/>
  <c r="BY20" i="69"/>
  <c r="BK20" i="69"/>
  <c r="BP20" i="69"/>
  <c r="CH20" i="69"/>
  <c r="CM20" i="69"/>
  <c r="CX19" i="71"/>
  <c r="AL9" i="23"/>
  <c r="Q9" i="25" s="1"/>
  <c r="CL20" i="71"/>
  <c r="CJ20" i="71"/>
  <c r="CT20" i="71"/>
  <c r="CD20" i="71"/>
  <c r="CP20" i="71"/>
  <c r="CE20" i="71"/>
  <c r="CQ20" i="71"/>
  <c r="CG20" i="71"/>
  <c r="CR20" i="71"/>
  <c r="CH20" i="71"/>
  <c r="CS20" i="71"/>
  <c r="CI20" i="71"/>
  <c r="CU20" i="71"/>
  <c r="CM20" i="71"/>
  <c r="CV20" i="71"/>
  <c r="CN20" i="71"/>
  <c r="CW20" i="71"/>
  <c r="CO20" i="71"/>
  <c r="BG20" i="71"/>
  <c r="BQ20" i="71"/>
  <c r="BY20" i="71"/>
  <c r="BH20" i="71"/>
  <c r="BR20" i="71"/>
  <c r="BZ20" i="71"/>
  <c r="BJ20" i="71"/>
  <c r="BS20" i="71"/>
  <c r="BK20" i="71"/>
  <c r="BT20" i="71"/>
  <c r="BL20" i="71"/>
  <c r="BU20" i="71"/>
  <c r="BM20" i="71"/>
  <c r="BV20" i="71"/>
  <c r="BO20" i="71"/>
  <c r="BW20" i="71"/>
  <c r="BP20" i="71"/>
  <c r="BX20" i="71"/>
  <c r="CF20" i="71"/>
  <c r="BI20" i="71"/>
  <c r="CK20" i="71"/>
  <c r="BN20" i="71"/>
  <c r="AT9" i="23"/>
  <c r="AA9" i="25" s="1"/>
  <c r="CL20" i="73"/>
  <c r="CJ20" i="73"/>
  <c r="CS20" i="73"/>
  <c r="CK20" i="73"/>
  <c r="CT20" i="73"/>
  <c r="CD20" i="73"/>
  <c r="CM20" i="73"/>
  <c r="CU20" i="73"/>
  <c r="CE20" i="73"/>
  <c r="CN20" i="73"/>
  <c r="CV20" i="73"/>
  <c r="CF20" i="73"/>
  <c r="CO20" i="73"/>
  <c r="CW20" i="73"/>
  <c r="CG20" i="73"/>
  <c r="CP20" i="73"/>
  <c r="CH20" i="73"/>
  <c r="CQ20" i="73"/>
  <c r="CI20" i="73"/>
  <c r="CR20" i="73"/>
  <c r="BL20" i="73"/>
  <c r="BT20" i="73"/>
  <c r="BM20" i="73"/>
  <c r="BU20" i="73"/>
  <c r="BN20" i="73"/>
  <c r="BV20" i="73"/>
  <c r="BG20" i="73"/>
  <c r="BO20" i="73"/>
  <c r="BW20" i="73"/>
  <c r="BH20" i="73"/>
  <c r="BP20" i="73"/>
  <c r="BX20" i="73"/>
  <c r="BS20" i="73"/>
  <c r="BZ20" i="73"/>
  <c r="BI20" i="73"/>
  <c r="BJ20" i="73"/>
  <c r="BK20" i="73"/>
  <c r="BQ20" i="73"/>
  <c r="BR20" i="73"/>
  <c r="BY20" i="73"/>
  <c r="CX18" i="70"/>
  <c r="CX18" i="72"/>
  <c r="CL19" i="67"/>
  <c r="CG19" i="67"/>
  <c r="CP19" i="67"/>
  <c r="CH19" i="67"/>
  <c r="CQ19" i="67"/>
  <c r="CF19" i="67"/>
  <c r="CS19" i="67"/>
  <c r="CI19" i="67"/>
  <c r="CT19" i="67"/>
  <c r="CJ19" i="67"/>
  <c r="CU19" i="67"/>
  <c r="CK19" i="67"/>
  <c r="CV19" i="67"/>
  <c r="CM19" i="67"/>
  <c r="CW19" i="67"/>
  <c r="CN19" i="67"/>
  <c r="CR19" i="67"/>
  <c r="CE19" i="67"/>
  <c r="CO19" i="67"/>
  <c r="BM19" i="67"/>
  <c r="BU19" i="67"/>
  <c r="BN19" i="67"/>
  <c r="BV19" i="67"/>
  <c r="BP19" i="67"/>
  <c r="BX19" i="67"/>
  <c r="BH19" i="67"/>
  <c r="BQ19" i="67"/>
  <c r="BY19" i="67"/>
  <c r="BI19" i="67"/>
  <c r="BR19" i="67"/>
  <c r="BZ19" i="67"/>
  <c r="BJ19" i="67"/>
  <c r="BS19" i="67"/>
  <c r="BK19" i="67"/>
  <c r="BT19" i="67"/>
  <c r="BO19" i="67"/>
  <c r="BW19" i="67"/>
  <c r="BL19" i="67"/>
  <c r="CD19" i="67"/>
  <c r="BG19" i="67"/>
  <c r="CL19" i="70"/>
  <c r="CI19" i="70"/>
  <c r="CR19" i="70"/>
  <c r="CJ19" i="70"/>
  <c r="CS19" i="70"/>
  <c r="CK19" i="70"/>
  <c r="CT19" i="70"/>
  <c r="CN19" i="70"/>
  <c r="CO19" i="70"/>
  <c r="CD19" i="70"/>
  <c r="CP19" i="70"/>
  <c r="CE19" i="70"/>
  <c r="CQ19" i="70"/>
  <c r="CF19" i="70"/>
  <c r="CU19" i="70"/>
  <c r="CG19" i="70"/>
  <c r="CV19" i="70"/>
  <c r="CH19" i="70"/>
  <c r="CW19" i="70"/>
  <c r="CM19" i="70"/>
  <c r="BM19" i="70"/>
  <c r="BU19" i="70"/>
  <c r="BN19" i="70"/>
  <c r="BV19" i="70"/>
  <c r="BG19" i="70"/>
  <c r="BO19" i="70"/>
  <c r="BW19" i="70"/>
  <c r="BH19" i="70"/>
  <c r="BP19" i="70"/>
  <c r="BX19" i="70"/>
  <c r="BI19" i="70"/>
  <c r="BQ19" i="70"/>
  <c r="BY19" i="70"/>
  <c r="BK19" i="70"/>
  <c r="BS19" i="70"/>
  <c r="BL19" i="70"/>
  <c r="BT19" i="70"/>
  <c r="BR19" i="70"/>
  <c r="BZ19" i="70"/>
  <c r="BJ19" i="70"/>
  <c r="CL19" i="66"/>
  <c r="CG19" i="66"/>
  <c r="CQ19" i="66"/>
  <c r="CI19" i="66"/>
  <c r="CR19" i="66"/>
  <c r="CJ19" i="66"/>
  <c r="CS19" i="66"/>
  <c r="CK19" i="66"/>
  <c r="CT19" i="66"/>
  <c r="CM19" i="66"/>
  <c r="CU19" i="66"/>
  <c r="CD19" i="66"/>
  <c r="CN19" i="66"/>
  <c r="CV19" i="66"/>
  <c r="CE19" i="66"/>
  <c r="CO19" i="66"/>
  <c r="CW19" i="66"/>
  <c r="CF19" i="66"/>
  <c r="CP19" i="66"/>
  <c r="BI19" i="66"/>
  <c r="BR19" i="66"/>
  <c r="BZ19" i="66"/>
  <c r="BJ19" i="66"/>
  <c r="BS19" i="66"/>
  <c r="BL19" i="66"/>
  <c r="BT19" i="66"/>
  <c r="BM19" i="66"/>
  <c r="BU19" i="66"/>
  <c r="BN19" i="66"/>
  <c r="BV19" i="66"/>
  <c r="BO19" i="66"/>
  <c r="BW19" i="66"/>
  <c r="BG19" i="66"/>
  <c r="BP19" i="66"/>
  <c r="BX19" i="66"/>
  <c r="BH19" i="66"/>
  <c r="BQ19" i="66"/>
  <c r="BY19" i="66"/>
  <c r="CH19" i="66"/>
  <c r="BK19" i="66"/>
  <c r="CX18" i="66"/>
  <c r="CX19" i="63"/>
  <c r="J9" i="23"/>
  <c r="L9" i="24" s="1"/>
  <c r="CL20" i="64"/>
  <c r="CM20" i="64"/>
  <c r="CU20" i="64"/>
  <c r="CE20" i="64"/>
  <c r="CN20" i="64"/>
  <c r="CV20" i="64"/>
  <c r="CF20" i="64"/>
  <c r="CO20" i="64"/>
  <c r="CW20" i="64"/>
  <c r="CG20" i="64"/>
  <c r="CS20" i="64"/>
  <c r="CH20" i="64"/>
  <c r="CT20" i="64"/>
  <c r="CI20" i="64"/>
  <c r="CJ20" i="64"/>
  <c r="CK20" i="64"/>
  <c r="CP20" i="64"/>
  <c r="CQ20" i="64"/>
  <c r="CR20" i="64"/>
  <c r="BL20" i="64"/>
  <c r="BT20" i="64"/>
  <c r="BP20" i="64"/>
  <c r="BY20" i="64"/>
  <c r="BH20" i="64"/>
  <c r="BQ20" i="64"/>
  <c r="BZ20" i="64"/>
  <c r="BI20" i="64"/>
  <c r="BR20" i="64"/>
  <c r="BJ20" i="64"/>
  <c r="BS20" i="64"/>
  <c r="BK20" i="64"/>
  <c r="BU20" i="64"/>
  <c r="BM20" i="64"/>
  <c r="BV20" i="64"/>
  <c r="BN20" i="64"/>
  <c r="BO20" i="64"/>
  <c r="BW20" i="64"/>
  <c r="BX20" i="64"/>
  <c r="CD20" i="64"/>
  <c r="BG20" i="64"/>
  <c r="F9" i="23"/>
  <c r="G9" i="24" s="1"/>
  <c r="CL20" i="63"/>
  <c r="CD20" i="63"/>
  <c r="CG20" i="63"/>
  <c r="CP20" i="63"/>
  <c r="CH20" i="63"/>
  <c r="CQ20" i="63"/>
  <c r="CI20" i="63"/>
  <c r="CR20" i="63"/>
  <c r="CJ20" i="63"/>
  <c r="CS20" i="63"/>
  <c r="CK20" i="63"/>
  <c r="CT20" i="63"/>
  <c r="CO20" i="63"/>
  <c r="CU20" i="63"/>
  <c r="CV20" i="63"/>
  <c r="CW20" i="63"/>
  <c r="CE20" i="63"/>
  <c r="CF20" i="63"/>
  <c r="CM20" i="63"/>
  <c r="CN20" i="63"/>
  <c r="BI20" i="63"/>
  <c r="BQ20" i="63"/>
  <c r="BY20" i="63"/>
  <c r="BJ20" i="63"/>
  <c r="BR20" i="63"/>
  <c r="BZ20" i="63"/>
  <c r="BK20" i="63"/>
  <c r="BS20" i="63"/>
  <c r="BL20" i="63"/>
  <c r="BT20" i="63"/>
  <c r="BM20" i="63"/>
  <c r="BU20" i="63"/>
  <c r="BN20" i="63"/>
  <c r="BV20" i="63"/>
  <c r="BW20" i="63"/>
  <c r="BX20" i="63"/>
  <c r="BG20" i="63"/>
  <c r="BH20" i="63"/>
  <c r="BO20" i="63"/>
  <c r="BP20" i="63"/>
  <c r="CX19" i="65"/>
  <c r="N9" i="23"/>
  <c r="Q9" i="24" s="1"/>
  <c r="CL20" i="65"/>
  <c r="CK20" i="65"/>
  <c r="CT20" i="65"/>
  <c r="CM20" i="65"/>
  <c r="CV20" i="65"/>
  <c r="CN20" i="65"/>
  <c r="CW20" i="65"/>
  <c r="CD20" i="65"/>
  <c r="CO20" i="65"/>
  <c r="CE20" i="65"/>
  <c r="CP20" i="65"/>
  <c r="CF20" i="65"/>
  <c r="CQ20" i="65"/>
  <c r="CH20" i="65"/>
  <c r="CR20" i="65"/>
  <c r="CS20" i="65"/>
  <c r="CU20" i="65"/>
  <c r="CI20" i="65"/>
  <c r="CJ20" i="65"/>
  <c r="BK20" i="65"/>
  <c r="BS20" i="65"/>
  <c r="BL20" i="65"/>
  <c r="BT20" i="65"/>
  <c r="BM20" i="65"/>
  <c r="BU20" i="65"/>
  <c r="BN20" i="65"/>
  <c r="BV20" i="65"/>
  <c r="BO20" i="65"/>
  <c r="BW20" i="65"/>
  <c r="BG20" i="65"/>
  <c r="BP20" i="65"/>
  <c r="BX20" i="65"/>
  <c r="BH20" i="65"/>
  <c r="BQ20" i="65"/>
  <c r="BY20" i="65"/>
  <c r="BI20" i="65"/>
  <c r="BR20" i="65"/>
  <c r="BZ20" i="65"/>
  <c r="BJ20" i="65"/>
  <c r="CG20" i="65"/>
  <c r="CX19" i="64"/>
  <c r="AB8" i="23"/>
  <c r="E8" i="25" s="1"/>
  <c r="CX19" i="68"/>
  <c r="Z9" i="23"/>
  <c r="B9" i="25" s="1"/>
  <c r="CL20" i="68"/>
  <c r="CG20" i="68"/>
  <c r="CR20" i="68"/>
  <c r="BJ20" i="68"/>
  <c r="BT20" i="68"/>
  <c r="CI20" i="68"/>
  <c r="CS20" i="68"/>
  <c r="BL20" i="68"/>
  <c r="BU20" i="68"/>
  <c r="CJ20" i="68"/>
  <c r="CT20" i="68"/>
  <c r="BM20" i="68"/>
  <c r="BV20" i="68"/>
  <c r="CK20" i="68"/>
  <c r="CU20" i="68"/>
  <c r="BN20" i="68"/>
  <c r="BW20" i="68"/>
  <c r="CN20" i="68"/>
  <c r="CV20" i="68"/>
  <c r="BO20" i="68"/>
  <c r="BX20" i="68"/>
  <c r="CD20" i="68"/>
  <c r="CO20" i="68"/>
  <c r="CW20" i="68"/>
  <c r="BG20" i="68"/>
  <c r="BQ20" i="68"/>
  <c r="BY20" i="68"/>
  <c r="CE20" i="68"/>
  <c r="CP20" i="68"/>
  <c r="BH20" i="68"/>
  <c r="BR20" i="68"/>
  <c r="BZ20" i="68"/>
  <c r="CF20" i="68"/>
  <c r="CQ20" i="68"/>
  <c r="BI20" i="68"/>
  <c r="BS20" i="68"/>
  <c r="BK20" i="68"/>
  <c r="BP20" i="68"/>
  <c r="CM20" i="68"/>
  <c r="CH20" i="68"/>
  <c r="BB18" i="70"/>
  <c r="BA18" i="70"/>
  <c r="N18" i="70" s="1"/>
  <c r="AH8" i="23"/>
  <c r="L8" i="25" s="1"/>
  <c r="AO19" i="70"/>
  <c r="AM19" i="70"/>
  <c r="AX19" i="70"/>
  <c r="AG19" i="70"/>
  <c r="AZ19" i="70"/>
  <c r="AN19" i="70"/>
  <c r="AU19" i="70"/>
  <c r="AP19" i="70"/>
  <c r="AR19" i="70"/>
  <c r="AH19" i="70"/>
  <c r="D19" i="70"/>
  <c r="AK19" i="70"/>
  <c r="AV19" i="70"/>
  <c r="AS19" i="70"/>
  <c r="AQ19" i="70"/>
  <c r="AL19" i="70"/>
  <c r="AI19" i="70"/>
  <c r="AT19" i="70"/>
  <c r="AJ19" i="70"/>
  <c r="AW19" i="70"/>
  <c r="AY19" i="70"/>
  <c r="AG9" i="23"/>
  <c r="K9" i="25" s="1"/>
  <c r="B20" i="70"/>
  <c r="A21" i="70"/>
  <c r="AJ7" i="23"/>
  <c r="O7" i="25"/>
  <c r="CA18" i="70"/>
  <c r="O18" i="70" s="1"/>
  <c r="U9" i="23"/>
  <c r="Z9" i="24" s="1"/>
  <c r="A21" i="67"/>
  <c r="B20" i="67"/>
  <c r="J8" i="25"/>
  <c r="AF8" i="23"/>
  <c r="T8" i="25"/>
  <c r="AN8" i="23"/>
  <c r="V8" i="23"/>
  <c r="AA8" i="24" s="1"/>
  <c r="AI19" i="67"/>
  <c r="AN19" i="67"/>
  <c r="AT19" i="67"/>
  <c r="AK19" i="67"/>
  <c r="AJ19" i="67"/>
  <c r="AX19" i="67"/>
  <c r="AL19" i="67"/>
  <c r="D19" i="67"/>
  <c r="X8" i="23" s="1"/>
  <c r="AD8" i="24" s="1"/>
  <c r="AS19" i="67"/>
  <c r="AW19" i="67"/>
  <c r="AU19" i="67"/>
  <c r="AR19" i="67"/>
  <c r="AO19" i="67"/>
  <c r="AM19" i="67"/>
  <c r="AV19" i="67"/>
  <c r="AG19" i="67"/>
  <c r="AY19" i="67"/>
  <c r="AP19" i="67"/>
  <c r="AZ19" i="67"/>
  <c r="AH19" i="67"/>
  <c r="AQ19" i="67"/>
  <c r="Y7" i="25"/>
  <c r="AR7" i="23"/>
  <c r="AV8" i="23"/>
  <c r="AD8" i="25"/>
  <c r="BB18" i="67"/>
  <c r="BA18" i="67"/>
  <c r="N18" i="67" s="1"/>
  <c r="Q9" i="23"/>
  <c r="U9" i="24" s="1"/>
  <c r="A21" i="66"/>
  <c r="B20" i="66"/>
  <c r="BA18" i="66"/>
  <c r="N18" i="66" s="1"/>
  <c r="BB18" i="66"/>
  <c r="R8" i="23"/>
  <c r="V8" i="24" s="1"/>
  <c r="AM19" i="66"/>
  <c r="AG19" i="66"/>
  <c r="AH19" i="66"/>
  <c r="AP19" i="66"/>
  <c r="AV19" i="66"/>
  <c r="AZ19" i="66"/>
  <c r="AX19" i="66"/>
  <c r="AL19" i="66"/>
  <c r="AT19" i="66"/>
  <c r="AS19" i="66"/>
  <c r="AR19" i="66"/>
  <c r="AN19" i="66"/>
  <c r="AK19" i="66"/>
  <c r="AJ19" i="66"/>
  <c r="AY19" i="66"/>
  <c r="AW19" i="66"/>
  <c r="D19" i="66"/>
  <c r="T8" i="23" s="1"/>
  <c r="Y8" i="24" s="1"/>
  <c r="AO19" i="66"/>
  <c r="AU19" i="66"/>
  <c r="AI19" i="66"/>
  <c r="AQ19" i="66"/>
  <c r="G39" i="50"/>
  <c r="Z16" i="73"/>
  <c r="Z45" i="73" s="1"/>
  <c r="BB19" i="73"/>
  <c r="BA19" i="73"/>
  <c r="N19" i="73" s="1"/>
  <c r="Y18" i="73" s="1"/>
  <c r="CA19" i="73"/>
  <c r="O19" i="73" s="1"/>
  <c r="A22" i="73"/>
  <c r="AS11" i="23" s="1"/>
  <c r="Z11" i="25" s="1"/>
  <c r="B21" i="73"/>
  <c r="AU20" i="73"/>
  <c r="AM20" i="73"/>
  <c r="AT20" i="73"/>
  <c r="AL20" i="73"/>
  <c r="AS20" i="73"/>
  <c r="AK20" i="73"/>
  <c r="D20" i="73"/>
  <c r="AZ20" i="73"/>
  <c r="AR20" i="73"/>
  <c r="AJ20" i="73"/>
  <c r="AW20" i="73"/>
  <c r="AO20" i="73"/>
  <c r="AG20" i="73"/>
  <c r="AV20" i="73"/>
  <c r="AN20" i="73"/>
  <c r="AY20" i="73"/>
  <c r="AX20" i="73"/>
  <c r="AQ20" i="73"/>
  <c r="AP20" i="73"/>
  <c r="AI20" i="73"/>
  <c r="AH20" i="73"/>
  <c r="BB18" i="72"/>
  <c r="BA18" i="72"/>
  <c r="N18" i="72" s="1"/>
  <c r="CA18" i="72"/>
  <c r="A21" i="72"/>
  <c r="AO10" i="23" s="1"/>
  <c r="U10" i="25" s="1"/>
  <c r="B20" i="72"/>
  <c r="AU19" i="72"/>
  <c r="AM19" i="72"/>
  <c r="AS19" i="72"/>
  <c r="AK19" i="72"/>
  <c r="D19" i="72"/>
  <c r="AY19" i="72"/>
  <c r="AQ19" i="72"/>
  <c r="AI19" i="72"/>
  <c r="AX19" i="72"/>
  <c r="AP19" i="72"/>
  <c r="AH19" i="72"/>
  <c r="AW19" i="72"/>
  <c r="AO19" i="72"/>
  <c r="AG19" i="72"/>
  <c r="AV19" i="72"/>
  <c r="AN19" i="72"/>
  <c r="AZ19" i="72"/>
  <c r="AT19" i="72"/>
  <c r="AR19" i="72"/>
  <c r="AL19" i="72"/>
  <c r="AJ19" i="72"/>
  <c r="A22" i="71"/>
  <c r="AK11" i="23" s="1"/>
  <c r="P11" i="25" s="1"/>
  <c r="B21" i="71"/>
  <c r="BB19" i="71"/>
  <c r="BA19" i="71"/>
  <c r="AS20" i="71"/>
  <c r="AK20" i="71"/>
  <c r="D20" i="71"/>
  <c r="AZ20" i="71"/>
  <c r="AR20" i="71"/>
  <c r="AJ20" i="71"/>
  <c r="AQ20" i="71"/>
  <c r="AG20" i="71"/>
  <c r="AP20" i="71"/>
  <c r="AY20" i="71"/>
  <c r="AO20" i="71"/>
  <c r="AX20" i="71"/>
  <c r="AN20" i="71"/>
  <c r="AW20" i="71"/>
  <c r="AM20" i="71"/>
  <c r="AV20" i="71"/>
  <c r="AL20" i="71"/>
  <c r="AU20" i="71"/>
  <c r="AI20" i="71"/>
  <c r="AT20" i="71"/>
  <c r="AH20" i="71"/>
  <c r="CA19" i="71"/>
  <c r="O19" i="71" s="1"/>
  <c r="N18" i="69"/>
  <c r="Y17" i="69" s="1"/>
  <c r="BB19" i="69"/>
  <c r="BA19" i="69"/>
  <c r="N19" i="69" s="1"/>
  <c r="Y18" i="69" s="1"/>
  <c r="AU20" i="69"/>
  <c r="AM20" i="69"/>
  <c r="AT20" i="69"/>
  <c r="AL20" i="69"/>
  <c r="AS20" i="69"/>
  <c r="AK20" i="69"/>
  <c r="D20" i="69"/>
  <c r="AZ20" i="69"/>
  <c r="AR20" i="69"/>
  <c r="AJ20" i="69"/>
  <c r="AY20" i="69"/>
  <c r="AQ20" i="69"/>
  <c r="AI20" i="69"/>
  <c r="AX20" i="69"/>
  <c r="AP20" i="69"/>
  <c r="AH20" i="69"/>
  <c r="AW20" i="69"/>
  <c r="AO20" i="69"/>
  <c r="AG20" i="69"/>
  <c r="AV20" i="69"/>
  <c r="AN20" i="69"/>
  <c r="B21" i="69"/>
  <c r="A22" i="69"/>
  <c r="AC11" i="23" s="1"/>
  <c r="F11" i="25" s="1"/>
  <c r="O18" i="68"/>
  <c r="AW20" i="68"/>
  <c r="AO20" i="68"/>
  <c r="AG20" i="68"/>
  <c r="AV20" i="68"/>
  <c r="AN20" i="68"/>
  <c r="AS20" i="68"/>
  <c r="AI20" i="68"/>
  <c r="AR20" i="68"/>
  <c r="AH20" i="68"/>
  <c r="AZ20" i="68"/>
  <c r="AL20" i="68"/>
  <c r="AY20" i="68"/>
  <c r="AK20" i="68"/>
  <c r="AX20" i="68"/>
  <c r="AJ20" i="68"/>
  <c r="D20" i="68"/>
  <c r="AU20" i="68"/>
  <c r="AT20" i="68"/>
  <c r="AQ20" i="68"/>
  <c r="AP20" i="68"/>
  <c r="AM20" i="68"/>
  <c r="B21" i="68"/>
  <c r="A22" i="68"/>
  <c r="Y11" i="23" s="1"/>
  <c r="A11" i="25" s="1"/>
  <c r="N18" i="68"/>
  <c r="BB19" i="68"/>
  <c r="BA19" i="68"/>
  <c r="N19" i="68" s="1"/>
  <c r="Y19" i="68" s="1"/>
  <c r="BB19" i="65"/>
  <c r="BA19" i="65"/>
  <c r="A22" i="65"/>
  <c r="M11" i="23" s="1"/>
  <c r="P11" i="24" s="1"/>
  <c r="B21" i="65"/>
  <c r="AW20" i="65"/>
  <c r="AO20" i="65"/>
  <c r="AG20" i="65"/>
  <c r="AV20" i="65"/>
  <c r="AN20" i="65"/>
  <c r="AU20" i="65"/>
  <c r="AM20" i="65"/>
  <c r="AT20" i="65"/>
  <c r="AL20" i="65"/>
  <c r="AS20" i="65"/>
  <c r="AK20" i="65"/>
  <c r="D20" i="65"/>
  <c r="P9" i="23" s="1"/>
  <c r="T9" i="24" s="1"/>
  <c r="AZ20" i="65"/>
  <c r="AR20" i="65"/>
  <c r="AJ20" i="65"/>
  <c r="AY20" i="65"/>
  <c r="AQ20" i="65"/>
  <c r="AI20" i="65"/>
  <c r="AX20" i="65"/>
  <c r="AP20" i="65"/>
  <c r="AH20" i="65"/>
  <c r="CA19" i="65"/>
  <c r="O19" i="65" s="1"/>
  <c r="O18" i="65"/>
  <c r="BB19" i="64"/>
  <c r="BA19" i="64"/>
  <c r="AX20" i="64"/>
  <c r="AP20" i="64"/>
  <c r="AH20" i="64"/>
  <c r="AW20" i="64"/>
  <c r="AO20" i="64"/>
  <c r="AG20" i="64"/>
  <c r="AV20" i="64"/>
  <c r="AL20" i="64"/>
  <c r="AU20" i="64"/>
  <c r="AK20" i="64"/>
  <c r="AT20" i="64"/>
  <c r="AJ20" i="64"/>
  <c r="AS20" i="64"/>
  <c r="AI20" i="64"/>
  <c r="AR20" i="64"/>
  <c r="AQ20" i="64"/>
  <c r="D20" i="64"/>
  <c r="L9" i="23" s="1"/>
  <c r="O9" i="24" s="1"/>
  <c r="AZ20" i="64"/>
  <c r="AN20" i="64"/>
  <c r="AY20" i="64"/>
  <c r="AM20" i="64"/>
  <c r="B21" i="64"/>
  <c r="A22" i="64"/>
  <c r="I11" i="23" s="1"/>
  <c r="K11" i="24" s="1"/>
  <c r="AS20" i="63"/>
  <c r="AZ20" i="63"/>
  <c r="AR20" i="63"/>
  <c r="AJ20" i="63"/>
  <c r="AV20" i="63"/>
  <c r="AL20" i="63"/>
  <c r="D20" i="63"/>
  <c r="H9" i="23" s="1"/>
  <c r="J9" i="24" s="1"/>
  <c r="AU20" i="63"/>
  <c r="AK20" i="63"/>
  <c r="AT20" i="63"/>
  <c r="AI20" i="63"/>
  <c r="AQ20" i="63"/>
  <c r="AH20" i="63"/>
  <c r="AP20" i="63"/>
  <c r="AG20" i="63"/>
  <c r="AY20" i="63"/>
  <c r="AO20" i="63"/>
  <c r="AX20" i="63"/>
  <c r="AN20" i="63"/>
  <c r="AW20" i="63"/>
  <c r="AM20" i="63"/>
  <c r="A22" i="63"/>
  <c r="E11" i="23" s="1"/>
  <c r="F11" i="24" s="1"/>
  <c r="B21" i="63"/>
  <c r="N18" i="63"/>
  <c r="BB19" i="63"/>
  <c r="BA19" i="63"/>
  <c r="N19" i="63" s="1"/>
  <c r="Q19" i="73" l="1"/>
  <c r="FN17" i="69"/>
  <c r="FL17" i="69"/>
  <c r="FN19" i="68"/>
  <c r="FL19" i="68"/>
  <c r="FN18" i="73"/>
  <c r="FL18" i="73"/>
  <c r="FN18" i="69"/>
  <c r="FL18" i="69"/>
  <c r="AL10" i="23"/>
  <c r="Q10" i="25" s="1"/>
  <c r="CI21" i="71"/>
  <c r="CR21" i="71"/>
  <c r="CE21" i="71"/>
  <c r="CP21" i="71"/>
  <c r="CF21" i="71"/>
  <c r="CQ21" i="71"/>
  <c r="CH21" i="71"/>
  <c r="CS21" i="71"/>
  <c r="CJ21" i="71"/>
  <c r="CT21" i="71"/>
  <c r="CK21" i="71"/>
  <c r="CU21" i="71"/>
  <c r="CM21" i="71"/>
  <c r="CV21" i="71"/>
  <c r="CN21" i="71"/>
  <c r="CW21" i="71"/>
  <c r="CD21" i="71"/>
  <c r="CO21" i="71"/>
  <c r="BN21" i="71"/>
  <c r="BW21" i="71"/>
  <c r="BP21" i="71"/>
  <c r="BX21" i="71"/>
  <c r="BG21" i="71"/>
  <c r="BQ21" i="71"/>
  <c r="BY21" i="71"/>
  <c r="BH21" i="71"/>
  <c r="BR21" i="71"/>
  <c r="BZ21" i="71"/>
  <c r="BI21" i="71"/>
  <c r="BS21" i="71"/>
  <c r="BK21" i="71"/>
  <c r="BT21" i="71"/>
  <c r="BL21" i="71"/>
  <c r="BU21" i="71"/>
  <c r="BM21" i="71"/>
  <c r="BV21" i="71"/>
  <c r="BO21" i="71"/>
  <c r="CL21" i="71"/>
  <c r="CG21" i="71"/>
  <c r="BJ21" i="71"/>
  <c r="AT10" i="23"/>
  <c r="AA10" i="25" s="1"/>
  <c r="CL21" i="73"/>
  <c r="CG21" i="73"/>
  <c r="CP21" i="73"/>
  <c r="CH21" i="73"/>
  <c r="CQ21" i="73"/>
  <c r="CI21" i="73"/>
  <c r="CR21" i="73"/>
  <c r="CJ21" i="73"/>
  <c r="CS21" i="73"/>
  <c r="CK21" i="73"/>
  <c r="CT21" i="73"/>
  <c r="CD21" i="73"/>
  <c r="CM21" i="73"/>
  <c r="CU21" i="73"/>
  <c r="CE21" i="73"/>
  <c r="CN21" i="73"/>
  <c r="CV21" i="73"/>
  <c r="CF21" i="73"/>
  <c r="CO21" i="73"/>
  <c r="CW21" i="73"/>
  <c r="BH21" i="73"/>
  <c r="BP21" i="73"/>
  <c r="BX21" i="73"/>
  <c r="BI21" i="73"/>
  <c r="BQ21" i="73"/>
  <c r="BY21" i="73"/>
  <c r="BJ21" i="73"/>
  <c r="BR21" i="73"/>
  <c r="BZ21" i="73"/>
  <c r="BK21" i="73"/>
  <c r="BS21" i="73"/>
  <c r="BL21" i="73"/>
  <c r="BT21" i="73"/>
  <c r="BV21" i="73"/>
  <c r="BG21" i="73"/>
  <c r="BM21" i="73"/>
  <c r="BN21" i="73"/>
  <c r="BO21" i="73"/>
  <c r="BU21" i="73"/>
  <c r="BW21" i="73"/>
  <c r="CX19" i="72"/>
  <c r="CX20" i="73"/>
  <c r="P20" i="73" s="1"/>
  <c r="CL20" i="70"/>
  <c r="CH20" i="70"/>
  <c r="CQ20" i="70"/>
  <c r="CI20" i="70"/>
  <c r="CR20" i="70"/>
  <c r="CF20" i="70"/>
  <c r="CS20" i="70"/>
  <c r="CG20" i="70"/>
  <c r="CT20" i="70"/>
  <c r="CJ20" i="70"/>
  <c r="CU20" i="70"/>
  <c r="CK20" i="70"/>
  <c r="CV20" i="70"/>
  <c r="CM20" i="70"/>
  <c r="CW20" i="70"/>
  <c r="CN20" i="70"/>
  <c r="CO20" i="70"/>
  <c r="CE20" i="70"/>
  <c r="CP20" i="70"/>
  <c r="BJ20" i="70"/>
  <c r="BS20" i="70"/>
  <c r="BK20" i="70"/>
  <c r="BT20" i="70"/>
  <c r="BM20" i="70"/>
  <c r="BU20" i="70"/>
  <c r="BN20" i="70"/>
  <c r="BV20" i="70"/>
  <c r="BO20" i="70"/>
  <c r="BW20" i="70"/>
  <c r="BH20" i="70"/>
  <c r="BQ20" i="70"/>
  <c r="BY20" i="70"/>
  <c r="BI20" i="70"/>
  <c r="BR20" i="70"/>
  <c r="BZ20" i="70"/>
  <c r="BX20" i="70"/>
  <c r="BP20" i="70"/>
  <c r="BL20" i="70"/>
  <c r="CD20" i="70"/>
  <c r="BG20" i="70"/>
  <c r="CX19" i="70"/>
  <c r="P19" i="70" s="1"/>
  <c r="CL20" i="67"/>
  <c r="CD20" i="67"/>
  <c r="CO20" i="67"/>
  <c r="CW20" i="67"/>
  <c r="CF20" i="67"/>
  <c r="CP20" i="67"/>
  <c r="CK20" i="67"/>
  <c r="CV20" i="67"/>
  <c r="CM20" i="67"/>
  <c r="CN20" i="67"/>
  <c r="CQ20" i="67"/>
  <c r="CR20" i="67"/>
  <c r="CG20" i="67"/>
  <c r="CS20" i="67"/>
  <c r="CH20" i="67"/>
  <c r="CI20" i="67"/>
  <c r="CT20" i="67"/>
  <c r="CU20" i="67"/>
  <c r="BJ20" i="67"/>
  <c r="BS20" i="67"/>
  <c r="BK20" i="67"/>
  <c r="BT20" i="67"/>
  <c r="BN20" i="67"/>
  <c r="BV20" i="67"/>
  <c r="BO20" i="67"/>
  <c r="BW20" i="67"/>
  <c r="BP20" i="67"/>
  <c r="BX20" i="67"/>
  <c r="BG20" i="67"/>
  <c r="BQ20" i="67"/>
  <c r="BY20" i="67"/>
  <c r="BI20" i="67"/>
  <c r="BR20" i="67"/>
  <c r="BZ20" i="67"/>
  <c r="BL20" i="67"/>
  <c r="BU20" i="67"/>
  <c r="BH20" i="67"/>
  <c r="CE20" i="67"/>
  <c r="CJ20" i="67"/>
  <c r="BM20" i="67"/>
  <c r="CX20" i="71"/>
  <c r="CX20" i="69"/>
  <c r="AD10" i="23"/>
  <c r="G10" i="25" s="1"/>
  <c r="CL21" i="69"/>
  <c r="CI21" i="69"/>
  <c r="CR21" i="69"/>
  <c r="CJ21" i="69"/>
  <c r="CS21" i="69"/>
  <c r="CK21" i="69"/>
  <c r="CT21" i="69"/>
  <c r="CH21" i="69"/>
  <c r="CQ21" i="69"/>
  <c r="CO21" i="69"/>
  <c r="CP21" i="69"/>
  <c r="CD21" i="69"/>
  <c r="CU21" i="69"/>
  <c r="CE21" i="69"/>
  <c r="CV21" i="69"/>
  <c r="CF21" i="69"/>
  <c r="CW21" i="69"/>
  <c r="CG21" i="69"/>
  <c r="CM21" i="69"/>
  <c r="CN21" i="69"/>
  <c r="BK21" i="69"/>
  <c r="BS21" i="69"/>
  <c r="BL21" i="69"/>
  <c r="BT21" i="69"/>
  <c r="BN21" i="69"/>
  <c r="BV21" i="69"/>
  <c r="BG21" i="69"/>
  <c r="BO21" i="69"/>
  <c r="BW21" i="69"/>
  <c r="BH21" i="69"/>
  <c r="BP21" i="69"/>
  <c r="BX21" i="69"/>
  <c r="BI21" i="69"/>
  <c r="BQ21" i="69"/>
  <c r="BY21" i="69"/>
  <c r="BJ21" i="69"/>
  <c r="BR21" i="69"/>
  <c r="BZ21" i="69"/>
  <c r="BU21" i="69"/>
  <c r="BM21" i="69"/>
  <c r="AP9" i="23"/>
  <c r="V9" i="25" s="1"/>
  <c r="CL20" i="72"/>
  <c r="CH20" i="72"/>
  <c r="CQ20" i="72"/>
  <c r="CI20" i="72"/>
  <c r="CR20" i="72"/>
  <c r="CJ20" i="72"/>
  <c r="CS20" i="72"/>
  <c r="CG20" i="72"/>
  <c r="CV20" i="72"/>
  <c r="CK20" i="72"/>
  <c r="CW20" i="72"/>
  <c r="CM20" i="72"/>
  <c r="CN20" i="72"/>
  <c r="CO20" i="72"/>
  <c r="CT20" i="72"/>
  <c r="CU20" i="72"/>
  <c r="CD20" i="72"/>
  <c r="CE20" i="72"/>
  <c r="CF20" i="72"/>
  <c r="CP20" i="72"/>
  <c r="BL20" i="72"/>
  <c r="BT20" i="72"/>
  <c r="BN20" i="72"/>
  <c r="BV20" i="72"/>
  <c r="BH20" i="72"/>
  <c r="BP20" i="72"/>
  <c r="BX20" i="72"/>
  <c r="BI20" i="72"/>
  <c r="BQ20" i="72"/>
  <c r="BY20" i="72"/>
  <c r="BJ20" i="72"/>
  <c r="BR20" i="72"/>
  <c r="BZ20" i="72"/>
  <c r="BK20" i="72"/>
  <c r="BS20" i="72"/>
  <c r="BG20" i="72"/>
  <c r="BM20" i="72"/>
  <c r="BO20" i="72"/>
  <c r="BU20" i="72"/>
  <c r="BW20" i="72"/>
  <c r="CX19" i="67"/>
  <c r="CX20" i="65"/>
  <c r="N10" i="23"/>
  <c r="Q10" i="24" s="1"/>
  <c r="CL21" i="65"/>
  <c r="CK21" i="65"/>
  <c r="CT21" i="65"/>
  <c r="CM21" i="65"/>
  <c r="CU21" i="65"/>
  <c r="CD21" i="65"/>
  <c r="CN21" i="65"/>
  <c r="CV21" i="65"/>
  <c r="CE21" i="65"/>
  <c r="CO21" i="65"/>
  <c r="CW21" i="65"/>
  <c r="CF21" i="65"/>
  <c r="CP21" i="65"/>
  <c r="CG21" i="65"/>
  <c r="CQ21" i="65"/>
  <c r="CI21" i="65"/>
  <c r="CJ21" i="65"/>
  <c r="CR21" i="65"/>
  <c r="CS21" i="65"/>
  <c r="BG21" i="65"/>
  <c r="BP21" i="65"/>
  <c r="BX21" i="65"/>
  <c r="BH21" i="65"/>
  <c r="BQ21" i="65"/>
  <c r="BY21" i="65"/>
  <c r="BI21" i="65"/>
  <c r="BR21" i="65"/>
  <c r="BZ21" i="65"/>
  <c r="BJ21" i="65"/>
  <c r="BS21" i="65"/>
  <c r="BL21" i="65"/>
  <c r="BT21" i="65"/>
  <c r="BM21" i="65"/>
  <c r="BU21" i="65"/>
  <c r="BN21" i="65"/>
  <c r="BV21" i="65"/>
  <c r="BO21" i="65"/>
  <c r="BW21" i="65"/>
  <c r="BK21" i="65"/>
  <c r="CH21" i="65"/>
  <c r="CX20" i="63"/>
  <c r="F10" i="23"/>
  <c r="G10" i="24" s="1"/>
  <c r="CL21" i="63"/>
  <c r="CD21" i="63"/>
  <c r="CM21" i="63"/>
  <c r="CU21" i="63"/>
  <c r="CE21" i="63"/>
  <c r="CN21" i="63"/>
  <c r="CV21" i="63"/>
  <c r="CF21" i="63"/>
  <c r="CO21" i="63"/>
  <c r="CW21" i="63"/>
  <c r="CG21" i="63"/>
  <c r="CP21" i="63"/>
  <c r="CH21" i="63"/>
  <c r="CQ21" i="63"/>
  <c r="CS21" i="63"/>
  <c r="CT21" i="63"/>
  <c r="CI21" i="63"/>
  <c r="CJ21" i="63"/>
  <c r="CK21" i="63"/>
  <c r="CR21" i="63"/>
  <c r="BM21" i="63"/>
  <c r="BU21" i="63"/>
  <c r="BN21" i="63"/>
  <c r="BV21" i="63"/>
  <c r="BG21" i="63"/>
  <c r="BO21" i="63"/>
  <c r="BW21" i="63"/>
  <c r="BH21" i="63"/>
  <c r="BP21" i="63"/>
  <c r="BX21" i="63"/>
  <c r="BI21" i="63"/>
  <c r="BQ21" i="63"/>
  <c r="BY21" i="63"/>
  <c r="BJ21" i="63"/>
  <c r="BR21" i="63"/>
  <c r="BZ21" i="63"/>
  <c r="BK21" i="63"/>
  <c r="BL21" i="63"/>
  <c r="BS21" i="63"/>
  <c r="BT21" i="63"/>
  <c r="J10" i="23"/>
  <c r="L10" i="24" s="1"/>
  <c r="CL21" i="64"/>
  <c r="CJ21" i="64"/>
  <c r="CS21" i="64"/>
  <c r="CK21" i="64"/>
  <c r="CT21" i="64"/>
  <c r="CM21" i="64"/>
  <c r="CU21" i="64"/>
  <c r="CO21" i="64"/>
  <c r="CP21" i="64"/>
  <c r="CD21" i="64"/>
  <c r="CQ21" i="64"/>
  <c r="CF21" i="64"/>
  <c r="CR21" i="64"/>
  <c r="CG21" i="64"/>
  <c r="CV21" i="64"/>
  <c r="CH21" i="64"/>
  <c r="CW21" i="64"/>
  <c r="CI21" i="64"/>
  <c r="CN21" i="64"/>
  <c r="BI21" i="64"/>
  <c r="BQ21" i="64"/>
  <c r="BY21" i="64"/>
  <c r="BO21" i="64"/>
  <c r="BX21" i="64"/>
  <c r="BP21" i="64"/>
  <c r="BZ21" i="64"/>
  <c r="BG21" i="64"/>
  <c r="BR21" i="64"/>
  <c r="BJ21" i="64"/>
  <c r="BS21" i="64"/>
  <c r="BK21" i="64"/>
  <c r="BT21" i="64"/>
  <c r="BL21" i="64"/>
  <c r="BU21" i="64"/>
  <c r="BV21" i="64"/>
  <c r="BW21" i="64"/>
  <c r="BM21" i="64"/>
  <c r="BN21" i="64"/>
  <c r="BH21" i="64"/>
  <c r="CE21" i="64"/>
  <c r="CL20" i="66"/>
  <c r="CE20" i="66"/>
  <c r="CN20" i="66"/>
  <c r="CV20" i="66"/>
  <c r="CF20" i="66"/>
  <c r="CO20" i="66"/>
  <c r="CW20" i="66"/>
  <c r="CG20" i="66"/>
  <c r="CP20" i="66"/>
  <c r="CH20" i="66"/>
  <c r="CQ20" i="66"/>
  <c r="CI20" i="66"/>
  <c r="CR20" i="66"/>
  <c r="CJ20" i="66"/>
  <c r="CS20" i="66"/>
  <c r="CK20" i="66"/>
  <c r="CT20" i="66"/>
  <c r="CD20" i="66"/>
  <c r="CM20" i="66"/>
  <c r="CU20" i="66"/>
  <c r="BN20" i="66"/>
  <c r="BV20" i="66"/>
  <c r="BG20" i="66"/>
  <c r="BO20" i="66"/>
  <c r="BW20" i="66"/>
  <c r="BH20" i="66"/>
  <c r="BP20" i="66"/>
  <c r="BX20" i="66"/>
  <c r="BI20" i="66"/>
  <c r="BQ20" i="66"/>
  <c r="BY20" i="66"/>
  <c r="BJ20" i="66"/>
  <c r="BR20" i="66"/>
  <c r="BZ20" i="66"/>
  <c r="BK20" i="66"/>
  <c r="BS20" i="66"/>
  <c r="BL20" i="66"/>
  <c r="BT20" i="66"/>
  <c r="BM20" i="66"/>
  <c r="BU20" i="66"/>
  <c r="CX19" i="66"/>
  <c r="CX20" i="64"/>
  <c r="AB9" i="23"/>
  <c r="E9" i="25" s="1"/>
  <c r="CX20" i="68"/>
  <c r="Z10" i="23"/>
  <c r="B10" i="25" s="1"/>
  <c r="CL21" i="68"/>
  <c r="CF21" i="68"/>
  <c r="CO21" i="68"/>
  <c r="CW21" i="68"/>
  <c r="BH21" i="68"/>
  <c r="BP21" i="68"/>
  <c r="BX21" i="68"/>
  <c r="CG21" i="68"/>
  <c r="CP21" i="68"/>
  <c r="BI21" i="68"/>
  <c r="BQ21" i="68"/>
  <c r="BY21" i="68"/>
  <c r="CH21" i="68"/>
  <c r="CQ21" i="68"/>
  <c r="BJ21" i="68"/>
  <c r="BR21" i="68"/>
  <c r="BZ21" i="68"/>
  <c r="CI21" i="68"/>
  <c r="CR21" i="68"/>
  <c r="BK21" i="68"/>
  <c r="BS21" i="68"/>
  <c r="CJ21" i="68"/>
  <c r="CS21" i="68"/>
  <c r="BL21" i="68"/>
  <c r="BT21" i="68"/>
  <c r="CK21" i="68"/>
  <c r="CT21" i="68"/>
  <c r="BM21" i="68"/>
  <c r="BU21" i="68"/>
  <c r="CD21" i="68"/>
  <c r="CM21" i="68"/>
  <c r="CU21" i="68"/>
  <c r="BN21" i="68"/>
  <c r="BV21" i="68"/>
  <c r="CE21" i="68"/>
  <c r="CN21" i="68"/>
  <c r="CV21" i="68"/>
  <c r="BG21" i="68"/>
  <c r="BO21" i="68"/>
  <c r="BW21" i="68"/>
  <c r="BB19" i="70"/>
  <c r="BA19" i="70"/>
  <c r="N19" i="70" s="1"/>
  <c r="Y19" i="70" s="1"/>
  <c r="AJ8" i="23"/>
  <c r="O8" i="25"/>
  <c r="CA19" i="70"/>
  <c r="O19" i="70" s="1"/>
  <c r="AG10" i="23"/>
  <c r="K10" i="25" s="1"/>
  <c r="A22" i="70"/>
  <c r="B21" i="70"/>
  <c r="AH9" i="23"/>
  <c r="L9" i="25" s="1"/>
  <c r="AS20" i="70"/>
  <c r="AQ20" i="70"/>
  <c r="AX20" i="70"/>
  <c r="AL20" i="70"/>
  <c r="AK20" i="70"/>
  <c r="AZ20" i="70"/>
  <c r="AG20" i="70"/>
  <c r="AN20" i="70"/>
  <c r="D20" i="70"/>
  <c r="AR20" i="70"/>
  <c r="AY20" i="70"/>
  <c r="AJ20" i="70"/>
  <c r="AT20" i="70"/>
  <c r="AO20" i="70"/>
  <c r="AH20" i="70"/>
  <c r="AW20" i="70"/>
  <c r="AM20" i="70"/>
  <c r="AU20" i="70"/>
  <c r="AP20" i="70"/>
  <c r="AV20" i="70"/>
  <c r="AI20" i="70"/>
  <c r="AD9" i="25"/>
  <c r="AV9" i="23"/>
  <c r="Y18" i="68"/>
  <c r="V9" i="23"/>
  <c r="AA9" i="24" s="1"/>
  <c r="AL20" i="67"/>
  <c r="D20" i="67"/>
  <c r="X9" i="23" s="1"/>
  <c r="AD9" i="24" s="1"/>
  <c r="AR20" i="67"/>
  <c r="AQ20" i="67"/>
  <c r="AH20" i="67"/>
  <c r="AS20" i="67"/>
  <c r="AP20" i="67"/>
  <c r="AJ20" i="67"/>
  <c r="AI20" i="67"/>
  <c r="AV20" i="67"/>
  <c r="AN20" i="67"/>
  <c r="AW20" i="67"/>
  <c r="AO20" i="67"/>
  <c r="AT20" i="67"/>
  <c r="AY20" i="67"/>
  <c r="AG20" i="67"/>
  <c r="AZ20" i="67"/>
  <c r="AX20" i="67"/>
  <c r="AK20" i="67"/>
  <c r="AU20" i="67"/>
  <c r="AM20" i="67"/>
  <c r="T9" i="25"/>
  <c r="AN9" i="23"/>
  <c r="Y8" i="25"/>
  <c r="AR8" i="23"/>
  <c r="U10" i="23"/>
  <c r="Z10" i="24" s="1"/>
  <c r="A22" i="67"/>
  <c r="B21" i="67"/>
  <c r="AF9" i="23"/>
  <c r="J9" i="25"/>
  <c r="BB19" i="67"/>
  <c r="BA19" i="67"/>
  <c r="N19" i="67" s="1"/>
  <c r="BB19" i="66"/>
  <c r="BA19" i="66"/>
  <c r="N19" i="66" s="1"/>
  <c r="R9" i="23"/>
  <c r="V9" i="24" s="1"/>
  <c r="AV20" i="66"/>
  <c r="AP20" i="66"/>
  <c r="AY20" i="66"/>
  <c r="AZ20" i="66"/>
  <c r="AN20" i="66"/>
  <c r="AX20" i="66"/>
  <c r="AR20" i="66"/>
  <c r="AI20" i="66"/>
  <c r="AW20" i="66"/>
  <c r="AH20" i="66"/>
  <c r="AK20" i="66"/>
  <c r="AO20" i="66"/>
  <c r="AT20" i="66"/>
  <c r="D20" i="66"/>
  <c r="T9" i="23" s="1"/>
  <c r="Y9" i="24" s="1"/>
  <c r="AG20" i="66"/>
  <c r="AU20" i="66"/>
  <c r="AL20" i="66"/>
  <c r="AM20" i="66"/>
  <c r="AS20" i="66"/>
  <c r="AQ20" i="66"/>
  <c r="AJ20" i="66"/>
  <c r="Q10" i="23"/>
  <c r="U10" i="24" s="1"/>
  <c r="B21" i="66"/>
  <c r="A22" i="66"/>
  <c r="CA20" i="73"/>
  <c r="O20" i="73" s="1"/>
  <c r="BB20" i="73"/>
  <c r="BA20" i="73"/>
  <c r="AX21" i="73"/>
  <c r="AP21" i="73"/>
  <c r="AH21" i="73"/>
  <c r="AW21" i="73"/>
  <c r="AO21" i="73"/>
  <c r="AG21" i="73"/>
  <c r="AV21" i="73"/>
  <c r="AN21" i="73"/>
  <c r="AU21" i="73"/>
  <c r="AM21" i="73"/>
  <c r="AT21" i="73"/>
  <c r="AL21" i="73"/>
  <c r="AS21" i="73"/>
  <c r="AK21" i="73"/>
  <c r="D21" i="73"/>
  <c r="AZ21" i="73"/>
  <c r="AR21" i="73"/>
  <c r="AJ21" i="73"/>
  <c r="AY21" i="73"/>
  <c r="AQ21" i="73"/>
  <c r="AI21" i="73"/>
  <c r="B22" i="73"/>
  <c r="A23" i="73"/>
  <c r="AS12" i="23" s="1"/>
  <c r="Z12" i="25" s="1"/>
  <c r="AX20" i="72"/>
  <c r="AP20" i="72"/>
  <c r="AH20" i="72"/>
  <c r="AV20" i="72"/>
  <c r="AN20" i="72"/>
  <c r="AT20" i="72"/>
  <c r="AL20" i="72"/>
  <c r="AS20" i="72"/>
  <c r="AK20" i="72"/>
  <c r="D20" i="72"/>
  <c r="AZ20" i="72"/>
  <c r="AR20" i="72"/>
  <c r="AJ20" i="72"/>
  <c r="AY20" i="72"/>
  <c r="AQ20" i="72"/>
  <c r="AI20" i="72"/>
  <c r="AW20" i="72"/>
  <c r="AU20" i="72"/>
  <c r="AO20" i="72"/>
  <c r="AM20" i="72"/>
  <c r="AG20" i="72"/>
  <c r="A22" i="72"/>
  <c r="AO11" i="23" s="1"/>
  <c r="U11" i="25" s="1"/>
  <c r="B21" i="72"/>
  <c r="BB19" i="72"/>
  <c r="BA19" i="72"/>
  <c r="O18" i="72"/>
  <c r="CA20" i="71"/>
  <c r="N19" i="71"/>
  <c r="BB20" i="71"/>
  <c r="BA20" i="71"/>
  <c r="N20" i="71" s="1"/>
  <c r="AV21" i="71"/>
  <c r="AN21" i="71"/>
  <c r="AU21" i="71"/>
  <c r="AM21" i="71"/>
  <c r="AZ21" i="71"/>
  <c r="AP21" i="71"/>
  <c r="AY21" i="71"/>
  <c r="AO21" i="71"/>
  <c r="D21" i="71"/>
  <c r="AX21" i="71"/>
  <c r="AL21" i="71"/>
  <c r="AW21" i="71"/>
  <c r="AK21" i="71"/>
  <c r="AT21" i="71"/>
  <c r="AJ21" i="71"/>
  <c r="AS21" i="71"/>
  <c r="AI21" i="71"/>
  <c r="AR21" i="71"/>
  <c r="AH21" i="71"/>
  <c r="AQ21" i="71"/>
  <c r="AG21" i="71"/>
  <c r="A23" i="71"/>
  <c r="AK12" i="23" s="1"/>
  <c r="P12" i="25" s="1"/>
  <c r="B22" i="71"/>
  <c r="AS21" i="69"/>
  <c r="AK21" i="69"/>
  <c r="D21" i="69"/>
  <c r="AY21" i="69"/>
  <c r="AQ21" i="69"/>
  <c r="AI21" i="69"/>
  <c r="AZ21" i="69"/>
  <c r="AO21" i="69"/>
  <c r="AX21" i="69"/>
  <c r="AN21" i="69"/>
  <c r="AW21" i="69"/>
  <c r="AM21" i="69"/>
  <c r="AV21" i="69"/>
  <c r="AL21" i="69"/>
  <c r="AU21" i="69"/>
  <c r="AJ21" i="69"/>
  <c r="AT21" i="69"/>
  <c r="AH21" i="69"/>
  <c r="AR21" i="69"/>
  <c r="AG21" i="69"/>
  <c r="AP21" i="69"/>
  <c r="A23" i="69"/>
  <c r="AC12" i="23" s="1"/>
  <c r="F12" i="25" s="1"/>
  <c r="B22" i="69"/>
  <c r="BB20" i="69"/>
  <c r="BA20" i="69"/>
  <c r="N20" i="69" s="1"/>
  <c r="A23" i="68"/>
  <c r="Y12" i="23" s="1"/>
  <c r="A12" i="25" s="1"/>
  <c r="B22" i="68"/>
  <c r="AZ21" i="68"/>
  <c r="AR21" i="68"/>
  <c r="AJ21" i="68"/>
  <c r="AY21" i="68"/>
  <c r="AQ21" i="68"/>
  <c r="AI21" i="68"/>
  <c r="AV21" i="68"/>
  <c r="AL21" i="68"/>
  <c r="AU21" i="68"/>
  <c r="AK21" i="68"/>
  <c r="AM21" i="68"/>
  <c r="AX21" i="68"/>
  <c r="AH21" i="68"/>
  <c r="AW21" i="68"/>
  <c r="AG21" i="68"/>
  <c r="AT21" i="68"/>
  <c r="AS21" i="68"/>
  <c r="AP21" i="68"/>
  <c r="AO21" i="68"/>
  <c r="D21" i="68"/>
  <c r="AN21" i="68"/>
  <c r="BB20" i="68"/>
  <c r="BA20" i="68"/>
  <c r="N20" i="68" s="1"/>
  <c r="Y20" i="68" s="1"/>
  <c r="AU21" i="65"/>
  <c r="AM21" i="65"/>
  <c r="AT21" i="65"/>
  <c r="AL21" i="65"/>
  <c r="AV21" i="65"/>
  <c r="AJ21" i="65"/>
  <c r="AS21" i="65"/>
  <c r="AI21" i="65"/>
  <c r="AR21" i="65"/>
  <c r="AH21" i="65"/>
  <c r="AQ21" i="65"/>
  <c r="AG21" i="65"/>
  <c r="AZ21" i="65"/>
  <c r="AP21" i="65"/>
  <c r="AY21" i="65"/>
  <c r="AO21" i="65"/>
  <c r="D21" i="65"/>
  <c r="P10" i="23" s="1"/>
  <c r="T10" i="24" s="1"/>
  <c r="AX21" i="65"/>
  <c r="AN21" i="65"/>
  <c r="AW21" i="65"/>
  <c r="AK21" i="65"/>
  <c r="B22" i="65"/>
  <c r="A23" i="65"/>
  <c r="M12" i="23" s="1"/>
  <c r="P12" i="24" s="1"/>
  <c r="N19" i="65"/>
  <c r="BB20" i="65"/>
  <c r="BA20" i="65"/>
  <c r="N20" i="65" s="1"/>
  <c r="A23" i="64"/>
  <c r="I12" i="23" s="1"/>
  <c r="K12" i="24" s="1"/>
  <c r="B22" i="64"/>
  <c r="AT21" i="64"/>
  <c r="AL21" i="64"/>
  <c r="AS21" i="64"/>
  <c r="AK21" i="64"/>
  <c r="D21" i="64"/>
  <c r="L10" i="23" s="1"/>
  <c r="O10" i="24" s="1"/>
  <c r="AZ21" i="64"/>
  <c r="AR21" i="64"/>
  <c r="AJ21" i="64"/>
  <c r="AY21" i="64"/>
  <c r="AQ21" i="64"/>
  <c r="AI21" i="64"/>
  <c r="AM21" i="64"/>
  <c r="AX21" i="64"/>
  <c r="AH21" i="64"/>
  <c r="AW21" i="64"/>
  <c r="AG21" i="64"/>
  <c r="AV21" i="64"/>
  <c r="AU21" i="64"/>
  <c r="AP21" i="64"/>
  <c r="AO21" i="64"/>
  <c r="AN21" i="64"/>
  <c r="BB20" i="64"/>
  <c r="BA20" i="64"/>
  <c r="N20" i="64" s="1"/>
  <c r="N19" i="64"/>
  <c r="Y18" i="64" s="1"/>
  <c r="AV21" i="63"/>
  <c r="AN21" i="63"/>
  <c r="AU21" i="63"/>
  <c r="AM21" i="63"/>
  <c r="AS21" i="63"/>
  <c r="AI21" i="63"/>
  <c r="AR21" i="63"/>
  <c r="AH21" i="63"/>
  <c r="AQ21" i="63"/>
  <c r="AG21" i="63"/>
  <c r="AZ21" i="63"/>
  <c r="AP21" i="63"/>
  <c r="AY21" i="63"/>
  <c r="AO21" i="63"/>
  <c r="D21" i="63"/>
  <c r="H10" i="23" s="1"/>
  <c r="J10" i="24" s="1"/>
  <c r="AX21" i="63"/>
  <c r="AL21" i="63"/>
  <c r="AW21" i="63"/>
  <c r="AK21" i="63"/>
  <c r="AT21" i="63"/>
  <c r="AJ21" i="63"/>
  <c r="B22" i="63"/>
  <c r="A23" i="63"/>
  <c r="E12" i="23" s="1"/>
  <c r="F12" i="24" s="1"/>
  <c r="BB20" i="63"/>
  <c r="BA20" i="63"/>
  <c r="Q19" i="70" l="1"/>
  <c r="FN20" i="68"/>
  <c r="FL20" i="68"/>
  <c r="FN18" i="64"/>
  <c r="FL18" i="64"/>
  <c r="FL19" i="70"/>
  <c r="FN19" i="70"/>
  <c r="FN18" i="68"/>
  <c r="FL18" i="68"/>
  <c r="CX20" i="70"/>
  <c r="CX20" i="67"/>
  <c r="CX21" i="73"/>
  <c r="P21" i="73" s="1"/>
  <c r="AP10" i="23"/>
  <c r="V10" i="25" s="1"/>
  <c r="CL21" i="72"/>
  <c r="CE21" i="72"/>
  <c r="CN21" i="72"/>
  <c r="CV21" i="72"/>
  <c r="CF21" i="72"/>
  <c r="CO21" i="72"/>
  <c r="CW21" i="72"/>
  <c r="CG21" i="72"/>
  <c r="CP21" i="72"/>
  <c r="CQ21" i="72"/>
  <c r="CR21" i="72"/>
  <c r="CD21" i="72"/>
  <c r="CS21" i="72"/>
  <c r="CH21" i="72"/>
  <c r="CT21" i="72"/>
  <c r="CI21" i="72"/>
  <c r="CU21" i="72"/>
  <c r="CJ21" i="72"/>
  <c r="CK21" i="72"/>
  <c r="CM21" i="72"/>
  <c r="BH21" i="72"/>
  <c r="BP21" i="72"/>
  <c r="BX21" i="72"/>
  <c r="BJ21" i="72"/>
  <c r="BR21" i="72"/>
  <c r="BZ21" i="72"/>
  <c r="BL21" i="72"/>
  <c r="BT21" i="72"/>
  <c r="BM21" i="72"/>
  <c r="BU21" i="72"/>
  <c r="BN21" i="72"/>
  <c r="BV21" i="72"/>
  <c r="BG21" i="72"/>
  <c r="BO21" i="72"/>
  <c r="BW21" i="72"/>
  <c r="BK21" i="72"/>
  <c r="BQ21" i="72"/>
  <c r="BS21" i="72"/>
  <c r="BY21" i="72"/>
  <c r="BI21" i="72"/>
  <c r="AT11" i="23"/>
  <c r="AA11" i="25" s="1"/>
  <c r="CL22" i="73"/>
  <c r="CD22" i="73"/>
  <c r="CM22" i="73"/>
  <c r="CU22" i="73"/>
  <c r="CE22" i="73"/>
  <c r="CN22" i="73"/>
  <c r="CV22" i="73"/>
  <c r="CF22" i="73"/>
  <c r="CO22" i="73"/>
  <c r="CW22" i="73"/>
  <c r="CG22" i="73"/>
  <c r="CP22" i="73"/>
  <c r="CH22" i="73"/>
  <c r="CQ22" i="73"/>
  <c r="CI22" i="73"/>
  <c r="CR22" i="73"/>
  <c r="CJ22" i="73"/>
  <c r="CS22" i="73"/>
  <c r="CK22" i="73"/>
  <c r="CT22" i="73"/>
  <c r="BL22" i="73"/>
  <c r="BT22" i="73"/>
  <c r="BM22" i="73"/>
  <c r="BU22" i="73"/>
  <c r="BN22" i="73"/>
  <c r="BV22" i="73"/>
  <c r="BG22" i="73"/>
  <c r="BO22" i="73"/>
  <c r="BW22" i="73"/>
  <c r="BH22" i="73"/>
  <c r="BP22" i="73"/>
  <c r="BX22" i="73"/>
  <c r="BY22" i="73"/>
  <c r="BI22" i="73"/>
  <c r="BJ22" i="73"/>
  <c r="BK22" i="73"/>
  <c r="BQ22" i="73"/>
  <c r="BR22" i="73"/>
  <c r="BS22" i="73"/>
  <c r="BZ22" i="73"/>
  <c r="CL21" i="70"/>
  <c r="CF21" i="70"/>
  <c r="CP21" i="70"/>
  <c r="CG21" i="70"/>
  <c r="CQ21" i="70"/>
  <c r="CK21" i="70"/>
  <c r="CV21" i="70"/>
  <c r="CM21" i="70"/>
  <c r="CW21" i="70"/>
  <c r="CN21" i="70"/>
  <c r="CO21" i="70"/>
  <c r="CR21" i="70"/>
  <c r="CD21" i="70"/>
  <c r="CS21" i="70"/>
  <c r="CH21" i="70"/>
  <c r="CT21" i="70"/>
  <c r="CI21" i="70"/>
  <c r="CU21" i="70"/>
  <c r="BG21" i="70"/>
  <c r="BQ21" i="70"/>
  <c r="BY21" i="70"/>
  <c r="BI21" i="70"/>
  <c r="BR21" i="70"/>
  <c r="BZ21" i="70"/>
  <c r="BJ21" i="70"/>
  <c r="BK21" i="70"/>
  <c r="BT21" i="70"/>
  <c r="BL21" i="70"/>
  <c r="BU21" i="70"/>
  <c r="BO21" i="70"/>
  <c r="BP21" i="70"/>
  <c r="BX21" i="70"/>
  <c r="BN21" i="70"/>
  <c r="BS21" i="70"/>
  <c r="BV21" i="70"/>
  <c r="BW21" i="70"/>
  <c r="BM21" i="70"/>
  <c r="CJ21" i="70"/>
  <c r="CE21" i="70"/>
  <c r="BH21" i="70"/>
  <c r="CX21" i="69"/>
  <c r="AL11" i="23"/>
  <c r="Q11" i="25" s="1"/>
  <c r="CL22" i="71"/>
  <c r="CF22" i="71"/>
  <c r="CQ22" i="71"/>
  <c r="CE22" i="71"/>
  <c r="CR22" i="71"/>
  <c r="CG22" i="71"/>
  <c r="CS22" i="71"/>
  <c r="CI22" i="71"/>
  <c r="CT22" i="71"/>
  <c r="CJ22" i="71"/>
  <c r="CU22" i="71"/>
  <c r="CK22" i="71"/>
  <c r="CV22" i="71"/>
  <c r="CN22" i="71"/>
  <c r="CW22" i="71"/>
  <c r="CO22" i="71"/>
  <c r="CD22" i="71"/>
  <c r="CP22" i="71"/>
  <c r="BL22" i="71"/>
  <c r="BU22" i="71"/>
  <c r="BM22" i="71"/>
  <c r="BV22" i="71"/>
  <c r="BN22" i="71"/>
  <c r="BW22" i="71"/>
  <c r="BO22" i="71"/>
  <c r="BX22" i="71"/>
  <c r="BG22" i="71"/>
  <c r="BQ22" i="71"/>
  <c r="BY22" i="71"/>
  <c r="BH22" i="71"/>
  <c r="BR22" i="71"/>
  <c r="BZ22" i="71"/>
  <c r="BI22" i="71"/>
  <c r="BS22" i="71"/>
  <c r="BJ22" i="71"/>
  <c r="BT22" i="71"/>
  <c r="BK22" i="71"/>
  <c r="CM22" i="71"/>
  <c r="CH22" i="71"/>
  <c r="BP22" i="71"/>
  <c r="CL21" i="67"/>
  <c r="CN21" i="67"/>
  <c r="CV21" i="67"/>
  <c r="CD21" i="67"/>
  <c r="CO21" i="67"/>
  <c r="CW21" i="67"/>
  <c r="CQ21" i="67"/>
  <c r="CE21" i="67"/>
  <c r="CR21" i="67"/>
  <c r="CG21" i="67"/>
  <c r="CS21" i="67"/>
  <c r="CH21" i="67"/>
  <c r="CT21" i="67"/>
  <c r="CI21" i="67"/>
  <c r="CU21" i="67"/>
  <c r="CJ21" i="67"/>
  <c r="CM21" i="67"/>
  <c r="CP21" i="67"/>
  <c r="BG21" i="67"/>
  <c r="BQ21" i="67"/>
  <c r="BY21" i="67"/>
  <c r="BH21" i="67"/>
  <c r="BR21" i="67"/>
  <c r="BZ21" i="67"/>
  <c r="BK21" i="67"/>
  <c r="BT21" i="67"/>
  <c r="BL21" i="67"/>
  <c r="BU21" i="67"/>
  <c r="BM21" i="67"/>
  <c r="BV21" i="67"/>
  <c r="BO21" i="67"/>
  <c r="BW21" i="67"/>
  <c r="BP21" i="67"/>
  <c r="BX21" i="67"/>
  <c r="BJ21" i="67"/>
  <c r="BS21" i="67"/>
  <c r="CK21" i="67"/>
  <c r="BN21" i="67"/>
  <c r="BI21" i="67"/>
  <c r="CF21" i="67"/>
  <c r="AD11" i="23"/>
  <c r="G11" i="25" s="1"/>
  <c r="CL22" i="69"/>
  <c r="CF22" i="69"/>
  <c r="CO22" i="69"/>
  <c r="CW22" i="69"/>
  <c r="CG22" i="69"/>
  <c r="CP22" i="69"/>
  <c r="CH22" i="69"/>
  <c r="CQ22" i="69"/>
  <c r="CJ22" i="69"/>
  <c r="CV22" i="69"/>
  <c r="CK22" i="69"/>
  <c r="CM22" i="69"/>
  <c r="CN22" i="69"/>
  <c r="CR22" i="69"/>
  <c r="CD22" i="69"/>
  <c r="CS22" i="69"/>
  <c r="CE22" i="69"/>
  <c r="CI22" i="69"/>
  <c r="CT22" i="69"/>
  <c r="CU22" i="69"/>
  <c r="BG22" i="69"/>
  <c r="BO22" i="69"/>
  <c r="BW22" i="69"/>
  <c r="BH22" i="69"/>
  <c r="BP22" i="69"/>
  <c r="BX22" i="69"/>
  <c r="BJ22" i="69"/>
  <c r="BR22" i="69"/>
  <c r="BZ22" i="69"/>
  <c r="BK22" i="69"/>
  <c r="BS22" i="69"/>
  <c r="BL22" i="69"/>
  <c r="BT22" i="69"/>
  <c r="BM22" i="69"/>
  <c r="BU22" i="69"/>
  <c r="BN22" i="69"/>
  <c r="BV22" i="69"/>
  <c r="BQ22" i="69"/>
  <c r="BY22" i="69"/>
  <c r="BI22" i="69"/>
  <c r="CX20" i="72"/>
  <c r="CX21" i="71"/>
  <c r="J11" i="23"/>
  <c r="L11" i="24" s="1"/>
  <c r="CL22" i="64"/>
  <c r="CG22" i="64"/>
  <c r="CQ22" i="64"/>
  <c r="CH22" i="64"/>
  <c r="CR22" i="64"/>
  <c r="CI22" i="64"/>
  <c r="CS22" i="64"/>
  <c r="CJ22" i="64"/>
  <c r="CT22" i="64"/>
  <c r="CM22" i="64"/>
  <c r="CU22" i="64"/>
  <c r="CN22" i="64"/>
  <c r="CV22" i="64"/>
  <c r="CD22" i="64"/>
  <c r="CO22" i="64"/>
  <c r="CW22" i="64"/>
  <c r="CE22" i="64"/>
  <c r="CP22" i="64"/>
  <c r="BO22" i="64"/>
  <c r="BW22" i="64"/>
  <c r="BP22" i="64"/>
  <c r="BY22" i="64"/>
  <c r="BQ22" i="64"/>
  <c r="BZ22" i="64"/>
  <c r="BG22" i="64"/>
  <c r="BR22" i="64"/>
  <c r="BH22" i="64"/>
  <c r="BS22" i="64"/>
  <c r="BJ22" i="64"/>
  <c r="BT22" i="64"/>
  <c r="BK22" i="64"/>
  <c r="BU22" i="64"/>
  <c r="BL22" i="64"/>
  <c r="BM22" i="64"/>
  <c r="BV22" i="64"/>
  <c r="BX22" i="64"/>
  <c r="CF22" i="64"/>
  <c r="BN22" i="64"/>
  <c r="BI22" i="64"/>
  <c r="CK22" i="64"/>
  <c r="CX21" i="65"/>
  <c r="CL21" i="66"/>
  <c r="CJ21" i="66"/>
  <c r="CS21" i="66"/>
  <c r="CK21" i="66"/>
  <c r="CT21" i="66"/>
  <c r="CD21" i="66"/>
  <c r="CM21" i="66"/>
  <c r="CU21" i="66"/>
  <c r="CE21" i="66"/>
  <c r="CN21" i="66"/>
  <c r="CV21" i="66"/>
  <c r="CF21" i="66"/>
  <c r="CO21" i="66"/>
  <c r="CW21" i="66"/>
  <c r="CG21" i="66"/>
  <c r="CP21" i="66"/>
  <c r="CH21" i="66"/>
  <c r="CQ21" i="66"/>
  <c r="CI21" i="66"/>
  <c r="CR21" i="66"/>
  <c r="BJ21" i="66"/>
  <c r="BR21" i="66"/>
  <c r="BZ21" i="66"/>
  <c r="BK21" i="66"/>
  <c r="BS21" i="66"/>
  <c r="BL21" i="66"/>
  <c r="BT21" i="66"/>
  <c r="BM21" i="66"/>
  <c r="BU21" i="66"/>
  <c r="BN21" i="66"/>
  <c r="BV21" i="66"/>
  <c r="BG21" i="66"/>
  <c r="BO21" i="66"/>
  <c r="BW21" i="66"/>
  <c r="BH21" i="66"/>
  <c r="BP21" i="66"/>
  <c r="BX21" i="66"/>
  <c r="BI21" i="66"/>
  <c r="BQ21" i="66"/>
  <c r="BY21" i="66"/>
  <c r="CX20" i="66"/>
  <c r="CX21" i="64"/>
  <c r="CX21" i="63"/>
  <c r="F11" i="23"/>
  <c r="G11" i="24" s="1"/>
  <c r="CL22" i="63"/>
  <c r="CJ22" i="63"/>
  <c r="CS22" i="63"/>
  <c r="CK22" i="63"/>
  <c r="CT22" i="63"/>
  <c r="CM22" i="63"/>
  <c r="CU22" i="63"/>
  <c r="CE22" i="63"/>
  <c r="CN22" i="63"/>
  <c r="CV22" i="63"/>
  <c r="CF22" i="63"/>
  <c r="CO22" i="63"/>
  <c r="CW22" i="63"/>
  <c r="CG22" i="63"/>
  <c r="CH22" i="63"/>
  <c r="CI22" i="63"/>
  <c r="CP22" i="63"/>
  <c r="CQ22" i="63"/>
  <c r="CR22" i="63"/>
  <c r="BJ22" i="63"/>
  <c r="BR22" i="63"/>
  <c r="BZ22" i="63"/>
  <c r="BK22" i="63"/>
  <c r="BS22" i="63"/>
  <c r="BL22" i="63"/>
  <c r="BT22" i="63"/>
  <c r="BM22" i="63"/>
  <c r="BU22" i="63"/>
  <c r="BN22" i="63"/>
  <c r="BV22" i="63"/>
  <c r="BO22" i="63"/>
  <c r="BW22" i="63"/>
  <c r="BP22" i="63"/>
  <c r="BQ22" i="63"/>
  <c r="BX22" i="63"/>
  <c r="BY22" i="63"/>
  <c r="BH22" i="63"/>
  <c r="BI22" i="63"/>
  <c r="CD22" i="63"/>
  <c r="BG22" i="63"/>
  <c r="N11" i="23"/>
  <c r="Q11" i="24" s="1"/>
  <c r="CL22" i="65"/>
  <c r="CH22" i="65"/>
  <c r="CQ22" i="65"/>
  <c r="CI22" i="65"/>
  <c r="CR22" i="65"/>
  <c r="CJ22" i="65"/>
  <c r="CS22" i="65"/>
  <c r="CK22" i="65"/>
  <c r="CT22" i="65"/>
  <c r="CD22" i="65"/>
  <c r="CM22" i="65"/>
  <c r="CU22" i="65"/>
  <c r="CE22" i="65"/>
  <c r="CN22" i="65"/>
  <c r="CV22" i="65"/>
  <c r="CO22" i="65"/>
  <c r="CP22" i="65"/>
  <c r="CW22" i="65"/>
  <c r="CF22" i="65"/>
  <c r="CG22" i="65"/>
  <c r="BL22" i="65"/>
  <c r="BT22" i="65"/>
  <c r="BM22" i="65"/>
  <c r="BU22" i="65"/>
  <c r="BN22" i="65"/>
  <c r="BV22" i="65"/>
  <c r="BG22" i="65"/>
  <c r="BO22" i="65"/>
  <c r="BW22" i="65"/>
  <c r="BH22" i="65"/>
  <c r="BP22" i="65"/>
  <c r="BX22" i="65"/>
  <c r="BI22" i="65"/>
  <c r="BQ22" i="65"/>
  <c r="BY22" i="65"/>
  <c r="BJ22" i="65"/>
  <c r="BR22" i="65"/>
  <c r="BZ22" i="65"/>
  <c r="BK22" i="65"/>
  <c r="BS22" i="65"/>
  <c r="AB10" i="23"/>
  <c r="E10" i="25" s="1"/>
  <c r="CX21" i="68"/>
  <c r="Z11" i="23"/>
  <c r="B11" i="25" s="1"/>
  <c r="CL22" i="68"/>
  <c r="CK22" i="68"/>
  <c r="CT22" i="68"/>
  <c r="BL22" i="68"/>
  <c r="BT22" i="68"/>
  <c r="CD22" i="68"/>
  <c r="CM22" i="68"/>
  <c r="CU22" i="68"/>
  <c r="BM22" i="68"/>
  <c r="BU22" i="68"/>
  <c r="CE22" i="68"/>
  <c r="CN22" i="68"/>
  <c r="CV22" i="68"/>
  <c r="BN22" i="68"/>
  <c r="BV22" i="68"/>
  <c r="CF22" i="68"/>
  <c r="CO22" i="68"/>
  <c r="CW22" i="68"/>
  <c r="BG22" i="68"/>
  <c r="BO22" i="68"/>
  <c r="BW22" i="68"/>
  <c r="CG22" i="68"/>
  <c r="CP22" i="68"/>
  <c r="BH22" i="68"/>
  <c r="BP22" i="68"/>
  <c r="BX22" i="68"/>
  <c r="CH22" i="68"/>
  <c r="CQ22" i="68"/>
  <c r="BI22" i="68"/>
  <c r="BQ22" i="68"/>
  <c r="BY22" i="68"/>
  <c r="CI22" i="68"/>
  <c r="CR22" i="68"/>
  <c r="BJ22" i="68"/>
  <c r="BR22" i="68"/>
  <c r="BZ22" i="68"/>
  <c r="CJ22" i="68"/>
  <c r="CS22" i="68"/>
  <c r="BK22" i="68"/>
  <c r="BS22" i="68"/>
  <c r="AH10" i="23"/>
  <c r="L10" i="25" s="1"/>
  <c r="AR21" i="70"/>
  <c r="AH21" i="70"/>
  <c r="AY21" i="70"/>
  <c r="AS21" i="70"/>
  <c r="AV21" i="70"/>
  <c r="AO21" i="70"/>
  <c r="AW21" i="70"/>
  <c r="AI21" i="70"/>
  <c r="AN21" i="70"/>
  <c r="AZ21" i="70"/>
  <c r="D21" i="70"/>
  <c r="AK21" i="70"/>
  <c r="AP21" i="70"/>
  <c r="AT21" i="70"/>
  <c r="AU21" i="70"/>
  <c r="AQ21" i="70"/>
  <c r="AX21" i="70"/>
  <c r="AJ21" i="70"/>
  <c r="AL21" i="70"/>
  <c r="AM21" i="70"/>
  <c r="AG21" i="70"/>
  <c r="AG11" i="23"/>
  <c r="K11" i="25" s="1"/>
  <c r="A23" i="70"/>
  <c r="B22" i="70"/>
  <c r="BA20" i="70"/>
  <c r="N20" i="70" s="1"/>
  <c r="BB20" i="70"/>
  <c r="O9" i="25"/>
  <c r="AJ9" i="23"/>
  <c r="CA20" i="70"/>
  <c r="O20" i="70" s="1"/>
  <c r="T10" i="25"/>
  <c r="AN10" i="23"/>
  <c r="AF10" i="23"/>
  <c r="J10" i="25"/>
  <c r="BB20" i="67"/>
  <c r="BA20" i="67"/>
  <c r="N20" i="67" s="1"/>
  <c r="CA20" i="67"/>
  <c r="O20" i="67" s="1"/>
  <c r="Y9" i="25"/>
  <c r="AR9" i="23"/>
  <c r="V10" i="23"/>
  <c r="AA10" i="24" s="1"/>
  <c r="AV21" i="67"/>
  <c r="AN21" i="67"/>
  <c r="AX21" i="67"/>
  <c r="AJ21" i="67"/>
  <c r="AW21" i="67"/>
  <c r="AS21" i="67"/>
  <c r="AP21" i="67"/>
  <c r="AI21" i="67"/>
  <c r="AO21" i="67"/>
  <c r="AT21" i="67"/>
  <c r="AK21" i="67"/>
  <c r="AZ21" i="67"/>
  <c r="AY21" i="67"/>
  <c r="AH21" i="67"/>
  <c r="AM21" i="67"/>
  <c r="AG21" i="67"/>
  <c r="AU21" i="67"/>
  <c r="AL21" i="67"/>
  <c r="D21" i="67"/>
  <c r="X10" i="23" s="1"/>
  <c r="AD10" i="24" s="1"/>
  <c r="AR21" i="67"/>
  <c r="AQ21" i="67"/>
  <c r="AD10" i="25"/>
  <c r="AV10" i="23"/>
  <c r="U11" i="23"/>
  <c r="Z11" i="24" s="1"/>
  <c r="B22" i="67"/>
  <c r="A23" i="67"/>
  <c r="Q11" i="23"/>
  <c r="U11" i="24" s="1"/>
  <c r="B22" i="66"/>
  <c r="A23" i="66"/>
  <c r="R10" i="23"/>
  <c r="V10" i="24" s="1"/>
  <c r="AR21" i="66"/>
  <c r="AI21" i="66"/>
  <c r="AT21" i="66"/>
  <c r="AU21" i="66"/>
  <c r="AJ21" i="66"/>
  <c r="AV21" i="66"/>
  <c r="AN21" i="66"/>
  <c r="AK21" i="66"/>
  <c r="AW21" i="66"/>
  <c r="AS21" i="66"/>
  <c r="AL21" i="66"/>
  <c r="AO21" i="66"/>
  <c r="AX21" i="66"/>
  <c r="AG21" i="66"/>
  <c r="AM21" i="66"/>
  <c r="AY21" i="66"/>
  <c r="AP21" i="66"/>
  <c r="D21" i="66"/>
  <c r="T10" i="23" s="1"/>
  <c r="Y10" i="24" s="1"/>
  <c r="AZ21" i="66"/>
  <c r="AQ21" i="66"/>
  <c r="AH21" i="66"/>
  <c r="BA20" i="66"/>
  <c r="N20" i="66" s="1"/>
  <c r="Y19" i="66" s="1"/>
  <c r="BB20" i="66"/>
  <c r="CA21" i="73"/>
  <c r="O21" i="73" s="1"/>
  <c r="BB21" i="73"/>
  <c r="BA21" i="73"/>
  <c r="N21" i="73" s="1"/>
  <c r="A24" i="73"/>
  <c r="AS13" i="23" s="1"/>
  <c r="Z13" i="25" s="1"/>
  <c r="B23" i="73"/>
  <c r="N20" i="73"/>
  <c r="Q20" i="73" s="1"/>
  <c r="AS22" i="73"/>
  <c r="AK22" i="73"/>
  <c r="D22" i="73"/>
  <c r="AZ22" i="73"/>
  <c r="AR22" i="73"/>
  <c r="AJ22" i="73"/>
  <c r="AY22" i="73"/>
  <c r="AQ22" i="73"/>
  <c r="AI22" i="73"/>
  <c r="AX22" i="73"/>
  <c r="AP22" i="73"/>
  <c r="AH22" i="73"/>
  <c r="AW22" i="73"/>
  <c r="AO22" i="73"/>
  <c r="AG22" i="73"/>
  <c r="AV22" i="73"/>
  <c r="AN22" i="73"/>
  <c r="AU22" i="73"/>
  <c r="AM22" i="73"/>
  <c r="AT22" i="73"/>
  <c r="AL22" i="73"/>
  <c r="AS21" i="72"/>
  <c r="AK21" i="72"/>
  <c r="D21" i="72"/>
  <c r="AY21" i="72"/>
  <c r="AQ21" i="72"/>
  <c r="AI21" i="72"/>
  <c r="AX21" i="72"/>
  <c r="AP21" i="72"/>
  <c r="AH21" i="72"/>
  <c r="AW21" i="72"/>
  <c r="AO21" i="72"/>
  <c r="AG21" i="72"/>
  <c r="AV21" i="72"/>
  <c r="AN21" i="72"/>
  <c r="AU21" i="72"/>
  <c r="AM21" i="72"/>
  <c r="AT21" i="72"/>
  <c r="AL21" i="72"/>
  <c r="AR21" i="72"/>
  <c r="AJ21" i="72"/>
  <c r="AZ21" i="72"/>
  <c r="N19" i="72"/>
  <c r="A23" i="72"/>
  <c r="AO12" i="23" s="1"/>
  <c r="U12" i="25" s="1"/>
  <c r="B22" i="72"/>
  <c r="BB20" i="72"/>
  <c r="BA20" i="72"/>
  <c r="N20" i="72" s="1"/>
  <c r="AY22" i="71"/>
  <c r="AQ22" i="71"/>
  <c r="AI22" i="71"/>
  <c r="AX22" i="71"/>
  <c r="AP22" i="71"/>
  <c r="AH22" i="71"/>
  <c r="AT22" i="71"/>
  <c r="AJ22" i="71"/>
  <c r="AS22" i="71"/>
  <c r="AG22" i="71"/>
  <c r="AR22" i="71"/>
  <c r="AO22" i="71"/>
  <c r="AZ22" i="71"/>
  <c r="AN22" i="71"/>
  <c r="AW22" i="71"/>
  <c r="AM22" i="71"/>
  <c r="D22" i="71"/>
  <c r="AV22" i="71"/>
  <c r="AL22" i="71"/>
  <c r="AU22" i="71"/>
  <c r="AK22" i="71"/>
  <c r="A24" i="71"/>
  <c r="AK13" i="23" s="1"/>
  <c r="P13" i="25" s="1"/>
  <c r="B23" i="71"/>
  <c r="BB21" i="71"/>
  <c r="BA21" i="71"/>
  <c r="N21" i="71" s="1"/>
  <c r="O20" i="71"/>
  <c r="BB21" i="69"/>
  <c r="BA21" i="69"/>
  <c r="N21" i="69" s="1"/>
  <c r="AV22" i="69"/>
  <c r="AN22" i="69"/>
  <c r="AT22" i="69"/>
  <c r="AL22" i="69"/>
  <c r="AS22" i="69"/>
  <c r="AK22" i="69"/>
  <c r="D22" i="69"/>
  <c r="AZ22" i="69"/>
  <c r="AR22" i="69"/>
  <c r="AJ22" i="69"/>
  <c r="AM22" i="69"/>
  <c r="AY22" i="69"/>
  <c r="AI22" i="69"/>
  <c r="AX22" i="69"/>
  <c r="AH22" i="69"/>
  <c r="AW22" i="69"/>
  <c r="AG22" i="69"/>
  <c r="AU22" i="69"/>
  <c r="AQ22" i="69"/>
  <c r="AP22" i="69"/>
  <c r="AO22" i="69"/>
  <c r="A24" i="69"/>
  <c r="AC13" i="23" s="1"/>
  <c r="F13" i="25" s="1"/>
  <c r="B23" i="69"/>
  <c r="BB21" i="68"/>
  <c r="BA21" i="68"/>
  <c r="N21" i="68" s="1"/>
  <c r="Y21" i="68" s="1"/>
  <c r="AU22" i="68"/>
  <c r="AM22" i="68"/>
  <c r="AT22" i="68"/>
  <c r="AL22" i="68"/>
  <c r="AS22" i="68"/>
  <c r="AI22" i="68"/>
  <c r="AR22" i="68"/>
  <c r="AH22" i="68"/>
  <c r="AZ22" i="68"/>
  <c r="AN22" i="68"/>
  <c r="AY22" i="68"/>
  <c r="AK22" i="68"/>
  <c r="AX22" i="68"/>
  <c r="AJ22" i="68"/>
  <c r="AW22" i="68"/>
  <c r="AG22" i="68"/>
  <c r="AV22" i="68"/>
  <c r="AQ22" i="68"/>
  <c r="D22" i="68"/>
  <c r="AP22" i="68"/>
  <c r="AO22" i="68"/>
  <c r="A24" i="68"/>
  <c r="Y13" i="23" s="1"/>
  <c r="A13" i="25" s="1"/>
  <c r="B23" i="68"/>
  <c r="B23" i="65"/>
  <c r="A24" i="65"/>
  <c r="M13" i="23" s="1"/>
  <c r="P13" i="24" s="1"/>
  <c r="AX22" i="65"/>
  <c r="AP22" i="65"/>
  <c r="AH22" i="65"/>
  <c r="AW22" i="65"/>
  <c r="AO22" i="65"/>
  <c r="AG22" i="65"/>
  <c r="AR22" i="65"/>
  <c r="AQ22" i="65"/>
  <c r="AZ22" i="65"/>
  <c r="AN22" i="65"/>
  <c r="D22" i="65"/>
  <c r="P11" i="23" s="1"/>
  <c r="T11" i="24" s="1"/>
  <c r="AY22" i="65"/>
  <c r="AM22" i="65"/>
  <c r="AV22" i="65"/>
  <c r="AL22" i="65"/>
  <c r="AU22" i="65"/>
  <c r="AK22" i="65"/>
  <c r="AT22" i="65"/>
  <c r="AJ22" i="65"/>
  <c r="AS22" i="65"/>
  <c r="AI22" i="65"/>
  <c r="BB21" i="65"/>
  <c r="BA21" i="65"/>
  <c r="BB21" i="64"/>
  <c r="BA21" i="64"/>
  <c r="AW22" i="64"/>
  <c r="AO22" i="64"/>
  <c r="AG22" i="64"/>
  <c r="AV22" i="64"/>
  <c r="AN22" i="64"/>
  <c r="AU22" i="64"/>
  <c r="AM22" i="64"/>
  <c r="AT22" i="64"/>
  <c r="AL22" i="64"/>
  <c r="AZ22" i="64"/>
  <c r="AR22" i="64"/>
  <c r="AP22" i="64"/>
  <c r="AK22" i="64"/>
  <c r="AJ22" i="64"/>
  <c r="AI22" i="64"/>
  <c r="AY22" i="64"/>
  <c r="AH22" i="64"/>
  <c r="D22" i="64"/>
  <c r="L11" i="23" s="1"/>
  <c r="O11" i="24" s="1"/>
  <c r="AX22" i="64"/>
  <c r="AS22" i="64"/>
  <c r="AQ22" i="64"/>
  <c r="B23" i="64"/>
  <c r="A24" i="64"/>
  <c r="I13" i="23" s="1"/>
  <c r="K13" i="24" s="1"/>
  <c r="CA21" i="64"/>
  <c r="AY22" i="63"/>
  <c r="AQ22" i="63"/>
  <c r="AI22" i="63"/>
  <c r="AX22" i="63"/>
  <c r="AP22" i="63"/>
  <c r="AH22" i="63"/>
  <c r="AW22" i="63"/>
  <c r="AM22" i="63"/>
  <c r="D22" i="63"/>
  <c r="H11" i="23" s="1"/>
  <c r="J11" i="24" s="1"/>
  <c r="AV22" i="63"/>
  <c r="AL22" i="63"/>
  <c r="AU22" i="63"/>
  <c r="AK22" i="63"/>
  <c r="AT22" i="63"/>
  <c r="AJ22" i="63"/>
  <c r="AS22" i="63"/>
  <c r="AG22" i="63"/>
  <c r="AR22" i="63"/>
  <c r="AO22" i="63"/>
  <c r="AZ22" i="63"/>
  <c r="AN22" i="63"/>
  <c r="N20" i="63"/>
  <c r="A24" i="63"/>
  <c r="E13" i="23" s="1"/>
  <c r="F13" i="24" s="1"/>
  <c r="B23" i="63"/>
  <c r="BB21" i="63"/>
  <c r="BA21" i="63"/>
  <c r="N21" i="63" s="1"/>
  <c r="Q21" i="73" l="1"/>
  <c r="FL19" i="66"/>
  <c r="FN19" i="66"/>
  <c r="FN21" i="68"/>
  <c r="FL21" i="68"/>
  <c r="CX22" i="69"/>
  <c r="CL22" i="70"/>
  <c r="CD22" i="70"/>
  <c r="CO22" i="70"/>
  <c r="CW22" i="70"/>
  <c r="CE22" i="70"/>
  <c r="CP22" i="70"/>
  <c r="CQ22" i="70"/>
  <c r="CR22" i="70"/>
  <c r="CG22" i="70"/>
  <c r="CS22" i="70"/>
  <c r="CH22" i="70"/>
  <c r="CT22" i="70"/>
  <c r="CI22" i="70"/>
  <c r="CU22" i="70"/>
  <c r="CJ22" i="70"/>
  <c r="CV22" i="70"/>
  <c r="CM22" i="70"/>
  <c r="CN22" i="70"/>
  <c r="BO22" i="70"/>
  <c r="BW22" i="70"/>
  <c r="BP22" i="70"/>
  <c r="BX22" i="70"/>
  <c r="BH22" i="70"/>
  <c r="BR22" i="70"/>
  <c r="BZ22" i="70"/>
  <c r="BJ22" i="70"/>
  <c r="BS22" i="70"/>
  <c r="BM22" i="70"/>
  <c r="BV22" i="70"/>
  <c r="BG22" i="70"/>
  <c r="BK22" i="70"/>
  <c r="BQ22" i="70"/>
  <c r="BT22" i="70"/>
  <c r="BU22" i="70"/>
  <c r="BY22" i="70"/>
  <c r="BL22" i="70"/>
  <c r="CF22" i="70"/>
  <c r="BN22" i="70"/>
  <c r="CK22" i="70"/>
  <c r="BI22" i="70"/>
  <c r="CX22" i="71"/>
  <c r="CX21" i="72"/>
  <c r="CX22" i="73"/>
  <c r="P22" i="73" s="1"/>
  <c r="AD12" i="23"/>
  <c r="G12" i="25" s="1"/>
  <c r="CL23" i="69"/>
  <c r="CM23" i="69"/>
  <c r="CV23" i="69"/>
  <c r="CE23" i="69"/>
  <c r="CO23" i="69"/>
  <c r="CW23" i="69"/>
  <c r="CF23" i="69"/>
  <c r="CP23" i="69"/>
  <c r="CS23" i="69"/>
  <c r="CG23" i="69"/>
  <c r="CT23" i="69"/>
  <c r="CH23" i="69"/>
  <c r="CU23" i="69"/>
  <c r="CI23" i="69"/>
  <c r="CJ23" i="69"/>
  <c r="CK23" i="69"/>
  <c r="CQ23" i="69"/>
  <c r="CR23" i="69"/>
  <c r="BM23" i="69"/>
  <c r="BV23" i="69"/>
  <c r="BN23" i="69"/>
  <c r="BW23" i="69"/>
  <c r="BP23" i="69"/>
  <c r="BY23" i="69"/>
  <c r="BH23" i="69"/>
  <c r="BR23" i="69"/>
  <c r="BZ23" i="69"/>
  <c r="BI23" i="69"/>
  <c r="BS23" i="69"/>
  <c r="BJ23" i="69"/>
  <c r="BT23" i="69"/>
  <c r="BK23" i="69"/>
  <c r="BU23" i="69"/>
  <c r="BO23" i="69"/>
  <c r="BX23" i="69"/>
  <c r="CN23" i="69"/>
  <c r="BL23" i="69"/>
  <c r="BQ23" i="69"/>
  <c r="BG23" i="69"/>
  <c r="CD23" i="69"/>
  <c r="AT12" i="23"/>
  <c r="AA12" i="25" s="1"/>
  <c r="CL23" i="73"/>
  <c r="CI23" i="73"/>
  <c r="CR23" i="73"/>
  <c r="CJ23" i="73"/>
  <c r="CS23" i="73"/>
  <c r="CK23" i="73"/>
  <c r="CT23" i="73"/>
  <c r="CD23" i="73"/>
  <c r="CM23" i="73"/>
  <c r="CU23" i="73"/>
  <c r="CE23" i="73"/>
  <c r="CN23" i="73"/>
  <c r="CV23" i="73"/>
  <c r="CF23" i="73"/>
  <c r="CO23" i="73"/>
  <c r="CW23" i="73"/>
  <c r="CG23" i="73"/>
  <c r="CP23" i="73"/>
  <c r="CH23" i="73"/>
  <c r="CQ23" i="73"/>
  <c r="BH23" i="73"/>
  <c r="BP23" i="73"/>
  <c r="BX23" i="73"/>
  <c r="BI23" i="73"/>
  <c r="BQ23" i="73"/>
  <c r="BY23" i="73"/>
  <c r="BJ23" i="73"/>
  <c r="BR23" i="73"/>
  <c r="BZ23" i="73"/>
  <c r="BK23" i="73"/>
  <c r="BS23" i="73"/>
  <c r="BL23" i="73"/>
  <c r="BT23" i="73"/>
  <c r="BW23" i="73"/>
  <c r="BG23" i="73"/>
  <c r="BM23" i="73"/>
  <c r="BN23" i="73"/>
  <c r="BO23" i="73"/>
  <c r="BU23" i="73"/>
  <c r="BV23" i="73"/>
  <c r="AL12" i="23"/>
  <c r="Q12" i="25" s="1"/>
  <c r="CL23" i="71"/>
  <c r="CE23" i="71"/>
  <c r="CN23" i="71"/>
  <c r="CV23" i="71"/>
  <c r="CG23" i="71"/>
  <c r="CQ23" i="71"/>
  <c r="CH23" i="71"/>
  <c r="CR23" i="71"/>
  <c r="CI23" i="71"/>
  <c r="CS23" i="71"/>
  <c r="CJ23" i="71"/>
  <c r="CT23" i="71"/>
  <c r="CK23" i="71"/>
  <c r="CU23" i="71"/>
  <c r="CM23" i="71"/>
  <c r="CW23" i="71"/>
  <c r="CD23" i="71"/>
  <c r="CO23" i="71"/>
  <c r="CF23" i="71"/>
  <c r="CP23" i="71"/>
  <c r="BI23" i="71"/>
  <c r="BQ23" i="71"/>
  <c r="BY23" i="71"/>
  <c r="BJ23" i="71"/>
  <c r="BR23" i="71"/>
  <c r="BZ23" i="71"/>
  <c r="BK23" i="71"/>
  <c r="BS23" i="71"/>
  <c r="BL23" i="71"/>
  <c r="BT23" i="71"/>
  <c r="BM23" i="71"/>
  <c r="BU23" i="71"/>
  <c r="BN23" i="71"/>
  <c r="BV23" i="71"/>
  <c r="BG23" i="71"/>
  <c r="BO23" i="71"/>
  <c r="BW23" i="71"/>
  <c r="BH23" i="71"/>
  <c r="BP23" i="71"/>
  <c r="BX23" i="71"/>
  <c r="CX21" i="67"/>
  <c r="AP11" i="23"/>
  <c r="V11" i="25" s="1"/>
  <c r="CL22" i="72"/>
  <c r="CJ22" i="72"/>
  <c r="CS22" i="72"/>
  <c r="CK22" i="72"/>
  <c r="CT22" i="72"/>
  <c r="CD22" i="72"/>
  <c r="CM22" i="72"/>
  <c r="CU22" i="72"/>
  <c r="CH22" i="72"/>
  <c r="CW22" i="72"/>
  <c r="CI22" i="72"/>
  <c r="CN22" i="72"/>
  <c r="CO22" i="72"/>
  <c r="CP22" i="72"/>
  <c r="CQ22" i="72"/>
  <c r="CR22" i="72"/>
  <c r="CV22" i="72"/>
  <c r="CE22" i="72"/>
  <c r="CF22" i="72"/>
  <c r="CG22" i="72"/>
  <c r="BL22" i="72"/>
  <c r="BT22" i="72"/>
  <c r="BH22" i="72"/>
  <c r="BP22" i="72"/>
  <c r="BX22" i="72"/>
  <c r="BI22" i="72"/>
  <c r="BQ22" i="72"/>
  <c r="BY22" i="72"/>
  <c r="BJ22" i="72"/>
  <c r="BR22" i="72"/>
  <c r="BZ22" i="72"/>
  <c r="BK22" i="72"/>
  <c r="BS22" i="72"/>
  <c r="BU22" i="72"/>
  <c r="BV22" i="72"/>
  <c r="BW22" i="72"/>
  <c r="BG22" i="72"/>
  <c r="BM22" i="72"/>
  <c r="BN22" i="72"/>
  <c r="BO22" i="72"/>
  <c r="CM22" i="67"/>
  <c r="CU22" i="67"/>
  <c r="CH22" i="67"/>
  <c r="CR22" i="67"/>
  <c r="CI22" i="67"/>
  <c r="CS22" i="67"/>
  <c r="CJ22" i="67"/>
  <c r="CT22" i="67"/>
  <c r="CK22" i="67"/>
  <c r="CV22" i="67"/>
  <c r="CN22" i="67"/>
  <c r="CW22" i="67"/>
  <c r="CD22" i="67"/>
  <c r="CO22" i="67"/>
  <c r="CF22" i="67"/>
  <c r="CP22" i="67"/>
  <c r="CQ22" i="67"/>
  <c r="CE22" i="67"/>
  <c r="BN22" i="67"/>
  <c r="BW22" i="67"/>
  <c r="BP22" i="67"/>
  <c r="BX22" i="67"/>
  <c r="BH22" i="67"/>
  <c r="BR22" i="67"/>
  <c r="BZ22" i="67"/>
  <c r="BI22" i="67"/>
  <c r="BS22" i="67"/>
  <c r="BK22" i="67"/>
  <c r="BT22" i="67"/>
  <c r="BL22" i="67"/>
  <c r="BU22" i="67"/>
  <c r="BM22" i="67"/>
  <c r="BV22" i="67"/>
  <c r="BG22" i="67"/>
  <c r="BQ22" i="67"/>
  <c r="BY22" i="67"/>
  <c r="BO22" i="67"/>
  <c r="BJ22" i="67"/>
  <c r="CG22" i="67"/>
  <c r="CL22" i="67"/>
  <c r="CX21" i="70"/>
  <c r="CX21" i="66"/>
  <c r="J12" i="23"/>
  <c r="L12" i="24" s="1"/>
  <c r="CL23" i="64"/>
  <c r="CE23" i="64"/>
  <c r="CO23" i="64"/>
  <c r="CW23" i="64"/>
  <c r="CF23" i="64"/>
  <c r="CP23" i="64"/>
  <c r="CH23" i="64"/>
  <c r="CQ23" i="64"/>
  <c r="CI23" i="64"/>
  <c r="CR23" i="64"/>
  <c r="CJ23" i="64"/>
  <c r="CS23" i="64"/>
  <c r="CK23" i="64"/>
  <c r="CT23" i="64"/>
  <c r="CM23" i="64"/>
  <c r="CU23" i="64"/>
  <c r="CD23" i="64"/>
  <c r="CN23" i="64"/>
  <c r="CV23" i="64"/>
  <c r="BL23" i="64"/>
  <c r="BT23" i="64"/>
  <c r="BO23" i="64"/>
  <c r="BX23" i="64"/>
  <c r="BP23" i="64"/>
  <c r="BY23" i="64"/>
  <c r="BG23" i="64"/>
  <c r="BQ23" i="64"/>
  <c r="BZ23" i="64"/>
  <c r="BH23" i="64"/>
  <c r="BR23" i="64"/>
  <c r="BI23" i="64"/>
  <c r="BS23" i="64"/>
  <c r="BK23" i="64"/>
  <c r="BU23" i="64"/>
  <c r="BV23" i="64"/>
  <c r="BW23" i="64"/>
  <c r="BM23" i="64"/>
  <c r="BN23" i="64"/>
  <c r="BJ23" i="64"/>
  <c r="CG23" i="64"/>
  <c r="N12" i="23"/>
  <c r="Q12" i="24" s="1"/>
  <c r="CL23" i="65"/>
  <c r="CE23" i="65"/>
  <c r="CN23" i="65"/>
  <c r="CV23" i="65"/>
  <c r="CF23" i="65"/>
  <c r="CO23" i="65"/>
  <c r="CW23" i="65"/>
  <c r="CG23" i="65"/>
  <c r="CP23" i="65"/>
  <c r="CH23" i="65"/>
  <c r="CQ23" i="65"/>
  <c r="CI23" i="65"/>
  <c r="CR23" i="65"/>
  <c r="CJ23" i="65"/>
  <c r="CS23" i="65"/>
  <c r="CD23" i="65"/>
  <c r="CK23" i="65"/>
  <c r="CM23" i="65"/>
  <c r="CT23" i="65"/>
  <c r="CU23" i="65"/>
  <c r="BH23" i="65"/>
  <c r="BP23" i="65"/>
  <c r="BX23" i="65"/>
  <c r="BI23" i="65"/>
  <c r="BQ23" i="65"/>
  <c r="BY23" i="65"/>
  <c r="BJ23" i="65"/>
  <c r="BR23" i="65"/>
  <c r="BZ23" i="65"/>
  <c r="BK23" i="65"/>
  <c r="BS23" i="65"/>
  <c r="BL23" i="65"/>
  <c r="BT23" i="65"/>
  <c r="BM23" i="65"/>
  <c r="BU23" i="65"/>
  <c r="BN23" i="65"/>
  <c r="BV23" i="65"/>
  <c r="BG23" i="65"/>
  <c r="BO23" i="65"/>
  <c r="BW23" i="65"/>
  <c r="CX22" i="64"/>
  <c r="CX22" i="63"/>
  <c r="CL22" i="66"/>
  <c r="CH22" i="66"/>
  <c r="CQ22" i="66"/>
  <c r="CI22" i="66"/>
  <c r="CR22" i="66"/>
  <c r="CJ22" i="66"/>
  <c r="CS22" i="66"/>
  <c r="CK22" i="66"/>
  <c r="CT22" i="66"/>
  <c r="CM22" i="66"/>
  <c r="CU22" i="66"/>
  <c r="CE22" i="66"/>
  <c r="CN22" i="66"/>
  <c r="CV22" i="66"/>
  <c r="CF22" i="66"/>
  <c r="CO22" i="66"/>
  <c r="CW22" i="66"/>
  <c r="CG22" i="66"/>
  <c r="CP22" i="66"/>
  <c r="BO22" i="66"/>
  <c r="BW22" i="66"/>
  <c r="BH22" i="66"/>
  <c r="BP22" i="66"/>
  <c r="BX22" i="66"/>
  <c r="BI22" i="66"/>
  <c r="BQ22" i="66"/>
  <c r="BY22" i="66"/>
  <c r="BJ22" i="66"/>
  <c r="BR22" i="66"/>
  <c r="BZ22" i="66"/>
  <c r="BK22" i="66"/>
  <c r="BS22" i="66"/>
  <c r="BL22" i="66"/>
  <c r="BT22" i="66"/>
  <c r="BM22" i="66"/>
  <c r="BU22" i="66"/>
  <c r="BN22" i="66"/>
  <c r="BV22" i="66"/>
  <c r="CD22" i="66"/>
  <c r="BG22" i="66"/>
  <c r="F12" i="23"/>
  <c r="G12" i="24" s="1"/>
  <c r="CL23" i="63"/>
  <c r="CH23" i="63"/>
  <c r="CQ23" i="63"/>
  <c r="CI23" i="63"/>
  <c r="CR23" i="63"/>
  <c r="CJ23" i="63"/>
  <c r="CS23" i="63"/>
  <c r="CK23" i="63"/>
  <c r="CT23" i="63"/>
  <c r="CM23" i="63"/>
  <c r="CU23" i="63"/>
  <c r="CD23" i="63"/>
  <c r="CF23" i="63"/>
  <c r="CG23" i="63"/>
  <c r="CN23" i="63"/>
  <c r="CO23" i="63"/>
  <c r="CP23" i="63"/>
  <c r="CV23" i="63"/>
  <c r="CW23" i="63"/>
  <c r="BO23" i="63"/>
  <c r="BW23" i="63"/>
  <c r="BG23" i="63"/>
  <c r="BP23" i="63"/>
  <c r="BX23" i="63"/>
  <c r="BI23" i="63"/>
  <c r="BQ23" i="63"/>
  <c r="BY23" i="63"/>
  <c r="BJ23" i="63"/>
  <c r="BR23" i="63"/>
  <c r="BZ23" i="63"/>
  <c r="BK23" i="63"/>
  <c r="BS23" i="63"/>
  <c r="BL23" i="63"/>
  <c r="BT23" i="63"/>
  <c r="BM23" i="63"/>
  <c r="BN23" i="63"/>
  <c r="BU23" i="63"/>
  <c r="BV23" i="63"/>
  <c r="CE23" i="63"/>
  <c r="BH23" i="63"/>
  <c r="CX22" i="65"/>
  <c r="AB11" i="23"/>
  <c r="E11" i="25" s="1"/>
  <c r="CX22" i="68"/>
  <c r="Z12" i="23"/>
  <c r="B12" i="25" s="1"/>
  <c r="CL23" i="68"/>
  <c r="CH23" i="68"/>
  <c r="CQ23" i="68"/>
  <c r="BH23" i="68"/>
  <c r="BP23" i="68"/>
  <c r="BX23" i="68"/>
  <c r="CI23" i="68"/>
  <c r="CR23" i="68"/>
  <c r="BI23" i="68"/>
  <c r="BQ23" i="68"/>
  <c r="CJ23" i="68"/>
  <c r="CS23" i="68"/>
  <c r="BJ23" i="68"/>
  <c r="BR23" i="68"/>
  <c r="BZ23" i="68"/>
  <c r="CK23" i="68"/>
  <c r="CT23" i="68"/>
  <c r="BK23" i="68"/>
  <c r="BS23" i="68"/>
  <c r="CD23" i="68"/>
  <c r="CM23" i="68"/>
  <c r="CU23" i="68"/>
  <c r="BL23" i="68"/>
  <c r="CE23" i="68"/>
  <c r="CN23" i="68"/>
  <c r="CV23" i="68"/>
  <c r="BM23" i="68"/>
  <c r="BU23" i="68"/>
  <c r="CF23" i="68"/>
  <c r="CO23" i="68"/>
  <c r="CW23" i="68"/>
  <c r="BN23" i="68"/>
  <c r="BV23" i="68"/>
  <c r="CG23" i="68"/>
  <c r="CP23" i="68"/>
  <c r="BG23" i="68"/>
  <c r="BO23" i="68"/>
  <c r="BW23" i="68"/>
  <c r="BT23" i="68"/>
  <c r="BY23" i="68"/>
  <c r="AH11" i="23"/>
  <c r="L11" i="25" s="1"/>
  <c r="AY22" i="70"/>
  <c r="AP22" i="70"/>
  <c r="AM22" i="70"/>
  <c r="AK22" i="70"/>
  <c r="AZ22" i="70"/>
  <c r="AQ22" i="70"/>
  <c r="AH22" i="70"/>
  <c r="AN22" i="70"/>
  <c r="AR22" i="70"/>
  <c r="AI22" i="70"/>
  <c r="AJ22" i="70"/>
  <c r="AV22" i="70"/>
  <c r="AT22" i="70"/>
  <c r="D22" i="70"/>
  <c r="AW22" i="70"/>
  <c r="AL22" i="70"/>
  <c r="AO22" i="70"/>
  <c r="AS22" i="70"/>
  <c r="AX22" i="70"/>
  <c r="AG22" i="70"/>
  <c r="AU22" i="70"/>
  <c r="AJ10" i="23"/>
  <c r="O10" i="25"/>
  <c r="CA21" i="70"/>
  <c r="O21" i="70" s="1"/>
  <c r="AG12" i="23"/>
  <c r="K12" i="25" s="1"/>
  <c r="B23" i="70"/>
  <c r="A24" i="70"/>
  <c r="BB21" i="70"/>
  <c r="BA21" i="70"/>
  <c r="N21" i="70" s="1"/>
  <c r="U12" i="23"/>
  <c r="Z12" i="24" s="1"/>
  <c r="B23" i="67"/>
  <c r="A24" i="67"/>
  <c r="BB21" i="67"/>
  <c r="BA21" i="67"/>
  <c r="N21" i="67" s="1"/>
  <c r="J11" i="25"/>
  <c r="AF11" i="23"/>
  <c r="V11" i="23"/>
  <c r="AA11" i="24" s="1"/>
  <c r="AQ22" i="67"/>
  <c r="AZ22" i="67"/>
  <c r="AI22" i="67"/>
  <c r="AN22" i="67"/>
  <c r="AS22" i="67"/>
  <c r="AY22" i="67"/>
  <c r="AR22" i="67"/>
  <c r="AK22" i="67"/>
  <c r="AJ22" i="67"/>
  <c r="AW22" i="67"/>
  <c r="AT22" i="67"/>
  <c r="D22" i="67"/>
  <c r="X11" i="23" s="1"/>
  <c r="AD11" i="24" s="1"/>
  <c r="AL22" i="67"/>
  <c r="AH22" i="67"/>
  <c r="AO22" i="67"/>
  <c r="AU22" i="67"/>
  <c r="AX22" i="67"/>
  <c r="AG22" i="67"/>
  <c r="AM22" i="67"/>
  <c r="AP22" i="67"/>
  <c r="AV22" i="67"/>
  <c r="AV11" i="23"/>
  <c r="AD11" i="25"/>
  <c r="T11" i="25"/>
  <c r="AN11" i="23"/>
  <c r="Y10" i="25"/>
  <c r="AR10" i="23"/>
  <c r="CA21" i="67"/>
  <c r="O21" i="67" s="1"/>
  <c r="BB21" i="66"/>
  <c r="BA21" i="66"/>
  <c r="N21" i="66" s="1"/>
  <c r="Q12" i="23"/>
  <c r="U12" i="24" s="1"/>
  <c r="B23" i="66"/>
  <c r="A24" i="66"/>
  <c r="R11" i="23"/>
  <c r="V11" i="24" s="1"/>
  <c r="AT22" i="66"/>
  <c r="AK22" i="66"/>
  <c r="AR22" i="66"/>
  <c r="AQ22" i="66"/>
  <c r="AH22" i="66"/>
  <c r="AV22" i="66"/>
  <c r="AL22" i="66"/>
  <c r="D22" i="66"/>
  <c r="T11" i="23" s="1"/>
  <c r="Y11" i="24" s="1"/>
  <c r="AJ22" i="66"/>
  <c r="AI22" i="66"/>
  <c r="AN22" i="66"/>
  <c r="AU22" i="66"/>
  <c r="AO22" i="66"/>
  <c r="AG22" i="66"/>
  <c r="AM22" i="66"/>
  <c r="AW22" i="66"/>
  <c r="AX22" i="66"/>
  <c r="AS22" i="66"/>
  <c r="AZ22" i="66"/>
  <c r="AY22" i="66"/>
  <c r="AP22" i="66"/>
  <c r="G40" i="50"/>
  <c r="G41" i="50" s="1"/>
  <c r="CA22" i="73"/>
  <c r="O22" i="73" s="1"/>
  <c r="BB22" i="73"/>
  <c r="BA22" i="73"/>
  <c r="N22" i="73" s="1"/>
  <c r="Y21" i="73" s="1"/>
  <c r="AV23" i="73"/>
  <c r="AN23" i="73"/>
  <c r="AU23" i="73"/>
  <c r="AM23" i="73"/>
  <c r="AT23" i="73"/>
  <c r="AL23" i="73"/>
  <c r="AS23" i="73"/>
  <c r="AK23" i="73"/>
  <c r="D23" i="73"/>
  <c r="AZ23" i="73"/>
  <c r="AR23" i="73"/>
  <c r="AJ23" i="73"/>
  <c r="AY23" i="73"/>
  <c r="AQ23" i="73"/>
  <c r="AI23" i="73"/>
  <c r="AX23" i="73"/>
  <c r="AP23" i="73"/>
  <c r="AH23" i="73"/>
  <c r="AW23" i="73"/>
  <c r="AO23" i="73"/>
  <c r="AG23" i="73"/>
  <c r="A25" i="73"/>
  <c r="AS14" i="23" s="1"/>
  <c r="Z14" i="25" s="1"/>
  <c r="B24" i="73"/>
  <c r="A24" i="72"/>
  <c r="AO13" i="23" s="1"/>
  <c r="U13" i="25" s="1"/>
  <c r="B23" i="72"/>
  <c r="AV22" i="72"/>
  <c r="AN22" i="72"/>
  <c r="AT22" i="72"/>
  <c r="AL22" i="72"/>
  <c r="AS22" i="72"/>
  <c r="AK22" i="72"/>
  <c r="D22" i="72"/>
  <c r="AZ22" i="72"/>
  <c r="AR22" i="72"/>
  <c r="AJ22" i="72"/>
  <c r="AY22" i="72"/>
  <c r="AQ22" i="72"/>
  <c r="AI22" i="72"/>
  <c r="AX22" i="72"/>
  <c r="AP22" i="72"/>
  <c r="AH22" i="72"/>
  <c r="AW22" i="72"/>
  <c r="AO22" i="72"/>
  <c r="AG22" i="72"/>
  <c r="AU22" i="72"/>
  <c r="AM22" i="72"/>
  <c r="BB21" i="72"/>
  <c r="BA21" i="72"/>
  <c r="N21" i="72" s="1"/>
  <c r="AT23" i="71"/>
  <c r="AL23" i="71"/>
  <c r="AS23" i="71"/>
  <c r="AK23" i="71"/>
  <c r="D23" i="71"/>
  <c r="AZ23" i="71"/>
  <c r="AP23" i="71"/>
  <c r="AY23" i="71"/>
  <c r="AO23" i="71"/>
  <c r="AX23" i="71"/>
  <c r="AN23" i="71"/>
  <c r="AW23" i="71"/>
  <c r="AM23" i="71"/>
  <c r="AV23" i="71"/>
  <c r="AJ23" i="71"/>
  <c r="AU23" i="71"/>
  <c r="AI23" i="71"/>
  <c r="AR23" i="71"/>
  <c r="AH23" i="71"/>
  <c r="AQ23" i="71"/>
  <c r="AG23" i="71"/>
  <c r="A25" i="71"/>
  <c r="AK14" i="23" s="1"/>
  <c r="P14" i="25" s="1"/>
  <c r="B24" i="71"/>
  <c r="BB22" i="71"/>
  <c r="BA22" i="71"/>
  <c r="N22" i="71" s="1"/>
  <c r="Y21" i="71" s="1"/>
  <c r="AY23" i="69"/>
  <c r="AQ23" i="69"/>
  <c r="AI23" i="69"/>
  <c r="AX23" i="69"/>
  <c r="AP23" i="69"/>
  <c r="AH23" i="69"/>
  <c r="AW23" i="69"/>
  <c r="AO23" i="69"/>
  <c r="AG23" i="69"/>
  <c r="AV23" i="69"/>
  <c r="AN23" i="69"/>
  <c r="AU23" i="69"/>
  <c r="AM23" i="69"/>
  <c r="AL23" i="69"/>
  <c r="AK23" i="69"/>
  <c r="AJ23" i="69"/>
  <c r="D23" i="69"/>
  <c r="AZ23" i="69"/>
  <c r="AT23" i="69"/>
  <c r="AS23" i="69"/>
  <c r="AR23" i="69"/>
  <c r="BB22" i="69"/>
  <c r="BA22" i="69"/>
  <c r="N22" i="69" s="1"/>
  <c r="Y21" i="69" s="1"/>
  <c r="B24" i="69"/>
  <c r="A25" i="69"/>
  <c r="AC14" i="23" s="1"/>
  <c r="F14" i="25" s="1"/>
  <c r="B24" i="68"/>
  <c r="A25" i="68"/>
  <c r="Y14" i="23" s="1"/>
  <c r="A14" i="25" s="1"/>
  <c r="BB22" i="68"/>
  <c r="BA22" i="68"/>
  <c r="N22" i="68" s="1"/>
  <c r="AX23" i="68"/>
  <c r="AP23" i="68"/>
  <c r="AH23" i="68"/>
  <c r="AW23" i="68"/>
  <c r="AO23" i="68"/>
  <c r="AG23" i="68"/>
  <c r="AQ23" i="68"/>
  <c r="AZ23" i="68"/>
  <c r="AN23" i="68"/>
  <c r="D23" i="68"/>
  <c r="AR23" i="68"/>
  <c r="AM23" i="68"/>
  <c r="AL23" i="68"/>
  <c r="AY23" i="68"/>
  <c r="AK23" i="68"/>
  <c r="AV23" i="68"/>
  <c r="AJ23" i="68"/>
  <c r="AU23" i="68"/>
  <c r="AI23" i="68"/>
  <c r="AT23" i="68"/>
  <c r="AS23" i="68"/>
  <c r="BB22" i="65"/>
  <c r="BA22" i="65"/>
  <c r="N22" i="65" s="1"/>
  <c r="Y22" i="65" s="1"/>
  <c r="A25" i="65"/>
  <c r="M14" i="23" s="1"/>
  <c r="P14" i="24" s="1"/>
  <c r="B24" i="65"/>
  <c r="AS23" i="65"/>
  <c r="AK23" i="65"/>
  <c r="D23" i="65"/>
  <c r="P12" i="23" s="1"/>
  <c r="T12" i="24" s="1"/>
  <c r="AZ23" i="65"/>
  <c r="AR23" i="65"/>
  <c r="AJ23" i="65"/>
  <c r="AV23" i="65"/>
  <c r="AL23" i="65"/>
  <c r="AU23" i="65"/>
  <c r="AI23" i="65"/>
  <c r="AT23" i="65"/>
  <c r="AH23" i="65"/>
  <c r="AQ23" i="65"/>
  <c r="AG23" i="65"/>
  <c r="AP23" i="65"/>
  <c r="AY23" i="65"/>
  <c r="AO23" i="65"/>
  <c r="AX23" i="65"/>
  <c r="AN23" i="65"/>
  <c r="AW23" i="65"/>
  <c r="AM23" i="65"/>
  <c r="N21" i="65"/>
  <c r="Y21" i="65" s="1"/>
  <c r="BB22" i="64"/>
  <c r="BA22" i="64"/>
  <c r="N22" i="64" s="1"/>
  <c r="Y21" i="64" s="1"/>
  <c r="B24" i="64"/>
  <c r="A25" i="64"/>
  <c r="I14" i="23" s="1"/>
  <c r="K14" i="24" s="1"/>
  <c r="N21" i="64"/>
  <c r="O21" i="64"/>
  <c r="AZ23" i="64"/>
  <c r="AR23" i="64"/>
  <c r="AJ23" i="64"/>
  <c r="AY23" i="64"/>
  <c r="AQ23" i="64"/>
  <c r="AI23" i="64"/>
  <c r="AX23" i="64"/>
  <c r="AP23" i="64"/>
  <c r="AH23" i="64"/>
  <c r="AW23" i="64"/>
  <c r="AO23" i="64"/>
  <c r="AG23" i="64"/>
  <c r="AV23" i="64"/>
  <c r="AN23" i="64"/>
  <c r="AU23" i="64"/>
  <c r="AM23" i="64"/>
  <c r="AL23" i="64"/>
  <c r="AK23" i="64"/>
  <c r="D23" i="64"/>
  <c r="L12" i="23" s="1"/>
  <c r="O12" i="24" s="1"/>
  <c r="AT23" i="64"/>
  <c r="AS23" i="64"/>
  <c r="CA22" i="64"/>
  <c r="O22" i="64" s="1"/>
  <c r="BB22" i="63"/>
  <c r="BA22" i="63"/>
  <c r="N22" i="63" s="1"/>
  <c r="Y20" i="63"/>
  <c r="AT23" i="63"/>
  <c r="AL23" i="63"/>
  <c r="AS23" i="63"/>
  <c r="AK23" i="63"/>
  <c r="D23" i="63"/>
  <c r="H12" i="23" s="1"/>
  <c r="J12" i="24" s="1"/>
  <c r="AU23" i="63"/>
  <c r="AI23" i="63"/>
  <c r="AR23" i="63"/>
  <c r="AH23" i="63"/>
  <c r="AQ23" i="63"/>
  <c r="AG23" i="63"/>
  <c r="AZ23" i="63"/>
  <c r="AP23" i="63"/>
  <c r="AY23" i="63"/>
  <c r="AO23" i="63"/>
  <c r="AX23" i="63"/>
  <c r="AN23" i="63"/>
  <c r="AW23" i="63"/>
  <c r="AM23" i="63"/>
  <c r="AV23" i="63"/>
  <c r="AJ23" i="63"/>
  <c r="A25" i="63"/>
  <c r="E14" i="23" s="1"/>
  <c r="F14" i="24" s="1"/>
  <c r="B24" i="63"/>
  <c r="Q22" i="73" l="1"/>
  <c r="FN21" i="73"/>
  <c r="FL21" i="73"/>
  <c r="FN22" i="65"/>
  <c r="FL22" i="65"/>
  <c r="FN21" i="65"/>
  <c r="FL21" i="65"/>
  <c r="FN21" i="71"/>
  <c r="FL21" i="71"/>
  <c r="FL21" i="69"/>
  <c r="FN21" i="69"/>
  <c r="FN21" i="64"/>
  <c r="FL21" i="64"/>
  <c r="FN20" i="63"/>
  <c r="FL20" i="63"/>
  <c r="AL13" i="23"/>
  <c r="Q13" i="25" s="1"/>
  <c r="CL24" i="71"/>
  <c r="CJ24" i="71"/>
  <c r="CS24" i="71"/>
  <c r="CF24" i="71"/>
  <c r="CP24" i="71"/>
  <c r="CG24" i="71"/>
  <c r="CQ24" i="71"/>
  <c r="CH24" i="71"/>
  <c r="CR24" i="71"/>
  <c r="CI24" i="71"/>
  <c r="CT24" i="71"/>
  <c r="CK24" i="71"/>
  <c r="CU24" i="71"/>
  <c r="CM24" i="71"/>
  <c r="CV24" i="71"/>
  <c r="CD24" i="71"/>
  <c r="CN24" i="71"/>
  <c r="CW24" i="71"/>
  <c r="CE24" i="71"/>
  <c r="CO24" i="71"/>
  <c r="BM24" i="71"/>
  <c r="BU24" i="71"/>
  <c r="BN24" i="71"/>
  <c r="BV24" i="71"/>
  <c r="BG24" i="71"/>
  <c r="BO24" i="71"/>
  <c r="BW24" i="71"/>
  <c r="BH24" i="71"/>
  <c r="BP24" i="71"/>
  <c r="BX24" i="71"/>
  <c r="BI24" i="71"/>
  <c r="BQ24" i="71"/>
  <c r="BY24" i="71"/>
  <c r="BJ24" i="71"/>
  <c r="BR24" i="71"/>
  <c r="BZ24" i="71"/>
  <c r="BK24" i="71"/>
  <c r="BS24" i="71"/>
  <c r="BL24" i="71"/>
  <c r="BT24" i="71"/>
  <c r="AT13" i="23"/>
  <c r="AA13" i="25" s="1"/>
  <c r="CL24" i="73"/>
  <c r="CF24" i="73"/>
  <c r="CO24" i="73"/>
  <c r="CW24" i="73"/>
  <c r="CG24" i="73"/>
  <c r="CP24" i="73"/>
  <c r="CH24" i="73"/>
  <c r="CQ24" i="73"/>
  <c r="CI24" i="73"/>
  <c r="CR24" i="73"/>
  <c r="CJ24" i="73"/>
  <c r="CS24" i="73"/>
  <c r="CK24" i="73"/>
  <c r="CT24" i="73"/>
  <c r="CD24" i="73"/>
  <c r="CM24" i="73"/>
  <c r="CU24" i="73"/>
  <c r="CE24" i="73"/>
  <c r="CN24" i="73"/>
  <c r="CV24" i="73"/>
  <c r="BL24" i="73"/>
  <c r="BT24" i="73"/>
  <c r="BM24" i="73"/>
  <c r="BU24" i="73"/>
  <c r="BN24" i="73"/>
  <c r="BV24" i="73"/>
  <c r="BG24" i="73"/>
  <c r="BO24" i="73"/>
  <c r="BW24" i="73"/>
  <c r="BH24" i="73"/>
  <c r="BP24" i="73"/>
  <c r="BX24" i="73"/>
  <c r="BZ24" i="73"/>
  <c r="BJ24" i="73"/>
  <c r="BK24" i="73"/>
  <c r="BQ24" i="73"/>
  <c r="BR24" i="73"/>
  <c r="BS24" i="73"/>
  <c r="BY24" i="73"/>
  <c r="BI24" i="73"/>
  <c r="CM23" i="70"/>
  <c r="CU23" i="70"/>
  <c r="CD23" i="70"/>
  <c r="CN23" i="70"/>
  <c r="CV23" i="70"/>
  <c r="CH23" i="70"/>
  <c r="CS23" i="70"/>
  <c r="CI23" i="70"/>
  <c r="CT23" i="70"/>
  <c r="CJ23" i="70"/>
  <c r="CW23" i="70"/>
  <c r="CK23" i="70"/>
  <c r="CO23" i="70"/>
  <c r="CP23" i="70"/>
  <c r="CE23" i="70"/>
  <c r="CQ23" i="70"/>
  <c r="CF23" i="70"/>
  <c r="CR23" i="70"/>
  <c r="BL23" i="70"/>
  <c r="BU23" i="70"/>
  <c r="BM23" i="70"/>
  <c r="BV23" i="70"/>
  <c r="BP23" i="70"/>
  <c r="BX23" i="70"/>
  <c r="BG23" i="70"/>
  <c r="BQ23" i="70"/>
  <c r="BY23" i="70"/>
  <c r="BK23" i="70"/>
  <c r="BT23" i="70"/>
  <c r="BI23" i="70"/>
  <c r="BN23" i="70"/>
  <c r="BS23" i="70"/>
  <c r="BW23" i="70"/>
  <c r="BZ23" i="70"/>
  <c r="BH23" i="70"/>
  <c r="BR23" i="70"/>
  <c r="BJ23" i="70"/>
  <c r="BO23" i="70"/>
  <c r="CG23" i="70"/>
  <c r="CL23" i="70"/>
  <c r="CX23" i="71"/>
  <c r="CX22" i="72"/>
  <c r="CL23" i="67"/>
  <c r="CJ23" i="67"/>
  <c r="CT23" i="67"/>
  <c r="CG23" i="67"/>
  <c r="CS23" i="67"/>
  <c r="CI23" i="67"/>
  <c r="CU23" i="67"/>
  <c r="CK23" i="67"/>
  <c r="CV23" i="67"/>
  <c r="CN23" i="67"/>
  <c r="CW23" i="67"/>
  <c r="CO23" i="67"/>
  <c r="CD23" i="67"/>
  <c r="CP23" i="67"/>
  <c r="CE23" i="67"/>
  <c r="CF23" i="67"/>
  <c r="CQ23" i="67"/>
  <c r="CR23" i="67"/>
  <c r="BL23" i="67"/>
  <c r="BU23" i="67"/>
  <c r="BM23" i="67"/>
  <c r="BV23" i="67"/>
  <c r="BO23" i="67"/>
  <c r="BX23" i="67"/>
  <c r="BG23" i="67"/>
  <c r="BQ23" i="67"/>
  <c r="BY23" i="67"/>
  <c r="BH23" i="67"/>
  <c r="BR23" i="67"/>
  <c r="BZ23" i="67"/>
  <c r="BI23" i="67"/>
  <c r="BS23" i="67"/>
  <c r="BJ23" i="67"/>
  <c r="BT23" i="67"/>
  <c r="BW23" i="67"/>
  <c r="BN23" i="67"/>
  <c r="BP23" i="67"/>
  <c r="BK23" i="67"/>
  <c r="CM23" i="67"/>
  <c r="CH23" i="67"/>
  <c r="CX22" i="67"/>
  <c r="CX23" i="73"/>
  <c r="P23" i="73" s="1"/>
  <c r="CX23" i="69"/>
  <c r="AD13" i="23"/>
  <c r="G13" i="25" s="1"/>
  <c r="CL24" i="69"/>
  <c r="CM24" i="69"/>
  <c r="CV24" i="69"/>
  <c r="CN24" i="69"/>
  <c r="CW24" i="69"/>
  <c r="CD24" i="69"/>
  <c r="CP24" i="69"/>
  <c r="CQ24" i="69"/>
  <c r="CR24" i="69"/>
  <c r="CS24" i="69"/>
  <c r="CF24" i="69"/>
  <c r="CT24" i="69"/>
  <c r="CG24" i="69"/>
  <c r="CU24" i="69"/>
  <c r="CH24" i="69"/>
  <c r="CI24" i="69"/>
  <c r="CK24" i="69"/>
  <c r="BK24" i="69"/>
  <c r="BU24" i="69"/>
  <c r="BL24" i="69"/>
  <c r="BV24" i="69"/>
  <c r="BO24" i="69"/>
  <c r="BX24" i="69"/>
  <c r="BP24" i="69"/>
  <c r="BY24" i="69"/>
  <c r="BG24" i="69"/>
  <c r="BQ24" i="69"/>
  <c r="BZ24" i="69"/>
  <c r="BI24" i="69"/>
  <c r="BS24" i="69"/>
  <c r="BJ24" i="69"/>
  <c r="BT24" i="69"/>
  <c r="BN24" i="69"/>
  <c r="BW24" i="69"/>
  <c r="BR24" i="69"/>
  <c r="CO24" i="69"/>
  <c r="BH24" i="69"/>
  <c r="BM24" i="69"/>
  <c r="CJ24" i="69"/>
  <c r="CE24" i="69"/>
  <c r="AP12" i="23"/>
  <c r="V12" i="25" s="1"/>
  <c r="CL23" i="72"/>
  <c r="CH23" i="72"/>
  <c r="CR23" i="72"/>
  <c r="CI23" i="72"/>
  <c r="CS23" i="72"/>
  <c r="CK23" i="72"/>
  <c r="CT23" i="72"/>
  <c r="CQ23" i="72"/>
  <c r="CD23" i="72"/>
  <c r="CU23" i="72"/>
  <c r="CF23" i="72"/>
  <c r="CV23" i="72"/>
  <c r="CG23" i="72"/>
  <c r="CW23" i="72"/>
  <c r="CM23" i="72"/>
  <c r="CN23" i="72"/>
  <c r="CO23" i="72"/>
  <c r="CP23" i="72"/>
  <c r="BI23" i="72"/>
  <c r="BR23" i="72"/>
  <c r="BZ23" i="72"/>
  <c r="BN23" i="72"/>
  <c r="BV23" i="72"/>
  <c r="BO23" i="72"/>
  <c r="BW23" i="72"/>
  <c r="BP23" i="72"/>
  <c r="BX23" i="72"/>
  <c r="BG23" i="72"/>
  <c r="BQ23" i="72"/>
  <c r="BY23" i="72"/>
  <c r="BU23" i="72"/>
  <c r="BJ23" i="72"/>
  <c r="BK23" i="72"/>
  <c r="BL23" i="72"/>
  <c r="BS23" i="72"/>
  <c r="BT23" i="72"/>
  <c r="BM23" i="72"/>
  <c r="BH23" i="72"/>
  <c r="CE23" i="72"/>
  <c r="CJ23" i="72"/>
  <c r="CX22" i="70"/>
  <c r="J13" i="23"/>
  <c r="L13" i="24" s="1"/>
  <c r="CL24" i="64"/>
  <c r="CM24" i="64"/>
  <c r="CU24" i="64"/>
  <c r="CD24" i="64"/>
  <c r="CN24" i="64"/>
  <c r="CV24" i="64"/>
  <c r="CE24" i="64"/>
  <c r="CO24" i="64"/>
  <c r="CW24" i="64"/>
  <c r="CF24" i="64"/>
  <c r="CP24" i="64"/>
  <c r="CG24" i="64"/>
  <c r="CQ24" i="64"/>
  <c r="CI24" i="64"/>
  <c r="CR24" i="64"/>
  <c r="CJ24" i="64"/>
  <c r="CS24" i="64"/>
  <c r="CK24" i="64"/>
  <c r="CT24" i="64"/>
  <c r="BH24" i="64"/>
  <c r="BQ24" i="64"/>
  <c r="BN24" i="64"/>
  <c r="BW24" i="64"/>
  <c r="BO24" i="64"/>
  <c r="BX24" i="64"/>
  <c r="BP24" i="64"/>
  <c r="BY24" i="64"/>
  <c r="BG24" i="64"/>
  <c r="BR24" i="64"/>
  <c r="BZ24" i="64"/>
  <c r="BI24" i="64"/>
  <c r="BS24" i="64"/>
  <c r="BJ24" i="64"/>
  <c r="BT24" i="64"/>
  <c r="BL24" i="64"/>
  <c r="BM24" i="64"/>
  <c r="BU24" i="64"/>
  <c r="BV24" i="64"/>
  <c r="BK24" i="64"/>
  <c r="CH24" i="64"/>
  <c r="N13" i="23"/>
  <c r="Q13" i="24" s="1"/>
  <c r="CL24" i="65"/>
  <c r="CK24" i="65"/>
  <c r="CT24" i="65"/>
  <c r="CM24" i="65"/>
  <c r="CU24" i="65"/>
  <c r="CE24" i="65"/>
  <c r="CN24" i="65"/>
  <c r="CV24" i="65"/>
  <c r="CF24" i="65"/>
  <c r="CO24" i="65"/>
  <c r="CW24" i="65"/>
  <c r="CG24" i="65"/>
  <c r="CP24" i="65"/>
  <c r="CH24" i="65"/>
  <c r="CQ24" i="65"/>
  <c r="CI24" i="65"/>
  <c r="CJ24" i="65"/>
  <c r="CR24" i="65"/>
  <c r="CS24" i="65"/>
  <c r="BM24" i="65"/>
  <c r="BU24" i="65"/>
  <c r="BN24" i="65"/>
  <c r="BV24" i="65"/>
  <c r="BO24" i="65"/>
  <c r="BW24" i="65"/>
  <c r="BH24" i="65"/>
  <c r="BP24" i="65"/>
  <c r="BX24" i="65"/>
  <c r="BI24" i="65"/>
  <c r="BQ24" i="65"/>
  <c r="BY24" i="65"/>
  <c r="BJ24" i="65"/>
  <c r="BR24" i="65"/>
  <c r="BZ24" i="65"/>
  <c r="BK24" i="65"/>
  <c r="BS24" i="65"/>
  <c r="BL24" i="65"/>
  <c r="BT24" i="65"/>
  <c r="BG24" i="65"/>
  <c r="CD24" i="65"/>
  <c r="CX22" i="66"/>
  <c r="CX23" i="65"/>
  <c r="CX23" i="64"/>
  <c r="CL23" i="66"/>
  <c r="CF23" i="66"/>
  <c r="CO23" i="66"/>
  <c r="CW23" i="66"/>
  <c r="CG23" i="66"/>
  <c r="CP23" i="66"/>
  <c r="CH23" i="66"/>
  <c r="CQ23" i="66"/>
  <c r="CI23" i="66"/>
  <c r="CR23" i="66"/>
  <c r="CJ23" i="66"/>
  <c r="CS23" i="66"/>
  <c r="CK23" i="66"/>
  <c r="CT23" i="66"/>
  <c r="CM23" i="66"/>
  <c r="CU23" i="66"/>
  <c r="CD23" i="66"/>
  <c r="CN23" i="66"/>
  <c r="CV23" i="66"/>
  <c r="BL23" i="66"/>
  <c r="BT23" i="66"/>
  <c r="BM23" i="66"/>
  <c r="BU23" i="66"/>
  <c r="BN23" i="66"/>
  <c r="BV23" i="66"/>
  <c r="BO23" i="66"/>
  <c r="BW23" i="66"/>
  <c r="BG23" i="66"/>
  <c r="BP23" i="66"/>
  <c r="BX23" i="66"/>
  <c r="BI23" i="66"/>
  <c r="BQ23" i="66"/>
  <c r="BY23" i="66"/>
  <c r="BJ23" i="66"/>
  <c r="BR23" i="66"/>
  <c r="BZ23" i="66"/>
  <c r="BK23" i="66"/>
  <c r="BS23" i="66"/>
  <c r="CE23" i="66"/>
  <c r="BH23" i="66"/>
  <c r="CX23" i="63"/>
  <c r="F13" i="23"/>
  <c r="G13" i="24" s="1"/>
  <c r="CL24" i="63"/>
  <c r="CE24" i="63"/>
  <c r="CP24" i="63"/>
  <c r="CG24" i="63"/>
  <c r="CQ24" i="63"/>
  <c r="CH24" i="63"/>
  <c r="CR24" i="63"/>
  <c r="CI24" i="63"/>
  <c r="CS24" i="63"/>
  <c r="CJ24" i="63"/>
  <c r="CT24" i="63"/>
  <c r="CD24" i="63"/>
  <c r="CM24" i="63"/>
  <c r="CN24" i="63"/>
  <c r="CO24" i="63"/>
  <c r="CU24" i="63"/>
  <c r="CV24" i="63"/>
  <c r="CW24" i="63"/>
  <c r="BL24" i="63"/>
  <c r="BU24" i="63"/>
  <c r="BM24" i="63"/>
  <c r="BV24" i="63"/>
  <c r="BO24" i="63"/>
  <c r="BW24" i="63"/>
  <c r="BP24" i="63"/>
  <c r="BX24" i="63"/>
  <c r="BG24" i="63"/>
  <c r="BQ24" i="63"/>
  <c r="BY24" i="63"/>
  <c r="BH24" i="63"/>
  <c r="BR24" i="63"/>
  <c r="BZ24" i="63"/>
  <c r="BJ24" i="63"/>
  <c r="BK24" i="63"/>
  <c r="BS24" i="63"/>
  <c r="BT24" i="63"/>
  <c r="BN24" i="63"/>
  <c r="CK24" i="63"/>
  <c r="CF24" i="63"/>
  <c r="BI24" i="63"/>
  <c r="AB12" i="23"/>
  <c r="E12" i="25" s="1"/>
  <c r="CX23" i="68"/>
  <c r="Z13" i="23"/>
  <c r="B13" i="25" s="1"/>
  <c r="CL24" i="68"/>
  <c r="CE24" i="68"/>
  <c r="CN24" i="68"/>
  <c r="CV24" i="68"/>
  <c r="CF24" i="68"/>
  <c r="CO24" i="68"/>
  <c r="CW24" i="68"/>
  <c r="CG24" i="68"/>
  <c r="CP24" i="68"/>
  <c r="CH24" i="68"/>
  <c r="CQ24" i="68"/>
  <c r="CI24" i="68"/>
  <c r="CR24" i="68"/>
  <c r="CJ24" i="68"/>
  <c r="CS24" i="68"/>
  <c r="CK24" i="68"/>
  <c r="CT24" i="68"/>
  <c r="CD24" i="68"/>
  <c r="CM24" i="68"/>
  <c r="CU24" i="68"/>
  <c r="BH24" i="68"/>
  <c r="BP24" i="68"/>
  <c r="BX24" i="68"/>
  <c r="BI24" i="68"/>
  <c r="BQ24" i="68"/>
  <c r="BY24" i="68"/>
  <c r="BJ24" i="68"/>
  <c r="BR24" i="68"/>
  <c r="BZ24" i="68"/>
  <c r="BK24" i="68"/>
  <c r="BS24" i="68"/>
  <c r="BL24" i="68"/>
  <c r="BT24" i="68"/>
  <c r="BM24" i="68"/>
  <c r="BU24" i="68"/>
  <c r="BN24" i="68"/>
  <c r="BV24" i="68"/>
  <c r="BG24" i="68"/>
  <c r="BO24" i="68"/>
  <c r="BW24" i="68"/>
  <c r="O11" i="25"/>
  <c r="AJ11" i="23"/>
  <c r="BB22" i="70"/>
  <c r="BA22" i="70"/>
  <c r="N22" i="70" s="1"/>
  <c r="AG13" i="23"/>
  <c r="K13" i="25" s="1"/>
  <c r="A25" i="70"/>
  <c r="B24" i="70"/>
  <c r="AH12" i="23"/>
  <c r="L12" i="25" s="1"/>
  <c r="AX23" i="70"/>
  <c r="AS23" i="70"/>
  <c r="AZ23" i="70"/>
  <c r="AY23" i="70"/>
  <c r="AP23" i="70"/>
  <c r="AO23" i="70"/>
  <c r="AT23" i="70"/>
  <c r="AK23" i="70"/>
  <c r="AR23" i="70"/>
  <c r="AQ23" i="70"/>
  <c r="AH23" i="70"/>
  <c r="AL23" i="70"/>
  <c r="D23" i="70"/>
  <c r="AJ23" i="70"/>
  <c r="AI23" i="70"/>
  <c r="AN23" i="70"/>
  <c r="AU23" i="70"/>
  <c r="AG23" i="70"/>
  <c r="AM23" i="70"/>
  <c r="AW23" i="70"/>
  <c r="AV23" i="70"/>
  <c r="CA22" i="70"/>
  <c r="O22" i="70" s="1"/>
  <c r="AV12" i="23"/>
  <c r="AD12" i="25"/>
  <c r="BA22" i="67"/>
  <c r="N22" i="67" s="1"/>
  <c r="BB22" i="67"/>
  <c r="T12" i="25"/>
  <c r="AN12" i="23"/>
  <c r="Y11" i="25"/>
  <c r="AR11" i="23"/>
  <c r="U13" i="23"/>
  <c r="Z13" i="24" s="1"/>
  <c r="A25" i="67"/>
  <c r="B24" i="67"/>
  <c r="J12" i="25"/>
  <c r="AF12" i="23"/>
  <c r="V12" i="23"/>
  <c r="AA12" i="24" s="1"/>
  <c r="AZ23" i="67"/>
  <c r="AQ23" i="67"/>
  <c r="AH23" i="67"/>
  <c r="AL23" i="67"/>
  <c r="AS23" i="67"/>
  <c r="AR23" i="67"/>
  <c r="AI23" i="67"/>
  <c r="AV23" i="67"/>
  <c r="AT23" i="67"/>
  <c r="AO23" i="67"/>
  <c r="AK23" i="67"/>
  <c r="AJ23" i="67"/>
  <c r="AN23" i="67"/>
  <c r="AW23" i="67"/>
  <c r="AU23" i="67"/>
  <c r="AG23" i="67"/>
  <c r="AX23" i="67"/>
  <c r="AM23" i="67"/>
  <c r="AY23" i="67"/>
  <c r="AP23" i="67"/>
  <c r="D23" i="67"/>
  <c r="X12" i="23" s="1"/>
  <c r="AD12" i="24" s="1"/>
  <c r="Q13" i="23"/>
  <c r="U13" i="24" s="1"/>
  <c r="B24" i="66"/>
  <c r="A25" i="66"/>
  <c r="R12" i="23"/>
  <c r="V12" i="24" s="1"/>
  <c r="AP23" i="66"/>
  <c r="AM23" i="66"/>
  <c r="AJ23" i="66"/>
  <c r="AI23" i="66"/>
  <c r="AH23" i="66"/>
  <c r="AV23" i="66"/>
  <c r="AN23" i="66"/>
  <c r="AW23" i="66"/>
  <c r="AS23" i="66"/>
  <c r="AO23" i="66"/>
  <c r="AT23" i="66"/>
  <c r="AK23" i="66"/>
  <c r="AZ23" i="66"/>
  <c r="AY23" i="66"/>
  <c r="AX23" i="66"/>
  <c r="AG23" i="66"/>
  <c r="AU23" i="66"/>
  <c r="AL23" i="66"/>
  <c r="D23" i="66"/>
  <c r="T12" i="23" s="1"/>
  <c r="Y12" i="24" s="1"/>
  <c r="AR23" i="66"/>
  <c r="AQ23" i="66"/>
  <c r="BB22" i="66"/>
  <c r="BA22" i="66"/>
  <c r="N22" i="66" s="1"/>
  <c r="CA23" i="73"/>
  <c r="O23" i="73" s="1"/>
  <c r="AY24" i="73"/>
  <c r="AQ24" i="73"/>
  <c r="AI24" i="73"/>
  <c r="AX24" i="73"/>
  <c r="AP24" i="73"/>
  <c r="AH24" i="73"/>
  <c r="AW24" i="73"/>
  <c r="AO24" i="73"/>
  <c r="AG24" i="73"/>
  <c r="AV24" i="73"/>
  <c r="AN24" i="73"/>
  <c r="AU24" i="73"/>
  <c r="AM24" i="73"/>
  <c r="AT24" i="73"/>
  <c r="AL24" i="73"/>
  <c r="AS24" i="73"/>
  <c r="AK24" i="73"/>
  <c r="D24" i="73"/>
  <c r="AZ24" i="73"/>
  <c r="AR24" i="73"/>
  <c r="AJ24" i="73"/>
  <c r="B25" i="73"/>
  <c r="A26" i="73"/>
  <c r="AS15" i="23" s="1"/>
  <c r="Z15" i="25" s="1"/>
  <c r="BB23" i="73"/>
  <c r="BA23" i="73"/>
  <c r="N23" i="73" s="1"/>
  <c r="Y22" i="73" s="1"/>
  <c r="BB22" i="72"/>
  <c r="BA22" i="72"/>
  <c r="N22" i="72" s="1"/>
  <c r="AY23" i="72"/>
  <c r="AQ23" i="72"/>
  <c r="AI23" i="72"/>
  <c r="AW23" i="72"/>
  <c r="AO23" i="72"/>
  <c r="AG23" i="72"/>
  <c r="AV23" i="72"/>
  <c r="AN23" i="72"/>
  <c r="AU23" i="72"/>
  <c r="AM23" i="72"/>
  <c r="AT23" i="72"/>
  <c r="AL23" i="72"/>
  <c r="AS23" i="72"/>
  <c r="AK23" i="72"/>
  <c r="D23" i="72"/>
  <c r="AZ23" i="72"/>
  <c r="AR23" i="72"/>
  <c r="AJ23" i="72"/>
  <c r="AX23" i="72"/>
  <c r="AP23" i="72"/>
  <c r="AH23" i="72"/>
  <c r="B24" i="72"/>
  <c r="A25" i="72"/>
  <c r="AO14" i="23" s="1"/>
  <c r="U14" i="25" s="1"/>
  <c r="AW24" i="71"/>
  <c r="AO24" i="71"/>
  <c r="AG24" i="71"/>
  <c r="AV24" i="71"/>
  <c r="AN24" i="71"/>
  <c r="AU24" i="71"/>
  <c r="AT24" i="71"/>
  <c r="AZ24" i="71"/>
  <c r="AL24" i="71"/>
  <c r="AY24" i="71"/>
  <c r="AK24" i="71"/>
  <c r="AX24" i="71"/>
  <c r="AJ24" i="71"/>
  <c r="AS24" i="71"/>
  <c r="AI24" i="71"/>
  <c r="AR24" i="71"/>
  <c r="AH24" i="71"/>
  <c r="AQ24" i="71"/>
  <c r="AP24" i="71"/>
  <c r="AM24" i="71"/>
  <c r="D24" i="71"/>
  <c r="B25" i="71"/>
  <c r="A26" i="71"/>
  <c r="AK15" i="23" s="1"/>
  <c r="P15" i="25" s="1"/>
  <c r="BB23" i="71"/>
  <c r="BA23" i="71"/>
  <c r="N23" i="71" s="1"/>
  <c r="Y22" i="71" s="1"/>
  <c r="BB23" i="69"/>
  <c r="BA23" i="69"/>
  <c r="N23" i="69" s="1"/>
  <c r="A26" i="69"/>
  <c r="AC15" i="23" s="1"/>
  <c r="F15" i="25" s="1"/>
  <c r="B25" i="69"/>
  <c r="AT24" i="69"/>
  <c r="AL24" i="69"/>
  <c r="AS24" i="69"/>
  <c r="AK24" i="69"/>
  <c r="D24" i="69"/>
  <c r="AZ24" i="69"/>
  <c r="AR24" i="69"/>
  <c r="AJ24" i="69"/>
  <c r="AY24" i="69"/>
  <c r="AQ24" i="69"/>
  <c r="AI24" i="69"/>
  <c r="AX24" i="69"/>
  <c r="AP24" i="69"/>
  <c r="AH24" i="69"/>
  <c r="AW24" i="69"/>
  <c r="AO24" i="69"/>
  <c r="AG24" i="69"/>
  <c r="AV24" i="69"/>
  <c r="AN24" i="69"/>
  <c r="AU24" i="69"/>
  <c r="AM24" i="69"/>
  <c r="BB23" i="68"/>
  <c r="BA23" i="68"/>
  <c r="N23" i="68" s="1"/>
  <c r="A26" i="68"/>
  <c r="Y15" i="23" s="1"/>
  <c r="A15" i="25" s="1"/>
  <c r="B25" i="68"/>
  <c r="AT24" i="68"/>
  <c r="AL24" i="68"/>
  <c r="AS24" i="68"/>
  <c r="AK24" i="68"/>
  <c r="D24" i="68"/>
  <c r="AZ24" i="68"/>
  <c r="AR24" i="68"/>
  <c r="AJ24" i="68"/>
  <c r="AY24" i="68"/>
  <c r="AQ24" i="68"/>
  <c r="AI24" i="68"/>
  <c r="AM24" i="68"/>
  <c r="AX24" i="68"/>
  <c r="AH24" i="68"/>
  <c r="AV24" i="68"/>
  <c r="AU24" i="68"/>
  <c r="AP24" i="68"/>
  <c r="AO24" i="68"/>
  <c r="AN24" i="68"/>
  <c r="AG24" i="68"/>
  <c r="AW24" i="68"/>
  <c r="AV24" i="65"/>
  <c r="AN24" i="65"/>
  <c r="AU24" i="65"/>
  <c r="AM24" i="65"/>
  <c r="AT24" i="65"/>
  <c r="AL24" i="65"/>
  <c r="AZ24" i="65"/>
  <c r="AR24" i="65"/>
  <c r="AJ24" i="65"/>
  <c r="AY24" i="65"/>
  <c r="AQ24" i="65"/>
  <c r="AI24" i="65"/>
  <c r="AG24" i="65"/>
  <c r="AX24" i="65"/>
  <c r="D24" i="65"/>
  <c r="P13" i="23" s="1"/>
  <c r="T13" i="24" s="1"/>
  <c r="AW24" i="65"/>
  <c r="AS24" i="65"/>
  <c r="AP24" i="65"/>
  <c r="AO24" i="65"/>
  <c r="AK24" i="65"/>
  <c r="AH24" i="65"/>
  <c r="A26" i="65"/>
  <c r="M15" i="23" s="1"/>
  <c r="P15" i="24" s="1"/>
  <c r="B25" i="65"/>
  <c r="BB23" i="65"/>
  <c r="BA23" i="65"/>
  <c r="N23" i="65" s="1"/>
  <c r="A26" i="64"/>
  <c r="I15" i="23" s="1"/>
  <c r="K15" i="24" s="1"/>
  <c r="B25" i="64"/>
  <c r="AU24" i="64"/>
  <c r="AM24" i="64"/>
  <c r="AT24" i="64"/>
  <c r="AL24" i="64"/>
  <c r="AS24" i="64"/>
  <c r="AK24" i="64"/>
  <c r="D24" i="64"/>
  <c r="L13" i="23" s="1"/>
  <c r="O13" i="24" s="1"/>
  <c r="AZ24" i="64"/>
  <c r="AR24" i="64"/>
  <c r="AJ24" i="64"/>
  <c r="AY24" i="64"/>
  <c r="AQ24" i="64"/>
  <c r="AI24" i="64"/>
  <c r="AX24" i="64"/>
  <c r="AP24" i="64"/>
  <c r="AH24" i="64"/>
  <c r="AW24" i="64"/>
  <c r="AO24" i="64"/>
  <c r="AG24" i="64"/>
  <c r="AV24" i="64"/>
  <c r="AN24" i="64"/>
  <c r="BB23" i="64"/>
  <c r="BA23" i="64"/>
  <c r="N23" i="64" s="1"/>
  <c r="Y22" i="64" s="1"/>
  <c r="AW24" i="63"/>
  <c r="AO24" i="63"/>
  <c r="AG24" i="63"/>
  <c r="AV24" i="63"/>
  <c r="AN24" i="63"/>
  <c r="AQ24" i="63"/>
  <c r="AZ24" i="63"/>
  <c r="AP24" i="63"/>
  <c r="AY24" i="63"/>
  <c r="AM24" i="63"/>
  <c r="D24" i="63"/>
  <c r="H13" i="23" s="1"/>
  <c r="J13" i="24" s="1"/>
  <c r="AX24" i="63"/>
  <c r="AL24" i="63"/>
  <c r="AU24" i="63"/>
  <c r="AK24" i="63"/>
  <c r="AT24" i="63"/>
  <c r="AJ24" i="63"/>
  <c r="AS24" i="63"/>
  <c r="AI24" i="63"/>
  <c r="AR24" i="63"/>
  <c r="AH24" i="63"/>
  <c r="BB23" i="63"/>
  <c r="BA23" i="63"/>
  <c r="N23" i="63" s="1"/>
  <c r="Y23" i="63" s="1"/>
  <c r="CA23" i="63"/>
  <c r="O23" i="63" s="1"/>
  <c r="B25" i="63"/>
  <c r="A26" i="63"/>
  <c r="E15" i="23" s="1"/>
  <c r="F15" i="24" s="1"/>
  <c r="Q23" i="73" l="1"/>
  <c r="FL22" i="71"/>
  <c r="FN22" i="71"/>
  <c r="FN22" i="64"/>
  <c r="FL22" i="64"/>
  <c r="FN22" i="73"/>
  <c r="FL22" i="73"/>
  <c r="FN23" i="63"/>
  <c r="FL23" i="63"/>
  <c r="CX24" i="65"/>
  <c r="AD14" i="23"/>
  <c r="G14" i="25" s="1"/>
  <c r="CL25" i="69"/>
  <c r="CM25" i="69"/>
  <c r="CV25" i="69"/>
  <c r="CN25" i="69"/>
  <c r="CW25" i="69"/>
  <c r="CD25" i="69"/>
  <c r="CO25" i="69"/>
  <c r="CI25" i="69"/>
  <c r="CJ25" i="69"/>
  <c r="CQ25" i="69"/>
  <c r="CR25" i="69"/>
  <c r="CS25" i="69"/>
  <c r="CE25" i="69"/>
  <c r="CT25" i="69"/>
  <c r="CG25" i="69"/>
  <c r="CH25" i="69"/>
  <c r="CU25" i="69"/>
  <c r="BJ25" i="69"/>
  <c r="BT25" i="69"/>
  <c r="BK25" i="69"/>
  <c r="BU25" i="69"/>
  <c r="BM25" i="69"/>
  <c r="BW25" i="69"/>
  <c r="BO25" i="69"/>
  <c r="BX25" i="69"/>
  <c r="BP25" i="69"/>
  <c r="BY25" i="69"/>
  <c r="BG25" i="69"/>
  <c r="BQ25" i="69"/>
  <c r="BZ25" i="69"/>
  <c r="BH25" i="69"/>
  <c r="BR25" i="69"/>
  <c r="BL25" i="69"/>
  <c r="BV25" i="69"/>
  <c r="BI25" i="69"/>
  <c r="CK25" i="69"/>
  <c r="BS25" i="69"/>
  <c r="CF25" i="69"/>
  <c r="BN25" i="69"/>
  <c r="CP25" i="69"/>
  <c r="AT14" i="23"/>
  <c r="AA14" i="25" s="1"/>
  <c r="CL25" i="73"/>
  <c r="CK25" i="73"/>
  <c r="CT25" i="73"/>
  <c r="CD25" i="73"/>
  <c r="CM25" i="73"/>
  <c r="CU25" i="73"/>
  <c r="CE25" i="73"/>
  <c r="CN25" i="73"/>
  <c r="CV25" i="73"/>
  <c r="CF25" i="73"/>
  <c r="CO25" i="73"/>
  <c r="CW25" i="73"/>
  <c r="CG25" i="73"/>
  <c r="CP25" i="73"/>
  <c r="CH25" i="73"/>
  <c r="CQ25" i="73"/>
  <c r="CI25" i="73"/>
  <c r="CR25" i="73"/>
  <c r="CJ25" i="73"/>
  <c r="CS25" i="73"/>
  <c r="BH25" i="73"/>
  <c r="BP25" i="73"/>
  <c r="BX25" i="73"/>
  <c r="BI25" i="73"/>
  <c r="BQ25" i="73"/>
  <c r="BY25" i="73"/>
  <c r="BJ25" i="73"/>
  <c r="BR25" i="73"/>
  <c r="BZ25" i="73"/>
  <c r="BK25" i="73"/>
  <c r="BS25" i="73"/>
  <c r="BL25" i="73"/>
  <c r="BT25" i="73"/>
  <c r="BM25" i="73"/>
  <c r="BN25" i="73"/>
  <c r="BO25" i="73"/>
  <c r="BU25" i="73"/>
  <c r="BV25" i="73"/>
  <c r="BW25" i="73"/>
  <c r="BG25" i="73"/>
  <c r="CX24" i="69"/>
  <c r="CX23" i="70"/>
  <c r="CL24" i="67"/>
  <c r="CH24" i="67"/>
  <c r="CQ24" i="67"/>
  <c r="CI24" i="67"/>
  <c r="CR24" i="67"/>
  <c r="CJ24" i="67"/>
  <c r="CS24" i="67"/>
  <c r="CK24" i="67"/>
  <c r="CT24" i="67"/>
  <c r="CD24" i="67"/>
  <c r="CM24" i="67"/>
  <c r="CU24" i="67"/>
  <c r="CE24" i="67"/>
  <c r="CN24" i="67"/>
  <c r="CV24" i="67"/>
  <c r="CG24" i="67"/>
  <c r="CO24" i="67"/>
  <c r="CP24" i="67"/>
  <c r="CW24" i="67"/>
  <c r="CF24" i="67"/>
  <c r="BI24" i="67"/>
  <c r="BQ24" i="67"/>
  <c r="BY24" i="67"/>
  <c r="BJ24" i="67"/>
  <c r="BR24" i="67"/>
  <c r="BZ24" i="67"/>
  <c r="BL24" i="67"/>
  <c r="BT24" i="67"/>
  <c r="BM24" i="67"/>
  <c r="BU24" i="67"/>
  <c r="BN24" i="67"/>
  <c r="BV24" i="67"/>
  <c r="BG24" i="67"/>
  <c r="BO24" i="67"/>
  <c r="BW24" i="67"/>
  <c r="BH24" i="67"/>
  <c r="BP24" i="67"/>
  <c r="BX24" i="67"/>
  <c r="BS24" i="67"/>
  <c r="BK24" i="67"/>
  <c r="AP13" i="23"/>
  <c r="V13" i="25" s="1"/>
  <c r="CL24" i="72"/>
  <c r="CG24" i="72"/>
  <c r="CQ24" i="72"/>
  <c r="CH24" i="72"/>
  <c r="CR24" i="72"/>
  <c r="CI24" i="72"/>
  <c r="CS24" i="72"/>
  <c r="CN24" i="72"/>
  <c r="CO24" i="72"/>
  <c r="CP24" i="72"/>
  <c r="CT24" i="72"/>
  <c r="CD24" i="72"/>
  <c r="CU24" i="72"/>
  <c r="CM24" i="72"/>
  <c r="CV24" i="72"/>
  <c r="CW24" i="72"/>
  <c r="CE24" i="72"/>
  <c r="CJ24" i="72"/>
  <c r="BP24" i="72"/>
  <c r="BX24" i="72"/>
  <c r="BK24" i="72"/>
  <c r="BT24" i="72"/>
  <c r="BL24" i="72"/>
  <c r="BU24" i="72"/>
  <c r="BM24" i="72"/>
  <c r="BV24" i="72"/>
  <c r="BO24" i="72"/>
  <c r="BW24" i="72"/>
  <c r="BZ24" i="72"/>
  <c r="BG24" i="72"/>
  <c r="BH24" i="72"/>
  <c r="BJ24" i="72"/>
  <c r="BQ24" i="72"/>
  <c r="BR24" i="72"/>
  <c r="BS24" i="72"/>
  <c r="BY24" i="72"/>
  <c r="CF24" i="72"/>
  <c r="BI24" i="72"/>
  <c r="CK24" i="72"/>
  <c r="BN24" i="72"/>
  <c r="CX23" i="72"/>
  <c r="AL14" i="23"/>
  <c r="Q14" i="25" s="1"/>
  <c r="CL25" i="71"/>
  <c r="CH25" i="71"/>
  <c r="CQ25" i="71"/>
  <c r="CF25" i="71"/>
  <c r="CP25" i="71"/>
  <c r="CG25" i="71"/>
  <c r="CR25" i="71"/>
  <c r="CI25" i="71"/>
  <c r="CS25" i="71"/>
  <c r="CJ25" i="71"/>
  <c r="CT25" i="71"/>
  <c r="CK25" i="71"/>
  <c r="CU25" i="71"/>
  <c r="CM25" i="71"/>
  <c r="CV25" i="71"/>
  <c r="CN25" i="71"/>
  <c r="CW25" i="71"/>
  <c r="CE25" i="71"/>
  <c r="CO25" i="71"/>
  <c r="BJ25" i="71"/>
  <c r="BS25" i="71"/>
  <c r="BK25" i="71"/>
  <c r="BT25" i="71"/>
  <c r="BM25" i="71"/>
  <c r="BU25" i="71"/>
  <c r="BN25" i="71"/>
  <c r="BV25" i="71"/>
  <c r="BO25" i="71"/>
  <c r="BW25" i="71"/>
  <c r="BP25" i="71"/>
  <c r="BX25" i="71"/>
  <c r="BH25" i="71"/>
  <c r="BQ25" i="71"/>
  <c r="BY25" i="71"/>
  <c r="BI25" i="71"/>
  <c r="BR25" i="71"/>
  <c r="BZ25" i="71"/>
  <c r="BL25" i="71"/>
  <c r="CD25" i="71"/>
  <c r="BG25" i="71"/>
  <c r="CL24" i="70"/>
  <c r="CJ24" i="70"/>
  <c r="CT24" i="70"/>
  <c r="CK24" i="70"/>
  <c r="CU24" i="70"/>
  <c r="CN24" i="70"/>
  <c r="CO24" i="70"/>
  <c r="CP24" i="70"/>
  <c r="CD24" i="70"/>
  <c r="CQ24" i="70"/>
  <c r="CE24" i="70"/>
  <c r="CR24" i="70"/>
  <c r="CF24" i="70"/>
  <c r="CS24" i="70"/>
  <c r="CG24" i="70"/>
  <c r="CV24" i="70"/>
  <c r="CI24" i="70"/>
  <c r="CW24" i="70"/>
  <c r="BI24" i="70"/>
  <c r="BS24" i="70"/>
  <c r="BJ24" i="70"/>
  <c r="BT24" i="70"/>
  <c r="BM24" i="70"/>
  <c r="BV24" i="70"/>
  <c r="BN24" i="70"/>
  <c r="BW24" i="70"/>
  <c r="BH24" i="70"/>
  <c r="BR24" i="70"/>
  <c r="BO24" i="70"/>
  <c r="BQ24" i="70"/>
  <c r="BX24" i="70"/>
  <c r="BY24" i="70"/>
  <c r="BZ24" i="70"/>
  <c r="BG24" i="70"/>
  <c r="BL24" i="70"/>
  <c r="BU24" i="70"/>
  <c r="CH24" i="70"/>
  <c r="BK24" i="70"/>
  <c r="CM24" i="70"/>
  <c r="BP24" i="70"/>
  <c r="CX23" i="67"/>
  <c r="CX24" i="73"/>
  <c r="P24" i="73" s="1"/>
  <c r="CX24" i="71"/>
  <c r="J14" i="23"/>
  <c r="L14" i="24" s="1"/>
  <c r="CL25" i="64"/>
  <c r="CI25" i="64"/>
  <c r="CR25" i="64"/>
  <c r="CJ25" i="64"/>
  <c r="CS25" i="64"/>
  <c r="CK25" i="64"/>
  <c r="CT25" i="64"/>
  <c r="CD25" i="64"/>
  <c r="CM25" i="64"/>
  <c r="CU25" i="64"/>
  <c r="CE25" i="64"/>
  <c r="CN25" i="64"/>
  <c r="CV25" i="64"/>
  <c r="CF25" i="64"/>
  <c r="CO25" i="64"/>
  <c r="CW25" i="64"/>
  <c r="CG25" i="64"/>
  <c r="CP25" i="64"/>
  <c r="CH25" i="64"/>
  <c r="CQ25" i="64"/>
  <c r="BK25" i="64"/>
  <c r="BS25" i="64"/>
  <c r="BL25" i="64"/>
  <c r="BT25" i="64"/>
  <c r="BM25" i="64"/>
  <c r="BU25" i="64"/>
  <c r="BN25" i="64"/>
  <c r="BV25" i="64"/>
  <c r="BG25" i="64"/>
  <c r="BO25" i="64"/>
  <c r="BW25" i="64"/>
  <c r="BH25" i="64"/>
  <c r="BP25" i="64"/>
  <c r="BX25" i="64"/>
  <c r="BQ25" i="64"/>
  <c r="BR25" i="64"/>
  <c r="BY25" i="64"/>
  <c r="BZ25" i="64"/>
  <c r="BI25" i="64"/>
  <c r="BJ25" i="64"/>
  <c r="CX23" i="66"/>
  <c r="CX24" i="64"/>
  <c r="F14" i="23"/>
  <c r="G14" i="24" s="1"/>
  <c r="CL25" i="63"/>
  <c r="CD25" i="63"/>
  <c r="CN25" i="63"/>
  <c r="CV25" i="63"/>
  <c r="CE25" i="63"/>
  <c r="CO25" i="63"/>
  <c r="CW25" i="63"/>
  <c r="CF25" i="63"/>
  <c r="CP25" i="63"/>
  <c r="CH25" i="63"/>
  <c r="CQ25" i="63"/>
  <c r="CI25" i="63"/>
  <c r="CR25" i="63"/>
  <c r="CK25" i="63"/>
  <c r="CM25" i="63"/>
  <c r="CS25" i="63"/>
  <c r="CT25" i="63"/>
  <c r="CU25" i="63"/>
  <c r="CJ25" i="63"/>
  <c r="BI25" i="63"/>
  <c r="BR25" i="63"/>
  <c r="BZ25" i="63"/>
  <c r="BK25" i="63"/>
  <c r="BS25" i="63"/>
  <c r="BL25" i="63"/>
  <c r="BT25" i="63"/>
  <c r="BM25" i="63"/>
  <c r="BU25" i="63"/>
  <c r="BN25" i="63"/>
  <c r="BV25" i="63"/>
  <c r="BO25" i="63"/>
  <c r="BW25" i="63"/>
  <c r="BX25" i="63"/>
  <c r="BY25" i="63"/>
  <c r="BG25" i="63"/>
  <c r="BH25" i="63"/>
  <c r="BP25" i="63"/>
  <c r="BQ25" i="63"/>
  <c r="BJ25" i="63"/>
  <c r="CG25" i="63"/>
  <c r="N14" i="23"/>
  <c r="Q14" i="24" s="1"/>
  <c r="CL25" i="65"/>
  <c r="CI25" i="65"/>
  <c r="CR25" i="65"/>
  <c r="CJ25" i="65"/>
  <c r="CS25" i="65"/>
  <c r="CK25" i="65"/>
  <c r="CT25" i="65"/>
  <c r="CM25" i="65"/>
  <c r="CU25" i="65"/>
  <c r="CD25" i="65"/>
  <c r="CN25" i="65"/>
  <c r="CV25" i="65"/>
  <c r="CF25" i="65"/>
  <c r="CO25" i="65"/>
  <c r="CW25" i="65"/>
  <c r="CG25" i="65"/>
  <c r="CH25" i="65"/>
  <c r="CP25" i="65"/>
  <c r="CQ25" i="65"/>
  <c r="BJ25" i="65"/>
  <c r="BR25" i="65"/>
  <c r="BZ25" i="65"/>
  <c r="BK25" i="65"/>
  <c r="BS25" i="65"/>
  <c r="BL25" i="65"/>
  <c r="BT25" i="65"/>
  <c r="BM25" i="65"/>
  <c r="BU25" i="65"/>
  <c r="BN25" i="65"/>
  <c r="BV25" i="65"/>
  <c r="BO25" i="65"/>
  <c r="BW25" i="65"/>
  <c r="BG25" i="65"/>
  <c r="BP25" i="65"/>
  <c r="BX25" i="65"/>
  <c r="BI25" i="65"/>
  <c r="BQ25" i="65"/>
  <c r="BY25" i="65"/>
  <c r="CE25" i="65"/>
  <c r="BH25" i="65"/>
  <c r="CL24" i="66"/>
  <c r="CN24" i="66"/>
  <c r="CV24" i="66"/>
  <c r="CD24" i="66"/>
  <c r="CO24" i="66"/>
  <c r="CW24" i="66"/>
  <c r="CE24" i="66"/>
  <c r="CP24" i="66"/>
  <c r="CG24" i="66"/>
  <c r="CQ24" i="66"/>
  <c r="CH24" i="66"/>
  <c r="CR24" i="66"/>
  <c r="CI24" i="66"/>
  <c r="CS24" i="66"/>
  <c r="CJ24" i="66"/>
  <c r="CT24" i="66"/>
  <c r="CM24" i="66"/>
  <c r="CU24" i="66"/>
  <c r="BH24" i="66"/>
  <c r="BR24" i="66"/>
  <c r="BZ24" i="66"/>
  <c r="BJ24" i="66"/>
  <c r="BS24" i="66"/>
  <c r="BK24" i="66"/>
  <c r="BT24" i="66"/>
  <c r="BL24" i="66"/>
  <c r="BU24" i="66"/>
  <c r="BM24" i="66"/>
  <c r="BV24" i="66"/>
  <c r="BO24" i="66"/>
  <c r="BW24" i="66"/>
  <c r="BP24" i="66"/>
  <c r="BX24" i="66"/>
  <c r="BG24" i="66"/>
  <c r="BQ24" i="66"/>
  <c r="BY24" i="66"/>
  <c r="BI24" i="66"/>
  <c r="CF24" i="66"/>
  <c r="BN24" i="66"/>
  <c r="CK24" i="66"/>
  <c r="CX24" i="63"/>
  <c r="AB13" i="23"/>
  <c r="E13" i="25" s="1"/>
  <c r="Z14" i="23"/>
  <c r="B14" i="25" s="1"/>
  <c r="CL25" i="68"/>
  <c r="CJ25" i="68"/>
  <c r="CS25" i="68"/>
  <c r="CK25" i="68"/>
  <c r="CT25" i="68"/>
  <c r="CD25" i="68"/>
  <c r="CM25" i="68"/>
  <c r="CU25" i="68"/>
  <c r="CE25" i="68"/>
  <c r="CN25" i="68"/>
  <c r="CV25" i="68"/>
  <c r="CF25" i="68"/>
  <c r="CO25" i="68"/>
  <c r="CW25" i="68"/>
  <c r="CG25" i="68"/>
  <c r="CP25" i="68"/>
  <c r="CH25" i="68"/>
  <c r="CQ25" i="68"/>
  <c r="CI25" i="68"/>
  <c r="CR25" i="68"/>
  <c r="BL25" i="68"/>
  <c r="BT25" i="68"/>
  <c r="BM25" i="68"/>
  <c r="BU25" i="68"/>
  <c r="BN25" i="68"/>
  <c r="BV25" i="68"/>
  <c r="BG25" i="68"/>
  <c r="BO25" i="68"/>
  <c r="BW25" i="68"/>
  <c r="BH25" i="68"/>
  <c r="BP25" i="68"/>
  <c r="BX25" i="68"/>
  <c r="BI25" i="68"/>
  <c r="BQ25" i="68"/>
  <c r="BY25" i="68"/>
  <c r="BJ25" i="68"/>
  <c r="BR25" i="68"/>
  <c r="BZ25" i="68"/>
  <c r="BK25" i="68"/>
  <c r="BS25" i="68"/>
  <c r="CX24" i="68"/>
  <c r="P24" i="68" s="1"/>
  <c r="AH13" i="23"/>
  <c r="L13" i="25" s="1"/>
  <c r="AV24" i="70"/>
  <c r="AS24" i="70"/>
  <c r="AZ24" i="70"/>
  <c r="AI24" i="70"/>
  <c r="AN24" i="70"/>
  <c r="AK24" i="70"/>
  <c r="AR24" i="70"/>
  <c r="AW24" i="70"/>
  <c r="AT24" i="70"/>
  <c r="D24" i="70"/>
  <c r="AJ24" i="70"/>
  <c r="AO24" i="70"/>
  <c r="AL24" i="70"/>
  <c r="AX24" i="70"/>
  <c r="AG24" i="70"/>
  <c r="AU24" i="70"/>
  <c r="AP24" i="70"/>
  <c r="AM24" i="70"/>
  <c r="AH24" i="70"/>
  <c r="AY24" i="70"/>
  <c r="AQ24" i="70"/>
  <c r="BB23" i="70"/>
  <c r="BA23" i="70"/>
  <c r="N23" i="70" s="1"/>
  <c r="AG14" i="23"/>
  <c r="K14" i="25" s="1"/>
  <c r="B25" i="70"/>
  <c r="A26" i="70"/>
  <c r="CA23" i="70"/>
  <c r="O23" i="70" s="1"/>
  <c r="O12" i="25"/>
  <c r="AJ12" i="23"/>
  <c r="J13" i="25"/>
  <c r="AF13" i="23"/>
  <c r="T13" i="25"/>
  <c r="AN13" i="23"/>
  <c r="AV13" i="23"/>
  <c r="AD13" i="25"/>
  <c r="V13" i="23"/>
  <c r="AA13" i="24" s="1"/>
  <c r="AP24" i="67"/>
  <c r="AQ24" i="67"/>
  <c r="AH24" i="67"/>
  <c r="AS24" i="67"/>
  <c r="AZ24" i="67"/>
  <c r="AY24" i="67"/>
  <c r="AK24" i="67"/>
  <c r="AX24" i="67"/>
  <c r="AR24" i="67"/>
  <c r="AV24" i="67"/>
  <c r="D24" i="67"/>
  <c r="X13" i="23" s="1"/>
  <c r="AD13" i="24" s="1"/>
  <c r="AJ24" i="67"/>
  <c r="AI24" i="67"/>
  <c r="AN24" i="67"/>
  <c r="AT24" i="67"/>
  <c r="AO24" i="67"/>
  <c r="AW24" i="67"/>
  <c r="AL24" i="67"/>
  <c r="AU24" i="67"/>
  <c r="AM24" i="67"/>
  <c r="AG24" i="67"/>
  <c r="BA23" i="67"/>
  <c r="N23" i="67" s="1"/>
  <c r="BB23" i="67"/>
  <c r="U14" i="23"/>
  <c r="Z14" i="24" s="1"/>
  <c r="A26" i="67"/>
  <c r="B25" i="67"/>
  <c r="AR12" i="23"/>
  <c r="Y12" i="25"/>
  <c r="CA23" i="66"/>
  <c r="O23" i="66" s="1"/>
  <c r="BB23" i="66"/>
  <c r="BA23" i="66"/>
  <c r="N23" i="66" s="1"/>
  <c r="Q14" i="23"/>
  <c r="U14" i="24" s="1"/>
  <c r="A26" i="66"/>
  <c r="B25" i="66"/>
  <c r="R13" i="23"/>
  <c r="V13" i="24" s="1"/>
  <c r="AK24" i="66"/>
  <c r="AZ24" i="66"/>
  <c r="AY24" i="66"/>
  <c r="AH24" i="66"/>
  <c r="AN24" i="66"/>
  <c r="D24" i="66"/>
  <c r="T13" i="23" s="1"/>
  <c r="Y13" i="24" s="1"/>
  <c r="AR24" i="66"/>
  <c r="AQ24" i="66"/>
  <c r="AJ24" i="66"/>
  <c r="AI24" i="66"/>
  <c r="AV24" i="66"/>
  <c r="AW24" i="66"/>
  <c r="AO24" i="66"/>
  <c r="AT24" i="66"/>
  <c r="AL24" i="66"/>
  <c r="AM24" i="66"/>
  <c r="AX24" i="66"/>
  <c r="AG24" i="66"/>
  <c r="AU24" i="66"/>
  <c r="AS24" i="66"/>
  <c r="AP24" i="66"/>
  <c r="G47" i="50"/>
  <c r="B26" i="73"/>
  <c r="A27" i="73"/>
  <c r="AS16" i="23" s="1"/>
  <c r="Z16" i="25" s="1"/>
  <c r="CA24" i="73"/>
  <c r="O24" i="73" s="1"/>
  <c r="AT25" i="73"/>
  <c r="AL25" i="73"/>
  <c r="AS25" i="73"/>
  <c r="AK25" i="73"/>
  <c r="D25" i="73"/>
  <c r="AZ25" i="73"/>
  <c r="AR25" i="73"/>
  <c r="AJ25" i="73"/>
  <c r="AY25" i="73"/>
  <c r="AQ25" i="73"/>
  <c r="AI25" i="73"/>
  <c r="AX25" i="73"/>
  <c r="AP25" i="73"/>
  <c r="AH25" i="73"/>
  <c r="AW25" i="73"/>
  <c r="AO25" i="73"/>
  <c r="AG25" i="73"/>
  <c r="AV25" i="73"/>
  <c r="AN25" i="73"/>
  <c r="AU25" i="73"/>
  <c r="AM25" i="73"/>
  <c r="BB24" i="73"/>
  <c r="BA24" i="73"/>
  <c r="N24" i="73" s="1"/>
  <c r="A26" i="72"/>
  <c r="AO15" i="23" s="1"/>
  <c r="U15" i="25" s="1"/>
  <c r="B25" i="72"/>
  <c r="AT24" i="72"/>
  <c r="AL24" i="72"/>
  <c r="AZ24" i="72"/>
  <c r="AR24" i="72"/>
  <c r="AJ24" i="72"/>
  <c r="AY24" i="72"/>
  <c r="AQ24" i="72"/>
  <c r="AI24" i="72"/>
  <c r="AX24" i="72"/>
  <c r="AP24" i="72"/>
  <c r="AH24" i="72"/>
  <c r="AW24" i="72"/>
  <c r="AO24" i="72"/>
  <c r="AG24" i="72"/>
  <c r="AV24" i="72"/>
  <c r="AN24" i="72"/>
  <c r="AU24" i="72"/>
  <c r="AM24" i="72"/>
  <c r="AS24" i="72"/>
  <c r="AK24" i="72"/>
  <c r="D24" i="72"/>
  <c r="BB23" i="72"/>
  <c r="BA23" i="72"/>
  <c r="N23" i="72" s="1"/>
  <c r="CA23" i="72"/>
  <c r="O23" i="72" s="1"/>
  <c r="BB24" i="71"/>
  <c r="BA24" i="71"/>
  <c r="N24" i="71" s="1"/>
  <c r="Y23" i="71" s="1"/>
  <c r="B26" i="71"/>
  <c r="A27" i="71"/>
  <c r="AK16" i="23" s="1"/>
  <c r="P16" i="25" s="1"/>
  <c r="AX25" i="71"/>
  <c r="AP25" i="71"/>
  <c r="AH25" i="71"/>
  <c r="AW25" i="71"/>
  <c r="AO25" i="71"/>
  <c r="AG25" i="71"/>
  <c r="AV25" i="71"/>
  <c r="AL25" i="71"/>
  <c r="AU25" i="71"/>
  <c r="AK25" i="71"/>
  <c r="AT25" i="71"/>
  <c r="AJ25" i="71"/>
  <c r="AS25" i="71"/>
  <c r="AI25" i="71"/>
  <c r="AY25" i="71"/>
  <c r="D25" i="71"/>
  <c r="AR25" i="71"/>
  <c r="AQ25" i="71"/>
  <c r="AN25" i="71"/>
  <c r="AM25" i="71"/>
  <c r="AZ25" i="71"/>
  <c r="BB24" i="69"/>
  <c r="BA24" i="69"/>
  <c r="N24" i="69" s="1"/>
  <c r="AW25" i="69"/>
  <c r="AO25" i="69"/>
  <c r="AG25" i="69"/>
  <c r="AV25" i="69"/>
  <c r="AN25" i="69"/>
  <c r="AU25" i="69"/>
  <c r="AM25" i="69"/>
  <c r="AT25" i="69"/>
  <c r="AL25" i="69"/>
  <c r="AS25" i="69"/>
  <c r="AK25" i="69"/>
  <c r="D25" i="69"/>
  <c r="AZ25" i="69"/>
  <c r="AR25" i="69"/>
  <c r="AJ25" i="69"/>
  <c r="AY25" i="69"/>
  <c r="AQ25" i="69"/>
  <c r="AI25" i="69"/>
  <c r="AX25" i="69"/>
  <c r="AP25" i="69"/>
  <c r="AH25" i="69"/>
  <c r="B26" i="69"/>
  <c r="A27" i="69"/>
  <c r="AC16" i="23" s="1"/>
  <c r="F16" i="25" s="1"/>
  <c r="CA24" i="69"/>
  <c r="O24" i="69" s="1"/>
  <c r="BB24" i="68"/>
  <c r="BA24" i="68"/>
  <c r="N24" i="68" s="1"/>
  <c r="AW25" i="68"/>
  <c r="AO25" i="68"/>
  <c r="AG25" i="68"/>
  <c r="AV25" i="68"/>
  <c r="AN25" i="68"/>
  <c r="AU25" i="68"/>
  <c r="AM25" i="68"/>
  <c r="AT25" i="68"/>
  <c r="AL25" i="68"/>
  <c r="AK25" i="68"/>
  <c r="AZ25" i="68"/>
  <c r="AJ25" i="68"/>
  <c r="AX25" i="68"/>
  <c r="AH25" i="68"/>
  <c r="AR25" i="68"/>
  <c r="AP25" i="68"/>
  <c r="AY25" i="68"/>
  <c r="AS25" i="68"/>
  <c r="AQ25" i="68"/>
  <c r="AI25" i="68"/>
  <c r="D25" i="68"/>
  <c r="B26" i="68"/>
  <c r="A27" i="68"/>
  <c r="Y16" i="23" s="1"/>
  <c r="A16" i="25" s="1"/>
  <c r="CA24" i="68"/>
  <c r="O24" i="68" s="1"/>
  <c r="BB24" i="65"/>
  <c r="BA24" i="65"/>
  <c r="N24" i="65" s="1"/>
  <c r="AY25" i="65"/>
  <c r="AQ25" i="65"/>
  <c r="AI25" i="65"/>
  <c r="AX25" i="65"/>
  <c r="AP25" i="65"/>
  <c r="AH25" i="65"/>
  <c r="AW25" i="65"/>
  <c r="AO25" i="65"/>
  <c r="AG25" i="65"/>
  <c r="AV25" i="65"/>
  <c r="AN25" i="65"/>
  <c r="AU25" i="65"/>
  <c r="AM25" i="65"/>
  <c r="AT25" i="65"/>
  <c r="AL25" i="65"/>
  <c r="AS25" i="65"/>
  <c r="AK25" i="65"/>
  <c r="D25" i="65"/>
  <c r="P14" i="23" s="1"/>
  <c r="T14" i="24" s="1"/>
  <c r="AZ25" i="65"/>
  <c r="AR25" i="65"/>
  <c r="AJ25" i="65"/>
  <c r="B26" i="65"/>
  <c r="A27" i="65"/>
  <c r="M16" i="23" s="1"/>
  <c r="P16" i="24" s="1"/>
  <c r="AX25" i="64"/>
  <c r="AP25" i="64"/>
  <c r="AH25" i="64"/>
  <c r="AW25" i="64"/>
  <c r="AO25" i="64"/>
  <c r="AG25" i="64"/>
  <c r="AV25" i="64"/>
  <c r="AN25" i="64"/>
  <c r="AU25" i="64"/>
  <c r="AM25" i="64"/>
  <c r="AT25" i="64"/>
  <c r="AL25" i="64"/>
  <c r="AS25" i="64"/>
  <c r="AK25" i="64"/>
  <c r="D25" i="64"/>
  <c r="L14" i="23" s="1"/>
  <c r="O14" i="24" s="1"/>
  <c r="AZ25" i="64"/>
  <c r="AR25" i="64"/>
  <c r="AJ25" i="64"/>
  <c r="AY25" i="64"/>
  <c r="AQ25" i="64"/>
  <c r="AI25" i="64"/>
  <c r="B26" i="64"/>
  <c r="A27" i="64"/>
  <c r="I16" i="23" s="1"/>
  <c r="K16" i="24" s="1"/>
  <c r="BB24" i="64"/>
  <c r="BA24" i="64"/>
  <c r="N24" i="64" s="1"/>
  <c r="B26" i="63"/>
  <c r="A27" i="63"/>
  <c r="E16" i="23" s="1"/>
  <c r="F16" i="24" s="1"/>
  <c r="AZ25" i="63"/>
  <c r="AR25" i="63"/>
  <c r="AJ25" i="63"/>
  <c r="AY25" i="63"/>
  <c r="AQ25" i="63"/>
  <c r="AI25" i="63"/>
  <c r="AW25" i="63"/>
  <c r="AO25" i="63"/>
  <c r="AG25" i="63"/>
  <c r="AV25" i="63"/>
  <c r="AK25" i="63"/>
  <c r="AU25" i="63"/>
  <c r="AH25" i="63"/>
  <c r="AT25" i="63"/>
  <c r="AS25" i="63"/>
  <c r="AP25" i="63"/>
  <c r="AN25" i="63"/>
  <c r="D25" i="63"/>
  <c r="H14" i="23" s="1"/>
  <c r="J14" i="24" s="1"/>
  <c r="AM25" i="63"/>
  <c r="AX25" i="63"/>
  <c r="AL25" i="63"/>
  <c r="BB24" i="63"/>
  <c r="BA24" i="63"/>
  <c r="N24" i="63" s="1"/>
  <c r="Y24" i="63" s="1"/>
  <c r="CA24" i="63"/>
  <c r="O24" i="63" s="1"/>
  <c r="Q24" i="73" l="1"/>
  <c r="Q24" i="68"/>
  <c r="Y23" i="72"/>
  <c r="FN23" i="72" s="1"/>
  <c r="FN23" i="71"/>
  <c r="FL23" i="71"/>
  <c r="FN24" i="63"/>
  <c r="FL24" i="63"/>
  <c r="CX24" i="70"/>
  <c r="AD15" i="23"/>
  <c r="G15" i="25" s="1"/>
  <c r="CK26" i="69"/>
  <c r="CU26" i="69"/>
  <c r="CM26" i="69"/>
  <c r="CV26" i="69"/>
  <c r="CD26" i="69"/>
  <c r="CN26" i="69"/>
  <c r="CW26" i="69"/>
  <c r="CF26" i="69"/>
  <c r="CT26" i="69"/>
  <c r="CH26" i="69"/>
  <c r="CI26" i="69"/>
  <c r="CJ26" i="69"/>
  <c r="CO26" i="69"/>
  <c r="CP26" i="69"/>
  <c r="CE26" i="69"/>
  <c r="CR26" i="69"/>
  <c r="CS26" i="69"/>
  <c r="BH26" i="69"/>
  <c r="BR26" i="69"/>
  <c r="BI26" i="69"/>
  <c r="BS26" i="69"/>
  <c r="BL26" i="69"/>
  <c r="BV26" i="69"/>
  <c r="BM26" i="69"/>
  <c r="BW26" i="69"/>
  <c r="BN26" i="69"/>
  <c r="BX26" i="69"/>
  <c r="BP26" i="69"/>
  <c r="BY26" i="69"/>
  <c r="BG26" i="69"/>
  <c r="BQ26" i="69"/>
  <c r="BZ26" i="69"/>
  <c r="BK26" i="69"/>
  <c r="BU26" i="69"/>
  <c r="CG26" i="69"/>
  <c r="BT26" i="69"/>
  <c r="BJ26" i="69"/>
  <c r="BO26" i="69"/>
  <c r="CL26" i="69"/>
  <c r="CQ26" i="69"/>
  <c r="CX25" i="69"/>
  <c r="AP14" i="23"/>
  <c r="V14" i="25" s="1"/>
  <c r="CE25" i="72"/>
  <c r="CO25" i="72"/>
  <c r="CW25" i="72"/>
  <c r="CF25" i="72"/>
  <c r="CP25" i="72"/>
  <c r="CH25" i="72"/>
  <c r="CQ25" i="72"/>
  <c r="CI25" i="72"/>
  <c r="CU25" i="72"/>
  <c r="CJ25" i="72"/>
  <c r="CV25" i="72"/>
  <c r="CK25" i="72"/>
  <c r="CM25" i="72"/>
  <c r="CN25" i="72"/>
  <c r="CD25" i="72"/>
  <c r="CR25" i="72"/>
  <c r="CS25" i="72"/>
  <c r="CT25" i="72"/>
  <c r="BM25" i="72"/>
  <c r="BV25" i="72"/>
  <c r="BH25" i="72"/>
  <c r="BR25" i="72"/>
  <c r="BZ25" i="72"/>
  <c r="BI25" i="72"/>
  <c r="BS25" i="72"/>
  <c r="BL25" i="72"/>
  <c r="BU25" i="72"/>
  <c r="BX25" i="72"/>
  <c r="BG25" i="72"/>
  <c r="BY25" i="72"/>
  <c r="BK25" i="72"/>
  <c r="BN25" i="72"/>
  <c r="BP25" i="72"/>
  <c r="BQ25" i="72"/>
  <c r="BT25" i="72"/>
  <c r="BW25" i="72"/>
  <c r="CG25" i="72"/>
  <c r="BJ25" i="72"/>
  <c r="BO25" i="72"/>
  <c r="CL25" i="72"/>
  <c r="CX25" i="71"/>
  <c r="CX24" i="67"/>
  <c r="CX25" i="73"/>
  <c r="P25" i="73" s="1"/>
  <c r="CL25" i="70"/>
  <c r="CH25" i="70"/>
  <c r="CQ25" i="70"/>
  <c r="CI25" i="70"/>
  <c r="CR25" i="70"/>
  <c r="CD25" i="70"/>
  <c r="CO25" i="70"/>
  <c r="CE25" i="70"/>
  <c r="CP25" i="70"/>
  <c r="CF25" i="70"/>
  <c r="CS25" i="70"/>
  <c r="CG25" i="70"/>
  <c r="CT25" i="70"/>
  <c r="CJ25" i="70"/>
  <c r="CU25" i="70"/>
  <c r="CK25" i="70"/>
  <c r="CV25" i="70"/>
  <c r="CM25" i="70"/>
  <c r="CW25" i="70"/>
  <c r="CN25" i="70"/>
  <c r="BG25" i="70"/>
  <c r="BO25" i="70"/>
  <c r="BW25" i="70"/>
  <c r="BH25" i="70"/>
  <c r="BP25" i="70"/>
  <c r="BX25" i="70"/>
  <c r="BJ25" i="70"/>
  <c r="BR25" i="70"/>
  <c r="BZ25" i="70"/>
  <c r="BK25" i="70"/>
  <c r="BS25" i="70"/>
  <c r="BM25" i="70"/>
  <c r="BN25" i="70"/>
  <c r="BT25" i="70"/>
  <c r="BU25" i="70"/>
  <c r="BV25" i="70"/>
  <c r="BI25" i="70"/>
  <c r="BY25" i="70"/>
  <c r="BL25" i="70"/>
  <c r="BQ25" i="70"/>
  <c r="AT15" i="23"/>
  <c r="AA15" i="25" s="1"/>
  <c r="CL26" i="73"/>
  <c r="CH26" i="73"/>
  <c r="CQ26" i="73"/>
  <c r="CI26" i="73"/>
  <c r="CR26" i="73"/>
  <c r="CJ26" i="73"/>
  <c r="CS26" i="73"/>
  <c r="CK26" i="73"/>
  <c r="CT26" i="73"/>
  <c r="CD26" i="73"/>
  <c r="CM26" i="73"/>
  <c r="CU26" i="73"/>
  <c r="CE26" i="73"/>
  <c r="CN26" i="73"/>
  <c r="CV26" i="73"/>
  <c r="CF26" i="73"/>
  <c r="CO26" i="73"/>
  <c r="CW26" i="73"/>
  <c r="CG26" i="73"/>
  <c r="CP26" i="73"/>
  <c r="BL26" i="73"/>
  <c r="BT26" i="73"/>
  <c r="BM26" i="73"/>
  <c r="BU26" i="73"/>
  <c r="BN26" i="73"/>
  <c r="BV26" i="73"/>
  <c r="BG26" i="73"/>
  <c r="BO26" i="73"/>
  <c r="BW26" i="73"/>
  <c r="BH26" i="73"/>
  <c r="BP26" i="73"/>
  <c r="BX26" i="73"/>
  <c r="BI26" i="73"/>
  <c r="BK26" i="73"/>
  <c r="BQ26" i="73"/>
  <c r="BR26" i="73"/>
  <c r="BS26" i="73"/>
  <c r="BY26" i="73"/>
  <c r="BZ26" i="73"/>
  <c r="BJ26" i="73"/>
  <c r="AL15" i="23"/>
  <c r="Q15" i="25" s="1"/>
  <c r="CL26" i="71"/>
  <c r="CF26" i="71"/>
  <c r="CO26" i="71"/>
  <c r="CW26" i="71"/>
  <c r="CG26" i="71"/>
  <c r="CQ26" i="71"/>
  <c r="CH26" i="71"/>
  <c r="CR26" i="71"/>
  <c r="CI26" i="71"/>
  <c r="CS26" i="71"/>
  <c r="CJ26" i="71"/>
  <c r="CT26" i="71"/>
  <c r="CK26" i="71"/>
  <c r="CU26" i="71"/>
  <c r="CM26" i="71"/>
  <c r="CV26" i="71"/>
  <c r="CN26" i="71"/>
  <c r="CD26" i="71"/>
  <c r="CP26" i="71"/>
  <c r="BG26" i="71"/>
  <c r="BP26" i="71"/>
  <c r="BX26" i="71"/>
  <c r="BI26" i="71"/>
  <c r="BQ26" i="71"/>
  <c r="BY26" i="71"/>
  <c r="BJ26" i="71"/>
  <c r="BR26" i="71"/>
  <c r="BZ26" i="71"/>
  <c r="BK26" i="71"/>
  <c r="BS26" i="71"/>
  <c r="BL26" i="71"/>
  <c r="BT26" i="71"/>
  <c r="BM26" i="71"/>
  <c r="BU26" i="71"/>
  <c r="BN26" i="71"/>
  <c r="BV26" i="71"/>
  <c r="BO26" i="71"/>
  <c r="BW26" i="71"/>
  <c r="BH26" i="71"/>
  <c r="CE26" i="71"/>
  <c r="CL25" i="67"/>
  <c r="CE25" i="67"/>
  <c r="CN25" i="67"/>
  <c r="CV25" i="67"/>
  <c r="CF25" i="67"/>
  <c r="CO25" i="67"/>
  <c r="CW25" i="67"/>
  <c r="CG25" i="67"/>
  <c r="CP25" i="67"/>
  <c r="CH25" i="67"/>
  <c r="CQ25" i="67"/>
  <c r="CI25" i="67"/>
  <c r="CR25" i="67"/>
  <c r="CJ25" i="67"/>
  <c r="CS25" i="67"/>
  <c r="CU25" i="67"/>
  <c r="CD25" i="67"/>
  <c r="CM25" i="67"/>
  <c r="CT25" i="67"/>
  <c r="CK25" i="67"/>
  <c r="BM25" i="67"/>
  <c r="BU25" i="67"/>
  <c r="BN25" i="67"/>
  <c r="BV25" i="67"/>
  <c r="BH25" i="67"/>
  <c r="BP25" i="67"/>
  <c r="BX25" i="67"/>
  <c r="BI25" i="67"/>
  <c r="BQ25" i="67"/>
  <c r="BY25" i="67"/>
  <c r="BJ25" i="67"/>
  <c r="BR25" i="67"/>
  <c r="BZ25" i="67"/>
  <c r="BK25" i="67"/>
  <c r="BS25" i="67"/>
  <c r="BL25" i="67"/>
  <c r="BT25" i="67"/>
  <c r="BG25" i="67"/>
  <c r="BO25" i="67"/>
  <c r="BW25" i="67"/>
  <c r="CX24" i="72"/>
  <c r="CL25" i="66"/>
  <c r="CK25" i="66"/>
  <c r="CT25" i="66"/>
  <c r="CM25" i="66"/>
  <c r="CU25" i="66"/>
  <c r="CD25" i="66"/>
  <c r="CN25" i="66"/>
  <c r="CV25" i="66"/>
  <c r="CE25" i="66"/>
  <c r="CO25" i="66"/>
  <c r="CW25" i="66"/>
  <c r="CF25" i="66"/>
  <c r="CP25" i="66"/>
  <c r="CH25" i="66"/>
  <c r="CQ25" i="66"/>
  <c r="CI25" i="66"/>
  <c r="CR25" i="66"/>
  <c r="CJ25" i="66"/>
  <c r="CS25" i="66"/>
  <c r="BO25" i="66"/>
  <c r="BW25" i="66"/>
  <c r="BG25" i="66"/>
  <c r="BP25" i="66"/>
  <c r="BX25" i="66"/>
  <c r="BH25" i="66"/>
  <c r="BQ25" i="66"/>
  <c r="BY25" i="66"/>
  <c r="BI25" i="66"/>
  <c r="BR25" i="66"/>
  <c r="BZ25" i="66"/>
  <c r="BK25" i="66"/>
  <c r="BS25" i="66"/>
  <c r="BL25" i="66"/>
  <c r="BT25" i="66"/>
  <c r="BM25" i="66"/>
  <c r="BU25" i="66"/>
  <c r="BN25" i="66"/>
  <c r="BV25" i="66"/>
  <c r="BJ25" i="66"/>
  <c r="CG25" i="66"/>
  <c r="CX25" i="65"/>
  <c r="CX25" i="63"/>
  <c r="F15" i="23"/>
  <c r="G15" i="24" s="1"/>
  <c r="CL26" i="63"/>
  <c r="CK26" i="63"/>
  <c r="CT26" i="63"/>
  <c r="CM26" i="63"/>
  <c r="CU26" i="63"/>
  <c r="CD26" i="63"/>
  <c r="CN26" i="63"/>
  <c r="CV26" i="63"/>
  <c r="CE26" i="63"/>
  <c r="CO26" i="63"/>
  <c r="CW26" i="63"/>
  <c r="CF26" i="63"/>
  <c r="CP26" i="63"/>
  <c r="CQ26" i="63"/>
  <c r="CR26" i="63"/>
  <c r="CS26" i="63"/>
  <c r="CG26" i="63"/>
  <c r="CI26" i="63"/>
  <c r="CJ26" i="63"/>
  <c r="BO26" i="63"/>
  <c r="BW26" i="63"/>
  <c r="BG26" i="63"/>
  <c r="BP26" i="63"/>
  <c r="BX26" i="63"/>
  <c r="BH26" i="63"/>
  <c r="BQ26" i="63"/>
  <c r="BY26" i="63"/>
  <c r="BI26" i="63"/>
  <c r="BR26" i="63"/>
  <c r="BZ26" i="63"/>
  <c r="BJ26" i="63"/>
  <c r="BS26" i="63"/>
  <c r="BL26" i="63"/>
  <c r="BT26" i="63"/>
  <c r="BM26" i="63"/>
  <c r="BN26" i="63"/>
  <c r="BU26" i="63"/>
  <c r="BV26" i="63"/>
  <c r="CH26" i="63"/>
  <c r="BK26" i="63"/>
  <c r="J15" i="23"/>
  <c r="L15" i="24" s="1"/>
  <c r="CL26" i="64"/>
  <c r="CF26" i="64"/>
  <c r="CO26" i="64"/>
  <c r="CW26" i="64"/>
  <c r="CG26" i="64"/>
  <c r="CP26" i="64"/>
  <c r="CH26" i="64"/>
  <c r="CQ26" i="64"/>
  <c r="CI26" i="64"/>
  <c r="CR26" i="64"/>
  <c r="CJ26" i="64"/>
  <c r="CS26" i="64"/>
  <c r="CK26" i="64"/>
  <c r="CT26" i="64"/>
  <c r="CD26" i="64"/>
  <c r="CM26" i="64"/>
  <c r="CU26" i="64"/>
  <c r="CE26" i="64"/>
  <c r="CN26" i="64"/>
  <c r="CV26" i="64"/>
  <c r="BG26" i="64"/>
  <c r="BO26" i="64"/>
  <c r="BW26" i="64"/>
  <c r="BH26" i="64"/>
  <c r="BP26" i="64"/>
  <c r="BX26" i="64"/>
  <c r="BI26" i="64"/>
  <c r="BQ26" i="64"/>
  <c r="BY26" i="64"/>
  <c r="BJ26" i="64"/>
  <c r="BR26" i="64"/>
  <c r="BZ26" i="64"/>
  <c r="BK26" i="64"/>
  <c r="BS26" i="64"/>
  <c r="BL26" i="64"/>
  <c r="BT26" i="64"/>
  <c r="BM26" i="64"/>
  <c r="BN26" i="64"/>
  <c r="BU26" i="64"/>
  <c r="BV26" i="64"/>
  <c r="N15" i="23"/>
  <c r="Q15" i="24" s="1"/>
  <c r="CL26" i="65"/>
  <c r="CG26" i="65"/>
  <c r="CQ26" i="65"/>
  <c r="CH26" i="65"/>
  <c r="CR26" i="65"/>
  <c r="CI26" i="65"/>
  <c r="CS26" i="65"/>
  <c r="CJ26" i="65"/>
  <c r="CT26" i="65"/>
  <c r="CM26" i="65"/>
  <c r="CU26" i="65"/>
  <c r="CN26" i="65"/>
  <c r="CV26" i="65"/>
  <c r="CD26" i="65"/>
  <c r="CE26" i="65"/>
  <c r="CO26" i="65"/>
  <c r="CP26" i="65"/>
  <c r="CW26" i="65"/>
  <c r="BP26" i="65"/>
  <c r="BX26" i="65"/>
  <c r="BG26" i="65"/>
  <c r="BQ26" i="65"/>
  <c r="BY26" i="65"/>
  <c r="BH26" i="65"/>
  <c r="BR26" i="65"/>
  <c r="BZ26" i="65"/>
  <c r="BJ26" i="65"/>
  <c r="BS26" i="65"/>
  <c r="BK26" i="65"/>
  <c r="BT26" i="65"/>
  <c r="BL26" i="65"/>
  <c r="BU26" i="65"/>
  <c r="BM26" i="65"/>
  <c r="BV26" i="65"/>
  <c r="BO26" i="65"/>
  <c r="BW26" i="65"/>
  <c r="CK26" i="65"/>
  <c r="CF26" i="65"/>
  <c r="BN26" i="65"/>
  <c r="BI26" i="65"/>
  <c r="CX24" i="66"/>
  <c r="CX25" i="64"/>
  <c r="AB14" i="23"/>
  <c r="E14" i="25" s="1"/>
  <c r="CX25" i="68"/>
  <c r="P25" i="68" s="1"/>
  <c r="Z15" i="23"/>
  <c r="B15" i="25" s="1"/>
  <c r="CL26" i="68"/>
  <c r="CG26" i="68"/>
  <c r="CP26" i="68"/>
  <c r="CH26" i="68"/>
  <c r="CQ26" i="68"/>
  <c r="CI26" i="68"/>
  <c r="CR26" i="68"/>
  <c r="CJ26" i="68"/>
  <c r="CS26" i="68"/>
  <c r="CK26" i="68"/>
  <c r="CT26" i="68"/>
  <c r="CD26" i="68"/>
  <c r="CM26" i="68"/>
  <c r="CU26" i="68"/>
  <c r="CE26" i="68"/>
  <c r="CN26" i="68"/>
  <c r="CV26" i="68"/>
  <c r="CF26" i="68"/>
  <c r="CO26" i="68"/>
  <c r="CW26" i="68"/>
  <c r="BH26" i="68"/>
  <c r="BP26" i="68"/>
  <c r="BX26" i="68"/>
  <c r="BI26" i="68"/>
  <c r="BQ26" i="68"/>
  <c r="BY26" i="68"/>
  <c r="BJ26" i="68"/>
  <c r="BR26" i="68"/>
  <c r="BZ26" i="68"/>
  <c r="BK26" i="68"/>
  <c r="BS26" i="68"/>
  <c r="BL26" i="68"/>
  <c r="BT26" i="68"/>
  <c r="BM26" i="68"/>
  <c r="BU26" i="68"/>
  <c r="BN26" i="68"/>
  <c r="BV26" i="68"/>
  <c r="BG26" i="68"/>
  <c r="BO26" i="68"/>
  <c r="BW26" i="68"/>
  <c r="BB24" i="70"/>
  <c r="BA24" i="70"/>
  <c r="N24" i="70" s="1"/>
  <c r="Y24" i="70" s="1"/>
  <c r="O13" i="25"/>
  <c r="AJ13" i="23"/>
  <c r="AG15" i="23"/>
  <c r="K15" i="25" s="1"/>
  <c r="B26" i="70"/>
  <c r="A27" i="70"/>
  <c r="AH14" i="23"/>
  <c r="L14" i="25" s="1"/>
  <c r="AJ25" i="70"/>
  <c r="AW25" i="70"/>
  <c r="AU25" i="70"/>
  <c r="AO25" i="70"/>
  <c r="AM25" i="70"/>
  <c r="AK25" i="70"/>
  <c r="D25" i="70"/>
  <c r="AS25" i="70"/>
  <c r="AG25" i="70"/>
  <c r="AY25" i="70"/>
  <c r="AV25" i="70"/>
  <c r="AZ25" i="70"/>
  <c r="AQ25" i="70"/>
  <c r="AX25" i="70"/>
  <c r="AL25" i="70"/>
  <c r="AT25" i="70"/>
  <c r="AR25" i="70"/>
  <c r="AI25" i="70"/>
  <c r="AN25" i="70"/>
  <c r="AH25" i="70"/>
  <c r="AP25" i="70"/>
  <c r="J14" i="25"/>
  <c r="AF14" i="23"/>
  <c r="BA24" i="67"/>
  <c r="N24" i="67" s="1"/>
  <c r="Y23" i="67" s="1"/>
  <c r="BB24" i="67"/>
  <c r="V14" i="23"/>
  <c r="AA14" i="24" s="1"/>
  <c r="AO25" i="67"/>
  <c r="AG25" i="67"/>
  <c r="AQ25" i="67"/>
  <c r="AV25" i="67"/>
  <c r="D25" i="67"/>
  <c r="X14" i="23" s="1"/>
  <c r="AD14" i="24" s="1"/>
  <c r="AW25" i="67"/>
  <c r="AR25" i="67"/>
  <c r="AM25" i="67"/>
  <c r="AY25" i="67"/>
  <c r="AJ25" i="67"/>
  <c r="AN25" i="67"/>
  <c r="AZ25" i="67"/>
  <c r="AK25" i="67"/>
  <c r="AH25" i="67"/>
  <c r="AI25" i="67"/>
  <c r="AP25" i="67"/>
  <c r="AT25" i="67"/>
  <c r="AS25" i="67"/>
  <c r="AL25" i="67"/>
  <c r="AU25" i="67"/>
  <c r="AX25" i="67"/>
  <c r="AN14" i="23"/>
  <c r="T14" i="25"/>
  <c r="AV14" i="23"/>
  <c r="AD14" i="25"/>
  <c r="U15" i="23"/>
  <c r="Z15" i="24" s="1"/>
  <c r="A27" i="67"/>
  <c r="B26" i="67"/>
  <c r="AR13" i="23"/>
  <c r="Y13" i="25"/>
  <c r="CA24" i="66"/>
  <c r="O24" i="66" s="1"/>
  <c r="R14" i="23"/>
  <c r="V14" i="24" s="1"/>
  <c r="AN25" i="66"/>
  <c r="AY25" i="66"/>
  <c r="AH25" i="66"/>
  <c r="AS25" i="66"/>
  <c r="AQ25" i="66"/>
  <c r="AT25" i="66"/>
  <c r="AK25" i="66"/>
  <c r="AZ25" i="66"/>
  <c r="AI25" i="66"/>
  <c r="D25" i="66"/>
  <c r="T14" i="23" s="1"/>
  <c r="Y14" i="24" s="1"/>
  <c r="AJ25" i="66"/>
  <c r="AU25" i="66"/>
  <c r="AL25" i="66"/>
  <c r="AR25" i="66"/>
  <c r="AM25" i="66"/>
  <c r="AW25" i="66"/>
  <c r="AO25" i="66"/>
  <c r="AX25" i="66"/>
  <c r="AG25" i="66"/>
  <c r="AP25" i="66"/>
  <c r="AV25" i="66"/>
  <c r="Q15" i="23"/>
  <c r="U15" i="24" s="1"/>
  <c r="A27" i="66"/>
  <c r="B26" i="66"/>
  <c r="BB24" i="66"/>
  <c r="BA24" i="66"/>
  <c r="N24" i="66" s="1"/>
  <c r="Y23" i="66" s="1"/>
  <c r="D26" i="68"/>
  <c r="A28" i="73"/>
  <c r="AS17" i="23" s="1"/>
  <c r="Z17" i="25" s="1"/>
  <c r="B27" i="73"/>
  <c r="BB25" i="73"/>
  <c r="BA25" i="73"/>
  <c r="N25" i="73" s="1"/>
  <c r="Y24" i="73" s="1"/>
  <c r="CA25" i="73"/>
  <c r="O25" i="73" s="1"/>
  <c r="AW26" i="73"/>
  <c r="AO26" i="73"/>
  <c r="AG26" i="73"/>
  <c r="AV26" i="73"/>
  <c r="AN26" i="73"/>
  <c r="AU26" i="73"/>
  <c r="AM26" i="73"/>
  <c r="AT26" i="73"/>
  <c r="AL26" i="73"/>
  <c r="AS26" i="73"/>
  <c r="AK26" i="73"/>
  <c r="D26" i="73"/>
  <c r="AZ26" i="73"/>
  <c r="AR26" i="73"/>
  <c r="AJ26" i="73"/>
  <c r="AY26" i="73"/>
  <c r="AQ26" i="73"/>
  <c r="AI26" i="73"/>
  <c r="AX26" i="73"/>
  <c r="AP26" i="73"/>
  <c r="AH26" i="73"/>
  <c r="CA24" i="72"/>
  <c r="O24" i="72" s="1"/>
  <c r="BB24" i="72"/>
  <c r="BA24" i="72"/>
  <c r="N24" i="72" s="1"/>
  <c r="Y24" i="72" s="1"/>
  <c r="AZ25" i="72"/>
  <c r="AR25" i="72"/>
  <c r="AY25" i="72"/>
  <c r="AX25" i="72"/>
  <c r="AO25" i="72"/>
  <c r="AG25" i="72"/>
  <c r="AV25" i="72"/>
  <c r="AM25" i="72"/>
  <c r="AU25" i="72"/>
  <c r="AL25" i="72"/>
  <c r="AT25" i="72"/>
  <c r="AK25" i="72"/>
  <c r="D25" i="72"/>
  <c r="AS25" i="72"/>
  <c r="AJ25" i="72"/>
  <c r="AQ25" i="72"/>
  <c r="AI25" i="72"/>
  <c r="AP25" i="72"/>
  <c r="AH25" i="72"/>
  <c r="AW25" i="72"/>
  <c r="AN25" i="72"/>
  <c r="A27" i="72"/>
  <c r="AO16" i="23" s="1"/>
  <c r="U16" i="25" s="1"/>
  <c r="B26" i="72"/>
  <c r="A28" i="71"/>
  <c r="AK17" i="23" s="1"/>
  <c r="P17" i="25" s="1"/>
  <c r="B27" i="71"/>
  <c r="BB25" i="71"/>
  <c r="BA25" i="71"/>
  <c r="N25" i="71" s="1"/>
  <c r="AS26" i="71"/>
  <c r="AK26" i="71"/>
  <c r="D26" i="71"/>
  <c r="AZ26" i="71"/>
  <c r="AR26" i="71"/>
  <c r="AJ26" i="71"/>
  <c r="AP26" i="71"/>
  <c r="AY26" i="71"/>
  <c r="AO26" i="71"/>
  <c r="AX26" i="71"/>
  <c r="AN26" i="71"/>
  <c r="AW26" i="71"/>
  <c r="AM26" i="71"/>
  <c r="AQ26" i="71"/>
  <c r="AL26" i="71"/>
  <c r="AI26" i="71"/>
  <c r="AH26" i="71"/>
  <c r="AG26" i="71"/>
  <c r="AV26" i="71"/>
  <c r="AU26" i="71"/>
  <c r="AT26" i="71"/>
  <c r="B27" i="69"/>
  <c r="A28" i="69"/>
  <c r="AC17" i="23" s="1"/>
  <c r="F17" i="25" s="1"/>
  <c r="CA25" i="69"/>
  <c r="O25" i="69" s="1"/>
  <c r="AZ26" i="69"/>
  <c r="AR26" i="69"/>
  <c r="AJ26" i="69"/>
  <c r="AY26" i="69"/>
  <c r="AQ26" i="69"/>
  <c r="AI26" i="69"/>
  <c r="AX26" i="69"/>
  <c r="AP26" i="69"/>
  <c r="AH26" i="69"/>
  <c r="AW26" i="69"/>
  <c r="AO26" i="69"/>
  <c r="AG26" i="69"/>
  <c r="AV26" i="69"/>
  <c r="AN26" i="69"/>
  <c r="AU26" i="69"/>
  <c r="AM26" i="69"/>
  <c r="AT26" i="69"/>
  <c r="AL26" i="69"/>
  <c r="D26" i="69"/>
  <c r="AS26" i="69"/>
  <c r="AK26" i="69"/>
  <c r="BB25" i="69"/>
  <c r="BA25" i="69"/>
  <c r="N25" i="69" s="1"/>
  <c r="AZ26" i="68"/>
  <c r="AR26" i="68"/>
  <c r="AJ26" i="68"/>
  <c r="AY26" i="68"/>
  <c r="AQ26" i="68"/>
  <c r="AI26" i="68"/>
  <c r="AX26" i="68"/>
  <c r="AP26" i="68"/>
  <c r="AH26" i="68"/>
  <c r="AW26" i="68"/>
  <c r="AO26" i="68"/>
  <c r="AG26" i="68"/>
  <c r="AT26" i="68"/>
  <c r="AS26" i="68"/>
  <c r="AM26" i="68"/>
  <c r="AK26" i="68"/>
  <c r="AV26" i="68"/>
  <c r="AU26" i="68"/>
  <c r="AL26" i="68"/>
  <c r="AN26" i="68"/>
  <c r="CA25" i="68"/>
  <c r="O25" i="68" s="1"/>
  <c r="B27" i="68"/>
  <c r="A28" i="68"/>
  <c r="Y17" i="23" s="1"/>
  <c r="A17" i="25" s="1"/>
  <c r="BB25" i="68"/>
  <c r="BA25" i="68"/>
  <c r="N25" i="68" s="1"/>
  <c r="CA25" i="65"/>
  <c r="O25" i="65" s="1"/>
  <c r="AT26" i="65"/>
  <c r="AL26" i="65"/>
  <c r="AS26" i="65"/>
  <c r="AK26" i="65"/>
  <c r="D26" i="65"/>
  <c r="P15" i="23" s="1"/>
  <c r="T15" i="24" s="1"/>
  <c r="AZ26" i="65"/>
  <c r="AR26" i="65"/>
  <c r="AJ26" i="65"/>
  <c r="AY26" i="65"/>
  <c r="AQ26" i="65"/>
  <c r="AI26" i="65"/>
  <c r="AX26" i="65"/>
  <c r="AP26" i="65"/>
  <c r="AH26" i="65"/>
  <c r="AW26" i="65"/>
  <c r="AO26" i="65"/>
  <c r="AG26" i="65"/>
  <c r="AV26" i="65"/>
  <c r="AN26" i="65"/>
  <c r="AU26" i="65"/>
  <c r="AM26" i="65"/>
  <c r="BB25" i="65"/>
  <c r="BA25" i="65"/>
  <c r="N25" i="65" s="1"/>
  <c r="Y25" i="65" s="1"/>
  <c r="A28" i="65"/>
  <c r="M17" i="23" s="1"/>
  <c r="P17" i="24" s="1"/>
  <c r="B27" i="65"/>
  <c r="BB25" i="64"/>
  <c r="BA25" i="64"/>
  <c r="N25" i="64" s="1"/>
  <c r="Y24" i="64" s="1"/>
  <c r="A28" i="64"/>
  <c r="I17" i="23" s="1"/>
  <c r="K17" i="24" s="1"/>
  <c r="B27" i="64"/>
  <c r="AS26" i="64"/>
  <c r="AK26" i="64"/>
  <c r="D26" i="64"/>
  <c r="L15" i="23" s="1"/>
  <c r="O15" i="24" s="1"/>
  <c r="AZ26" i="64"/>
  <c r="AR26" i="64"/>
  <c r="AJ26" i="64"/>
  <c r="AY26" i="64"/>
  <c r="AQ26" i="64"/>
  <c r="AI26" i="64"/>
  <c r="AX26" i="64"/>
  <c r="AP26" i="64"/>
  <c r="AH26" i="64"/>
  <c r="AW26" i="64"/>
  <c r="AO26" i="64"/>
  <c r="AG26" i="64"/>
  <c r="AV26" i="64"/>
  <c r="AN26" i="64"/>
  <c r="AU26" i="64"/>
  <c r="AM26" i="64"/>
  <c r="AT26" i="64"/>
  <c r="AL26" i="64"/>
  <c r="BB25" i="63"/>
  <c r="BA25" i="63"/>
  <c r="N25" i="63" s="1"/>
  <c r="Y25" i="63" s="1"/>
  <c r="A28" i="63"/>
  <c r="E17" i="23" s="1"/>
  <c r="F17" i="24" s="1"/>
  <c r="B27" i="63"/>
  <c r="AU26" i="63"/>
  <c r="AM26" i="63"/>
  <c r="AT26" i="63"/>
  <c r="AL26" i="63"/>
  <c r="AS26" i="63"/>
  <c r="AK26" i="63"/>
  <c r="D26" i="63"/>
  <c r="H15" i="23" s="1"/>
  <c r="J15" i="24" s="1"/>
  <c r="AZ26" i="63"/>
  <c r="AR26" i="63"/>
  <c r="AJ26" i="63"/>
  <c r="AY26" i="63"/>
  <c r="AQ26" i="63"/>
  <c r="AI26" i="63"/>
  <c r="AX26" i="63"/>
  <c r="AP26" i="63"/>
  <c r="AH26" i="63"/>
  <c r="AV26" i="63"/>
  <c r="AN26" i="63"/>
  <c r="AW26" i="63"/>
  <c r="AO26" i="63"/>
  <c r="AG26" i="63"/>
  <c r="FL23" i="72" l="1"/>
  <c r="Q25" i="73"/>
  <c r="Q25" i="68"/>
  <c r="FN24" i="73"/>
  <c r="FN45" i="73" s="1"/>
  <c r="FL24" i="73"/>
  <c r="FL45" i="73" s="1"/>
  <c r="Y45" i="73"/>
  <c r="FL25" i="65"/>
  <c r="FN25" i="65"/>
  <c r="FL23" i="67"/>
  <c r="FN23" i="67"/>
  <c r="FN24" i="72"/>
  <c r="FL24" i="72"/>
  <c r="FN23" i="66"/>
  <c r="FL23" i="66"/>
  <c r="FL24" i="64"/>
  <c r="FN24" i="64"/>
  <c r="FL24" i="70"/>
  <c r="FN24" i="70"/>
  <c r="FN25" i="63"/>
  <c r="FL25" i="63"/>
  <c r="CX26" i="69"/>
  <c r="CL26" i="67"/>
  <c r="CK26" i="67"/>
  <c r="CT26" i="67"/>
  <c r="CM26" i="67"/>
  <c r="CU26" i="67"/>
  <c r="CE26" i="67"/>
  <c r="CN26" i="67"/>
  <c r="CV26" i="67"/>
  <c r="CF26" i="67"/>
  <c r="CO26" i="67"/>
  <c r="CW26" i="67"/>
  <c r="CG26" i="67"/>
  <c r="CP26" i="67"/>
  <c r="CH26" i="67"/>
  <c r="CQ26" i="67"/>
  <c r="CI26" i="67"/>
  <c r="CJ26" i="67"/>
  <c r="CR26" i="67"/>
  <c r="CS26" i="67"/>
  <c r="BJ26" i="67"/>
  <c r="BS26" i="67"/>
  <c r="BK26" i="67"/>
  <c r="BT26" i="67"/>
  <c r="BN26" i="67"/>
  <c r="BV26" i="67"/>
  <c r="BO26" i="67"/>
  <c r="BW26" i="67"/>
  <c r="BP26" i="67"/>
  <c r="BX26" i="67"/>
  <c r="BH26" i="67"/>
  <c r="BQ26" i="67"/>
  <c r="BY26" i="67"/>
  <c r="BI26" i="67"/>
  <c r="BR26" i="67"/>
  <c r="BZ26" i="67"/>
  <c r="BM26" i="67"/>
  <c r="BU26" i="67"/>
  <c r="BL26" i="67"/>
  <c r="BG26" i="67"/>
  <c r="CD26" i="67"/>
  <c r="CL26" i="70"/>
  <c r="CE26" i="70"/>
  <c r="CN26" i="70"/>
  <c r="CV26" i="70"/>
  <c r="CF26" i="70"/>
  <c r="CO26" i="70"/>
  <c r="CW26" i="70"/>
  <c r="CG26" i="70"/>
  <c r="CR26" i="70"/>
  <c r="CH26" i="70"/>
  <c r="CS26" i="70"/>
  <c r="CI26" i="70"/>
  <c r="CT26" i="70"/>
  <c r="CJ26" i="70"/>
  <c r="CU26" i="70"/>
  <c r="CK26" i="70"/>
  <c r="CM26" i="70"/>
  <c r="CP26" i="70"/>
  <c r="CD26" i="70"/>
  <c r="CQ26" i="70"/>
  <c r="BK26" i="70"/>
  <c r="BS26" i="70"/>
  <c r="BL26" i="70"/>
  <c r="BT26" i="70"/>
  <c r="BN26" i="70"/>
  <c r="BV26" i="70"/>
  <c r="BG26" i="70"/>
  <c r="BO26" i="70"/>
  <c r="BW26" i="70"/>
  <c r="BI26" i="70"/>
  <c r="BY26" i="70"/>
  <c r="BJ26" i="70"/>
  <c r="BZ26" i="70"/>
  <c r="BP26" i="70"/>
  <c r="BQ26" i="70"/>
  <c r="BR26" i="70"/>
  <c r="BU26" i="70"/>
  <c r="BH26" i="70"/>
  <c r="BX26" i="70"/>
  <c r="BM26" i="70"/>
  <c r="CX25" i="70"/>
  <c r="AP15" i="23"/>
  <c r="V15" i="25" s="1"/>
  <c r="CL26" i="72"/>
  <c r="CN26" i="72"/>
  <c r="CV26" i="72"/>
  <c r="CD26" i="72"/>
  <c r="CO26" i="72"/>
  <c r="CW26" i="72"/>
  <c r="CE26" i="72"/>
  <c r="CP26" i="72"/>
  <c r="CR26" i="72"/>
  <c r="CS26" i="72"/>
  <c r="CF26" i="72"/>
  <c r="CT26" i="72"/>
  <c r="CG26" i="72"/>
  <c r="CU26" i="72"/>
  <c r="CI26" i="72"/>
  <c r="CK26" i="72"/>
  <c r="CQ26" i="72"/>
  <c r="CJ26" i="72"/>
  <c r="BJ26" i="72"/>
  <c r="BT26" i="72"/>
  <c r="BO26" i="72"/>
  <c r="BX26" i="72"/>
  <c r="BG26" i="72"/>
  <c r="BQ26" i="72"/>
  <c r="BY26" i="72"/>
  <c r="BI26" i="72"/>
  <c r="BS26" i="72"/>
  <c r="BV26" i="72"/>
  <c r="BW26" i="72"/>
  <c r="BH26" i="72"/>
  <c r="BZ26" i="72"/>
  <c r="BL26" i="72"/>
  <c r="BM26" i="72"/>
  <c r="BN26" i="72"/>
  <c r="BR26" i="72"/>
  <c r="BU26" i="72"/>
  <c r="CH26" i="72"/>
  <c r="BK26" i="72"/>
  <c r="CM26" i="72"/>
  <c r="BP26" i="72"/>
  <c r="CX26" i="71"/>
  <c r="CX25" i="72"/>
  <c r="AT16" i="23"/>
  <c r="AA16" i="25" s="1"/>
  <c r="CL27" i="73"/>
  <c r="CE27" i="73"/>
  <c r="CN27" i="73"/>
  <c r="CV27" i="73"/>
  <c r="CF27" i="73"/>
  <c r="CO27" i="73"/>
  <c r="CW27" i="73"/>
  <c r="CG27" i="73"/>
  <c r="CP27" i="73"/>
  <c r="CH27" i="73"/>
  <c r="CQ27" i="73"/>
  <c r="CI27" i="73"/>
  <c r="CR27" i="73"/>
  <c r="CJ27" i="73"/>
  <c r="CS27" i="73"/>
  <c r="CK27" i="73"/>
  <c r="CT27" i="73"/>
  <c r="CD27" i="73"/>
  <c r="CM27" i="73"/>
  <c r="CU27" i="73"/>
  <c r="BH27" i="73"/>
  <c r="BP27" i="73"/>
  <c r="BX27" i="73"/>
  <c r="BI27" i="73"/>
  <c r="BQ27" i="73"/>
  <c r="BY27" i="73"/>
  <c r="BJ27" i="73"/>
  <c r="BR27" i="73"/>
  <c r="BZ27" i="73"/>
  <c r="BK27" i="73"/>
  <c r="BS27" i="73"/>
  <c r="BL27" i="73"/>
  <c r="BT27" i="73"/>
  <c r="BG27" i="73"/>
  <c r="BN27" i="73"/>
  <c r="BO27" i="73"/>
  <c r="BU27" i="73"/>
  <c r="BV27" i="73"/>
  <c r="BW27" i="73"/>
  <c r="BM27" i="73"/>
  <c r="CX25" i="67"/>
  <c r="CX26" i="73"/>
  <c r="P26" i="73" s="1"/>
  <c r="AD16" i="23"/>
  <c r="G16" i="25" s="1"/>
  <c r="CL27" i="69"/>
  <c r="CJ27" i="69"/>
  <c r="CT27" i="69"/>
  <c r="CK27" i="69"/>
  <c r="CU27" i="69"/>
  <c r="CM27" i="69"/>
  <c r="CV27" i="69"/>
  <c r="CP27" i="69"/>
  <c r="CD27" i="69"/>
  <c r="CQ27" i="69"/>
  <c r="CE27" i="69"/>
  <c r="CS27" i="69"/>
  <c r="CF27" i="69"/>
  <c r="CW27" i="69"/>
  <c r="CG27" i="69"/>
  <c r="CI27" i="69"/>
  <c r="CN27" i="69"/>
  <c r="CO27" i="69"/>
  <c r="BG27" i="69"/>
  <c r="BP27" i="69"/>
  <c r="BY27" i="69"/>
  <c r="BH27" i="69"/>
  <c r="BQ27" i="69"/>
  <c r="BZ27" i="69"/>
  <c r="BJ27" i="69"/>
  <c r="BS27" i="69"/>
  <c r="BL27" i="69"/>
  <c r="BT27" i="69"/>
  <c r="BM27" i="69"/>
  <c r="BV27" i="69"/>
  <c r="BN27" i="69"/>
  <c r="BW27" i="69"/>
  <c r="BO27" i="69"/>
  <c r="BX27" i="69"/>
  <c r="BI27" i="69"/>
  <c r="BR27" i="69"/>
  <c r="CH27" i="69"/>
  <c r="BK27" i="69"/>
  <c r="BU27" i="69"/>
  <c r="CR27" i="69"/>
  <c r="AL16" i="23"/>
  <c r="Q16" i="25" s="1"/>
  <c r="CL27" i="71"/>
  <c r="CN27" i="71"/>
  <c r="CV27" i="71"/>
  <c r="CG27" i="71"/>
  <c r="CR27" i="71"/>
  <c r="CH27" i="71"/>
  <c r="CS27" i="71"/>
  <c r="CI27" i="71"/>
  <c r="CT27" i="71"/>
  <c r="CJ27" i="71"/>
  <c r="CU27" i="71"/>
  <c r="CM27" i="71"/>
  <c r="CW27" i="71"/>
  <c r="CO27" i="71"/>
  <c r="CD27" i="71"/>
  <c r="CP27" i="71"/>
  <c r="CE27" i="71"/>
  <c r="CQ27" i="71"/>
  <c r="BM27" i="71"/>
  <c r="BV27" i="71"/>
  <c r="BO27" i="71"/>
  <c r="BW27" i="71"/>
  <c r="BP27" i="71"/>
  <c r="BX27" i="71"/>
  <c r="BG27" i="71"/>
  <c r="BQ27" i="71"/>
  <c r="BY27" i="71"/>
  <c r="BH27" i="71"/>
  <c r="BR27" i="71"/>
  <c r="BZ27" i="71"/>
  <c r="BJ27" i="71"/>
  <c r="BS27" i="71"/>
  <c r="BK27" i="71"/>
  <c r="BT27" i="71"/>
  <c r="BL27" i="71"/>
  <c r="BU27" i="71"/>
  <c r="BN27" i="71"/>
  <c r="CK27" i="71"/>
  <c r="CF27" i="71"/>
  <c r="BI27" i="71"/>
  <c r="N16" i="23"/>
  <c r="Q16" i="24" s="1"/>
  <c r="CL27" i="65"/>
  <c r="CE27" i="65"/>
  <c r="CO27" i="65"/>
  <c r="CW27" i="65"/>
  <c r="CF27" i="65"/>
  <c r="CP27" i="65"/>
  <c r="CH27" i="65"/>
  <c r="CQ27" i="65"/>
  <c r="CI27" i="65"/>
  <c r="CR27" i="65"/>
  <c r="CJ27" i="65"/>
  <c r="CS27" i="65"/>
  <c r="CK27" i="65"/>
  <c r="CT27" i="65"/>
  <c r="CU27" i="65"/>
  <c r="CV27" i="65"/>
  <c r="CD27" i="65"/>
  <c r="CM27" i="65"/>
  <c r="CN27" i="65"/>
  <c r="BM27" i="65"/>
  <c r="BU27" i="65"/>
  <c r="BN27" i="65"/>
  <c r="BV27" i="65"/>
  <c r="BO27" i="65"/>
  <c r="BW27" i="65"/>
  <c r="BG27" i="65"/>
  <c r="BP27" i="65"/>
  <c r="BX27" i="65"/>
  <c r="BH27" i="65"/>
  <c r="BQ27" i="65"/>
  <c r="BY27" i="65"/>
  <c r="BI27" i="65"/>
  <c r="BR27" i="65"/>
  <c r="BZ27" i="65"/>
  <c r="BK27" i="65"/>
  <c r="BS27" i="65"/>
  <c r="BL27" i="65"/>
  <c r="BT27" i="65"/>
  <c r="BJ27" i="65"/>
  <c r="CG27" i="65"/>
  <c r="CL26" i="66"/>
  <c r="CI26" i="66"/>
  <c r="CR26" i="66"/>
  <c r="CJ26" i="66"/>
  <c r="CS26" i="66"/>
  <c r="CK26" i="66"/>
  <c r="CT26" i="66"/>
  <c r="CM26" i="66"/>
  <c r="CU26" i="66"/>
  <c r="CD26" i="66"/>
  <c r="CN26" i="66"/>
  <c r="CV26" i="66"/>
  <c r="CE26" i="66"/>
  <c r="CO26" i="66"/>
  <c r="CW26" i="66"/>
  <c r="CF26" i="66"/>
  <c r="CP26" i="66"/>
  <c r="CG26" i="66"/>
  <c r="CQ26" i="66"/>
  <c r="BL26" i="66"/>
  <c r="BT26" i="66"/>
  <c r="BM26" i="66"/>
  <c r="BU26" i="66"/>
  <c r="BN26" i="66"/>
  <c r="BV26" i="66"/>
  <c r="BO26" i="66"/>
  <c r="BW26" i="66"/>
  <c r="BG26" i="66"/>
  <c r="BP26" i="66"/>
  <c r="BX26" i="66"/>
  <c r="BH26" i="66"/>
  <c r="BQ26" i="66"/>
  <c r="BY26" i="66"/>
  <c r="BI26" i="66"/>
  <c r="BR26" i="66"/>
  <c r="BZ26" i="66"/>
  <c r="BJ26" i="66"/>
  <c r="BS26" i="66"/>
  <c r="BK26" i="66"/>
  <c r="CH26" i="66"/>
  <c r="CX25" i="66"/>
  <c r="F16" i="23"/>
  <c r="G16" i="24" s="1"/>
  <c r="CL27" i="63"/>
  <c r="CH27" i="63"/>
  <c r="CQ27" i="63"/>
  <c r="CI27" i="63"/>
  <c r="CR27" i="63"/>
  <c r="CJ27" i="63"/>
  <c r="CS27" i="63"/>
  <c r="CK27" i="63"/>
  <c r="CT27" i="63"/>
  <c r="CD27" i="63"/>
  <c r="CM27" i="63"/>
  <c r="CU27" i="63"/>
  <c r="CP27" i="63"/>
  <c r="CV27" i="63"/>
  <c r="CW27" i="63"/>
  <c r="CE27" i="63"/>
  <c r="CF27" i="63"/>
  <c r="CG27" i="63"/>
  <c r="CN27" i="63"/>
  <c r="CO27" i="63"/>
  <c r="BK27" i="63"/>
  <c r="BS27" i="63"/>
  <c r="BL27" i="63"/>
  <c r="BT27" i="63"/>
  <c r="BM27" i="63"/>
  <c r="BU27" i="63"/>
  <c r="BN27" i="63"/>
  <c r="BV27" i="63"/>
  <c r="BG27" i="63"/>
  <c r="BO27" i="63"/>
  <c r="BW27" i="63"/>
  <c r="BH27" i="63"/>
  <c r="BP27" i="63"/>
  <c r="BX27" i="63"/>
  <c r="BQ27" i="63"/>
  <c r="BR27" i="63"/>
  <c r="BY27" i="63"/>
  <c r="BZ27" i="63"/>
  <c r="BI27" i="63"/>
  <c r="BJ27" i="63"/>
  <c r="CX26" i="65"/>
  <c r="CX26" i="64"/>
  <c r="J16" i="23"/>
  <c r="L16" i="24" s="1"/>
  <c r="CL27" i="64"/>
  <c r="CK27" i="64"/>
  <c r="CT27" i="64"/>
  <c r="CD27" i="64"/>
  <c r="CM27" i="64"/>
  <c r="CU27" i="64"/>
  <c r="CE27" i="64"/>
  <c r="CN27" i="64"/>
  <c r="CV27" i="64"/>
  <c r="CF27" i="64"/>
  <c r="CO27" i="64"/>
  <c r="CW27" i="64"/>
  <c r="CG27" i="64"/>
  <c r="CP27" i="64"/>
  <c r="CH27" i="64"/>
  <c r="CQ27" i="64"/>
  <c r="CI27" i="64"/>
  <c r="CR27" i="64"/>
  <c r="CJ27" i="64"/>
  <c r="CS27" i="64"/>
  <c r="BK27" i="64"/>
  <c r="BS27" i="64"/>
  <c r="BL27" i="64"/>
  <c r="BT27" i="64"/>
  <c r="BM27" i="64"/>
  <c r="BU27" i="64"/>
  <c r="BN27" i="64"/>
  <c r="BV27" i="64"/>
  <c r="BG27" i="64"/>
  <c r="BO27" i="64"/>
  <c r="BW27" i="64"/>
  <c r="BH27" i="64"/>
  <c r="BP27" i="64"/>
  <c r="BX27" i="64"/>
  <c r="BI27" i="64"/>
  <c r="BJ27" i="64"/>
  <c r="BQ27" i="64"/>
  <c r="BR27" i="64"/>
  <c r="BY27" i="64"/>
  <c r="BZ27" i="64"/>
  <c r="CX26" i="63"/>
  <c r="AB15" i="23"/>
  <c r="E15" i="25" s="1"/>
  <c r="Z16" i="23"/>
  <c r="B16" i="25" s="1"/>
  <c r="CL27" i="68"/>
  <c r="CD27" i="68"/>
  <c r="CM27" i="68"/>
  <c r="CU27" i="68"/>
  <c r="CE27" i="68"/>
  <c r="CN27" i="68"/>
  <c r="CV27" i="68"/>
  <c r="CF27" i="68"/>
  <c r="CO27" i="68"/>
  <c r="CW27" i="68"/>
  <c r="CG27" i="68"/>
  <c r="CP27" i="68"/>
  <c r="CH27" i="68"/>
  <c r="CQ27" i="68"/>
  <c r="CI27" i="68"/>
  <c r="CR27" i="68"/>
  <c r="CJ27" i="68"/>
  <c r="CS27" i="68"/>
  <c r="CK27" i="68"/>
  <c r="CT27" i="68"/>
  <c r="BL27" i="68"/>
  <c r="BT27" i="68"/>
  <c r="BM27" i="68"/>
  <c r="BU27" i="68"/>
  <c r="BN27" i="68"/>
  <c r="BV27" i="68"/>
  <c r="BG27" i="68"/>
  <c r="BO27" i="68"/>
  <c r="BW27" i="68"/>
  <c r="BH27" i="68"/>
  <c r="BP27" i="68"/>
  <c r="BX27" i="68"/>
  <c r="BI27" i="68"/>
  <c r="BQ27" i="68"/>
  <c r="BY27" i="68"/>
  <c r="BJ27" i="68"/>
  <c r="BR27" i="68"/>
  <c r="BZ27" i="68"/>
  <c r="BK27" i="68"/>
  <c r="BS27" i="68"/>
  <c r="CX26" i="68"/>
  <c r="P26" i="68" s="1"/>
  <c r="BB25" i="70"/>
  <c r="BA25" i="70"/>
  <c r="N25" i="70" s="1"/>
  <c r="Y25" i="70" s="1"/>
  <c r="O14" i="25"/>
  <c r="AJ14" i="23"/>
  <c r="AG16" i="23"/>
  <c r="K16" i="25" s="1"/>
  <c r="A28" i="70"/>
  <c r="B27" i="70"/>
  <c r="AH15" i="23"/>
  <c r="L15" i="25" s="1"/>
  <c r="AH26" i="70"/>
  <c r="AY26" i="70"/>
  <c r="AT26" i="70"/>
  <c r="AW26" i="70"/>
  <c r="AO26" i="70"/>
  <c r="AL26" i="70"/>
  <c r="AK26" i="70"/>
  <c r="AS26" i="70"/>
  <c r="D26" i="70"/>
  <c r="AU26" i="70"/>
  <c r="AI26" i="70"/>
  <c r="AZ26" i="70"/>
  <c r="AM26" i="70"/>
  <c r="AP26" i="70"/>
  <c r="AV26" i="70"/>
  <c r="AQ26" i="70"/>
  <c r="AX26" i="70"/>
  <c r="AJ26" i="70"/>
  <c r="AG26" i="70"/>
  <c r="AN26" i="70"/>
  <c r="AR26" i="70"/>
  <c r="Y14" i="25"/>
  <c r="AR14" i="23"/>
  <c r="BA25" i="67"/>
  <c r="N25" i="67" s="1"/>
  <c r="Y24" i="67" s="1"/>
  <c r="BB25" i="67"/>
  <c r="AN15" i="23"/>
  <c r="T15" i="25"/>
  <c r="AD15" i="25"/>
  <c r="AV15" i="23"/>
  <c r="V15" i="23"/>
  <c r="AA15" i="24" s="1"/>
  <c r="AX26" i="67"/>
  <c r="AL26" i="67"/>
  <c r="D26" i="67"/>
  <c r="X15" i="23" s="1"/>
  <c r="AD15" i="24" s="1"/>
  <c r="AK26" i="67"/>
  <c r="AY26" i="67"/>
  <c r="AP26" i="67"/>
  <c r="AO26" i="67"/>
  <c r="AU26" i="67"/>
  <c r="AQ26" i="67"/>
  <c r="AH26" i="67"/>
  <c r="AS26" i="67"/>
  <c r="AW26" i="67"/>
  <c r="AM26" i="67"/>
  <c r="AI26" i="67"/>
  <c r="AG26" i="67"/>
  <c r="AR26" i="67"/>
  <c r="AZ26" i="67"/>
  <c r="AT26" i="67"/>
  <c r="AN26" i="67"/>
  <c r="AJ26" i="67"/>
  <c r="AV26" i="67"/>
  <c r="U16" i="23"/>
  <c r="Z16" i="24" s="1"/>
  <c r="A28" i="67"/>
  <c r="B27" i="67"/>
  <c r="J15" i="25"/>
  <c r="AF15" i="23"/>
  <c r="R15" i="23"/>
  <c r="V15" i="24" s="1"/>
  <c r="AW26" i="66"/>
  <c r="AS26" i="66"/>
  <c r="AR26" i="66"/>
  <c r="AO26" i="66"/>
  <c r="AT26" i="66"/>
  <c r="AK26" i="66"/>
  <c r="AJ26" i="66"/>
  <c r="AG26" i="66"/>
  <c r="AU26" i="66"/>
  <c r="AL26" i="66"/>
  <c r="D26" i="66"/>
  <c r="T15" i="23" s="1"/>
  <c r="Y15" i="24" s="1"/>
  <c r="AX26" i="66"/>
  <c r="AM26" i="66"/>
  <c r="AY26" i="66"/>
  <c r="AP26" i="66"/>
  <c r="AQ26" i="66"/>
  <c r="AH26" i="66"/>
  <c r="AI26" i="66"/>
  <c r="AV26" i="66"/>
  <c r="AN26" i="66"/>
  <c r="AZ26" i="66"/>
  <c r="Q16" i="23"/>
  <c r="U16" i="24" s="1"/>
  <c r="A28" i="66"/>
  <c r="B27" i="66"/>
  <c r="BB25" i="66"/>
  <c r="BA25" i="66"/>
  <c r="N25" i="66" s="1"/>
  <c r="Y24" i="66" s="1"/>
  <c r="BB26" i="73"/>
  <c r="BA26" i="73"/>
  <c r="N26" i="73" s="1"/>
  <c r="AY27" i="73"/>
  <c r="AQ27" i="73"/>
  <c r="AX27" i="73"/>
  <c r="AP27" i="73"/>
  <c r="AH27" i="73"/>
  <c r="AV27" i="73"/>
  <c r="AN27" i="73"/>
  <c r="AT27" i="73"/>
  <c r="AI27" i="73"/>
  <c r="AS27" i="73"/>
  <c r="AG27" i="73"/>
  <c r="AR27" i="73"/>
  <c r="AO27" i="73"/>
  <c r="AM27" i="73"/>
  <c r="D27" i="73"/>
  <c r="AZ27" i="73"/>
  <c r="AL27" i="73"/>
  <c r="AW27" i="73"/>
  <c r="AK27" i="73"/>
  <c r="AU27" i="73"/>
  <c r="AJ27" i="73"/>
  <c r="CA26" i="73"/>
  <c r="O26" i="73" s="1"/>
  <c r="B28" i="73"/>
  <c r="A29" i="73"/>
  <c r="AS18" i="23" s="1"/>
  <c r="Z18" i="25" s="1"/>
  <c r="AW26" i="72"/>
  <c r="AO26" i="72"/>
  <c r="AG26" i="72"/>
  <c r="AV26" i="72"/>
  <c r="AN26" i="72"/>
  <c r="AU26" i="72"/>
  <c r="AM26" i="72"/>
  <c r="AT26" i="72"/>
  <c r="AL26" i="72"/>
  <c r="AZ26" i="72"/>
  <c r="AJ26" i="72"/>
  <c r="AX26" i="72"/>
  <c r="AH26" i="72"/>
  <c r="AS26" i="72"/>
  <c r="D26" i="72"/>
  <c r="AR26" i="72"/>
  <c r="AQ26" i="72"/>
  <c r="AP26" i="72"/>
  <c r="AK26" i="72"/>
  <c r="AY26" i="72"/>
  <c r="AI26" i="72"/>
  <c r="B27" i="72"/>
  <c r="A28" i="72"/>
  <c r="AO17" i="23" s="1"/>
  <c r="U17" i="25" s="1"/>
  <c r="BB25" i="72"/>
  <c r="BA25" i="72"/>
  <c r="N25" i="72" s="1"/>
  <c r="BB26" i="71"/>
  <c r="BA26" i="71"/>
  <c r="N26" i="71" s="1"/>
  <c r="AV27" i="71"/>
  <c r="AN27" i="71"/>
  <c r="AU27" i="71"/>
  <c r="AM27" i="71"/>
  <c r="AY27" i="71"/>
  <c r="AO27" i="71"/>
  <c r="D27" i="71"/>
  <c r="AX27" i="71"/>
  <c r="AL27" i="71"/>
  <c r="AW27" i="71"/>
  <c r="AK27" i="71"/>
  <c r="AT27" i="71"/>
  <c r="AJ27" i="71"/>
  <c r="AS27" i="71"/>
  <c r="AI27" i="71"/>
  <c r="AR27" i="71"/>
  <c r="AH27" i="71"/>
  <c r="AZ27" i="71"/>
  <c r="AP27" i="71"/>
  <c r="AQ27" i="71"/>
  <c r="AG27" i="71"/>
  <c r="CA26" i="71"/>
  <c r="O26" i="71" s="1"/>
  <c r="A29" i="71"/>
  <c r="AK18" i="23" s="1"/>
  <c r="P18" i="25" s="1"/>
  <c r="B28" i="71"/>
  <c r="BB26" i="69"/>
  <c r="BA26" i="69"/>
  <c r="N26" i="69" s="1"/>
  <c r="A29" i="69"/>
  <c r="AC18" i="23" s="1"/>
  <c r="F18" i="25" s="1"/>
  <c r="B28" i="69"/>
  <c r="AU27" i="69"/>
  <c r="AM27" i="69"/>
  <c r="AT27" i="69"/>
  <c r="AL27" i="69"/>
  <c r="AS27" i="69"/>
  <c r="AK27" i="69"/>
  <c r="D27" i="69"/>
  <c r="AZ27" i="69"/>
  <c r="AR27" i="69"/>
  <c r="AJ27" i="69"/>
  <c r="AY27" i="69"/>
  <c r="AQ27" i="69"/>
  <c r="AI27" i="69"/>
  <c r="AX27" i="69"/>
  <c r="AP27" i="69"/>
  <c r="AH27" i="69"/>
  <c r="AW27" i="69"/>
  <c r="AO27" i="69"/>
  <c r="AG27" i="69"/>
  <c r="AV27" i="69"/>
  <c r="AN27" i="69"/>
  <c r="A29" i="68"/>
  <c r="Y18" i="23" s="1"/>
  <c r="A18" i="25" s="1"/>
  <c r="B28" i="68"/>
  <c r="AU27" i="68"/>
  <c r="AM27" i="68"/>
  <c r="AT27" i="68"/>
  <c r="AL27" i="68"/>
  <c r="AS27" i="68"/>
  <c r="AK27" i="68"/>
  <c r="D27" i="68"/>
  <c r="AZ27" i="68"/>
  <c r="AR27" i="68"/>
  <c r="AJ27" i="68"/>
  <c r="AX27" i="68"/>
  <c r="AW27" i="68"/>
  <c r="AO27" i="68"/>
  <c r="AG27" i="68"/>
  <c r="AV27" i="68"/>
  <c r="AN27" i="68"/>
  <c r="AY27" i="68"/>
  <c r="AQ27" i="68"/>
  <c r="AP27" i="68"/>
  <c r="AI27" i="68"/>
  <c r="AH27" i="68"/>
  <c r="CA26" i="68"/>
  <c r="O26" i="68" s="1"/>
  <c r="BB26" i="68"/>
  <c r="BA26" i="68"/>
  <c r="N26" i="68" s="1"/>
  <c r="CA26" i="65"/>
  <c r="O26" i="65" s="1"/>
  <c r="AW27" i="65"/>
  <c r="AO27" i="65"/>
  <c r="AG27" i="65"/>
  <c r="AV27" i="65"/>
  <c r="AN27" i="65"/>
  <c r="AU27" i="65"/>
  <c r="AM27" i="65"/>
  <c r="AT27" i="65"/>
  <c r="AL27" i="65"/>
  <c r="AS27" i="65"/>
  <c r="AK27" i="65"/>
  <c r="D27" i="65"/>
  <c r="P16" i="23" s="1"/>
  <c r="T16" i="24" s="1"/>
  <c r="AZ27" i="65"/>
  <c r="AR27" i="65"/>
  <c r="AJ27" i="65"/>
  <c r="AY27" i="65"/>
  <c r="AQ27" i="65"/>
  <c r="AI27" i="65"/>
  <c r="AX27" i="65"/>
  <c r="AP27" i="65"/>
  <c r="AH27" i="65"/>
  <c r="B28" i="65"/>
  <c r="A29" i="65"/>
  <c r="M18" i="23" s="1"/>
  <c r="P18" i="24" s="1"/>
  <c r="BB26" i="65"/>
  <c r="BA26" i="65"/>
  <c r="N26" i="65" s="1"/>
  <c r="Y26" i="65" s="1"/>
  <c r="BB26" i="64"/>
  <c r="BA26" i="64"/>
  <c r="N26" i="64" s="1"/>
  <c r="Y25" i="64" s="1"/>
  <c r="AV27" i="64"/>
  <c r="AN27" i="64"/>
  <c r="AU27" i="64"/>
  <c r="AM27" i="64"/>
  <c r="AT27" i="64"/>
  <c r="AL27" i="64"/>
  <c r="AS27" i="64"/>
  <c r="AK27" i="64"/>
  <c r="D27" i="64"/>
  <c r="L16" i="23" s="1"/>
  <c r="O16" i="24" s="1"/>
  <c r="AZ27" i="64"/>
  <c r="AR27" i="64"/>
  <c r="AJ27" i="64"/>
  <c r="AY27" i="64"/>
  <c r="AQ27" i="64"/>
  <c r="AI27" i="64"/>
  <c r="AX27" i="64"/>
  <c r="AP27" i="64"/>
  <c r="AH27" i="64"/>
  <c r="AW27" i="64"/>
  <c r="AO27" i="64"/>
  <c r="AG27" i="64"/>
  <c r="A29" i="64"/>
  <c r="I18" i="23" s="1"/>
  <c r="K18" i="24" s="1"/>
  <c r="B28" i="64"/>
  <c r="BB26" i="63"/>
  <c r="BA26" i="63"/>
  <c r="N26" i="63" s="1"/>
  <c r="Y26" i="63" s="1"/>
  <c r="AX27" i="63"/>
  <c r="AP27" i="63"/>
  <c r="AH27" i="63"/>
  <c r="AW27" i="63"/>
  <c r="AO27" i="63"/>
  <c r="AG27" i="63"/>
  <c r="AV27" i="63"/>
  <c r="AN27" i="63"/>
  <c r="AU27" i="63"/>
  <c r="AM27" i="63"/>
  <c r="AT27" i="63"/>
  <c r="AL27" i="63"/>
  <c r="AS27" i="63"/>
  <c r="AK27" i="63"/>
  <c r="D27" i="63"/>
  <c r="H16" i="23" s="1"/>
  <c r="J16" i="24" s="1"/>
  <c r="AZ27" i="63"/>
  <c r="AR27" i="63"/>
  <c r="AJ27" i="63"/>
  <c r="AY27" i="63"/>
  <c r="AQ27" i="63"/>
  <c r="AI27" i="63"/>
  <c r="B28" i="63"/>
  <c r="A29" i="63"/>
  <c r="E18" i="23" s="1"/>
  <c r="F18" i="24" s="1"/>
  <c r="Q26" i="73" l="1"/>
  <c r="Q26" i="68"/>
  <c r="FL25" i="70"/>
  <c r="FN25" i="70"/>
  <c r="FN24" i="66"/>
  <c r="FL24" i="66"/>
  <c r="FL25" i="64"/>
  <c r="FN25" i="64"/>
  <c r="FN24" i="67"/>
  <c r="FL24" i="67"/>
  <c r="FL26" i="65"/>
  <c r="FN26" i="65"/>
  <c r="FN26" i="63"/>
  <c r="FL26" i="63"/>
  <c r="AD17" i="23"/>
  <c r="G17" i="25" s="1"/>
  <c r="CL28" i="69"/>
  <c r="CH28" i="69"/>
  <c r="CQ28" i="69"/>
  <c r="CI28" i="69"/>
  <c r="CR28" i="69"/>
  <c r="CJ28" i="69"/>
  <c r="CS28" i="69"/>
  <c r="CK28" i="69"/>
  <c r="CW28" i="69"/>
  <c r="CM28" i="69"/>
  <c r="CN28" i="69"/>
  <c r="CO28" i="69"/>
  <c r="CD28" i="69"/>
  <c r="CP28" i="69"/>
  <c r="CE28" i="69"/>
  <c r="CT28" i="69"/>
  <c r="CF28" i="69"/>
  <c r="CG28" i="69"/>
  <c r="CU28" i="69"/>
  <c r="CV28" i="69"/>
  <c r="BM28" i="69"/>
  <c r="BU28" i="69"/>
  <c r="BN28" i="69"/>
  <c r="BV28" i="69"/>
  <c r="BH28" i="69"/>
  <c r="BP28" i="69"/>
  <c r="BX28" i="69"/>
  <c r="BI28" i="69"/>
  <c r="BQ28" i="69"/>
  <c r="BY28" i="69"/>
  <c r="BJ28" i="69"/>
  <c r="BR28" i="69"/>
  <c r="BZ28" i="69"/>
  <c r="BK28" i="69"/>
  <c r="BS28" i="69"/>
  <c r="BL28" i="69"/>
  <c r="BT28" i="69"/>
  <c r="BW28" i="69"/>
  <c r="BG28" i="69"/>
  <c r="BO28" i="69"/>
  <c r="AP16" i="23"/>
  <c r="V16" i="25" s="1"/>
  <c r="CL27" i="72"/>
  <c r="CJ27" i="72"/>
  <c r="CS27" i="72"/>
  <c r="CK27" i="72"/>
  <c r="CT27" i="72"/>
  <c r="CD27" i="72"/>
  <c r="CM27" i="72"/>
  <c r="CU27" i="72"/>
  <c r="CI27" i="72"/>
  <c r="CN27" i="72"/>
  <c r="CO27" i="72"/>
  <c r="CP27" i="72"/>
  <c r="CE27" i="72"/>
  <c r="CQ27" i="72"/>
  <c r="CF27" i="72"/>
  <c r="CG27" i="72"/>
  <c r="CH27" i="72"/>
  <c r="CR27" i="72"/>
  <c r="CV27" i="72"/>
  <c r="CW27" i="72"/>
  <c r="BH27" i="72"/>
  <c r="BP27" i="72"/>
  <c r="BX27" i="72"/>
  <c r="BL27" i="72"/>
  <c r="BT27" i="72"/>
  <c r="BM27" i="72"/>
  <c r="BU27" i="72"/>
  <c r="BG27" i="72"/>
  <c r="BO27" i="72"/>
  <c r="BW27" i="72"/>
  <c r="BR27" i="72"/>
  <c r="BS27" i="72"/>
  <c r="BV27" i="72"/>
  <c r="BI27" i="72"/>
  <c r="BY27" i="72"/>
  <c r="BJ27" i="72"/>
  <c r="BZ27" i="72"/>
  <c r="BK27" i="72"/>
  <c r="BN27" i="72"/>
  <c r="BQ27" i="72"/>
  <c r="CL27" i="67"/>
  <c r="CI27" i="67"/>
  <c r="CS27" i="67"/>
  <c r="CK27" i="67"/>
  <c r="CT27" i="67"/>
  <c r="CM27" i="67"/>
  <c r="CU27" i="67"/>
  <c r="CN27" i="67"/>
  <c r="CV27" i="67"/>
  <c r="CD27" i="67"/>
  <c r="CO27" i="67"/>
  <c r="CW27" i="67"/>
  <c r="CF27" i="67"/>
  <c r="CP27" i="67"/>
  <c r="CR27" i="67"/>
  <c r="CG27" i="67"/>
  <c r="CH27" i="67"/>
  <c r="CQ27" i="67"/>
  <c r="BG27" i="67"/>
  <c r="BQ27" i="67"/>
  <c r="BY27" i="67"/>
  <c r="BI27" i="67"/>
  <c r="BR27" i="67"/>
  <c r="BZ27" i="67"/>
  <c r="BK27" i="67"/>
  <c r="BT27" i="67"/>
  <c r="BL27" i="67"/>
  <c r="BU27" i="67"/>
  <c r="BN27" i="67"/>
  <c r="BV27" i="67"/>
  <c r="BO27" i="67"/>
  <c r="BW27" i="67"/>
  <c r="BP27" i="67"/>
  <c r="BX27" i="67"/>
  <c r="BJ27" i="67"/>
  <c r="BS27" i="67"/>
  <c r="BM27" i="67"/>
  <c r="BH27" i="67"/>
  <c r="CJ27" i="67"/>
  <c r="CE27" i="67"/>
  <c r="CX27" i="73"/>
  <c r="P27" i="73" s="1"/>
  <c r="CX26" i="72"/>
  <c r="AL17" i="23"/>
  <c r="Q17" i="25" s="1"/>
  <c r="CL28" i="71"/>
  <c r="CK28" i="71"/>
  <c r="CT28" i="71"/>
  <c r="CH28" i="71"/>
  <c r="CR28" i="71"/>
  <c r="CI28" i="71"/>
  <c r="CS28" i="71"/>
  <c r="CJ28" i="71"/>
  <c r="CU28" i="71"/>
  <c r="CM28" i="71"/>
  <c r="CV28" i="71"/>
  <c r="CN28" i="71"/>
  <c r="CW28" i="71"/>
  <c r="CD28" i="71"/>
  <c r="CO28" i="71"/>
  <c r="CE28" i="71"/>
  <c r="CP28" i="71"/>
  <c r="CF28" i="71"/>
  <c r="CQ28" i="71"/>
  <c r="BK28" i="71"/>
  <c r="BS28" i="71"/>
  <c r="BL28" i="71"/>
  <c r="BT28" i="71"/>
  <c r="BM28" i="71"/>
  <c r="BU28" i="71"/>
  <c r="BN28" i="71"/>
  <c r="BV28" i="71"/>
  <c r="BO28" i="71"/>
  <c r="BW28" i="71"/>
  <c r="BG28" i="71"/>
  <c r="BP28" i="71"/>
  <c r="BX28" i="71"/>
  <c r="BH28" i="71"/>
  <c r="BQ28" i="71"/>
  <c r="BY28" i="71"/>
  <c r="BI28" i="71"/>
  <c r="BR28" i="71"/>
  <c r="BZ28" i="71"/>
  <c r="CG28" i="71"/>
  <c r="BJ28" i="71"/>
  <c r="CX26" i="70"/>
  <c r="CX27" i="69"/>
  <c r="AT17" i="23"/>
  <c r="AA17" i="25" s="1"/>
  <c r="CL28" i="73"/>
  <c r="CJ28" i="73"/>
  <c r="CS28" i="73"/>
  <c r="CK28" i="73"/>
  <c r="CT28" i="73"/>
  <c r="CD28" i="73"/>
  <c r="CM28" i="73"/>
  <c r="CU28" i="73"/>
  <c r="CE28" i="73"/>
  <c r="CN28" i="73"/>
  <c r="CV28" i="73"/>
  <c r="CF28" i="73"/>
  <c r="CO28" i="73"/>
  <c r="CW28" i="73"/>
  <c r="CG28" i="73"/>
  <c r="CP28" i="73"/>
  <c r="CH28" i="73"/>
  <c r="CQ28" i="73"/>
  <c r="CI28" i="73"/>
  <c r="CR28" i="73"/>
  <c r="BL28" i="73"/>
  <c r="BT28" i="73"/>
  <c r="BM28" i="73"/>
  <c r="BU28" i="73"/>
  <c r="BN28" i="73"/>
  <c r="BV28" i="73"/>
  <c r="BG28" i="73"/>
  <c r="BO28" i="73"/>
  <c r="BW28" i="73"/>
  <c r="BH28" i="73"/>
  <c r="BP28" i="73"/>
  <c r="BX28" i="73"/>
  <c r="BJ28" i="73"/>
  <c r="BQ28" i="73"/>
  <c r="BR28" i="73"/>
  <c r="BS28" i="73"/>
  <c r="BY28" i="73"/>
  <c r="BZ28" i="73"/>
  <c r="BI28" i="73"/>
  <c r="BK28" i="73"/>
  <c r="CL27" i="70"/>
  <c r="CJ27" i="70"/>
  <c r="CS27" i="70"/>
  <c r="CK27" i="70"/>
  <c r="CT27" i="70"/>
  <c r="CH27" i="70"/>
  <c r="CU27" i="70"/>
  <c r="CI27" i="70"/>
  <c r="CV27" i="70"/>
  <c r="CM27" i="70"/>
  <c r="CW27" i="70"/>
  <c r="CN27" i="70"/>
  <c r="CD27" i="70"/>
  <c r="CO27" i="70"/>
  <c r="CE27" i="70"/>
  <c r="CP27" i="70"/>
  <c r="CF27" i="70"/>
  <c r="CQ27" i="70"/>
  <c r="CG27" i="70"/>
  <c r="CR27" i="70"/>
  <c r="BG27" i="70"/>
  <c r="BO27" i="70"/>
  <c r="BW27" i="70"/>
  <c r="BH27" i="70"/>
  <c r="BP27" i="70"/>
  <c r="BX27" i="70"/>
  <c r="BJ27" i="70"/>
  <c r="BR27" i="70"/>
  <c r="BZ27" i="70"/>
  <c r="BK27" i="70"/>
  <c r="BS27" i="70"/>
  <c r="BU27" i="70"/>
  <c r="BV27" i="70"/>
  <c r="BL27" i="70"/>
  <c r="BM27" i="70"/>
  <c r="BN27" i="70"/>
  <c r="BQ27" i="70"/>
  <c r="BT27" i="70"/>
  <c r="BI27" i="70"/>
  <c r="BY27" i="70"/>
  <c r="CX27" i="71"/>
  <c r="CX26" i="67"/>
  <c r="N17" i="23"/>
  <c r="Q17" i="24" s="1"/>
  <c r="CL28" i="65"/>
  <c r="CM28" i="65"/>
  <c r="CU28" i="65"/>
  <c r="CD28" i="65"/>
  <c r="CN28" i="65"/>
  <c r="CV28" i="65"/>
  <c r="CE28" i="65"/>
  <c r="CO28" i="65"/>
  <c r="CW28" i="65"/>
  <c r="CF28" i="65"/>
  <c r="CP28" i="65"/>
  <c r="CG28" i="65"/>
  <c r="CQ28" i="65"/>
  <c r="CI28" i="65"/>
  <c r="CR28" i="65"/>
  <c r="CJ28" i="65"/>
  <c r="CK28" i="65"/>
  <c r="CS28" i="65"/>
  <c r="CT28" i="65"/>
  <c r="BI28" i="65"/>
  <c r="BR28" i="65"/>
  <c r="BZ28" i="65"/>
  <c r="BJ28" i="65"/>
  <c r="BS28" i="65"/>
  <c r="BL28" i="65"/>
  <c r="BT28" i="65"/>
  <c r="BM28" i="65"/>
  <c r="BU28" i="65"/>
  <c r="BN28" i="65"/>
  <c r="BV28" i="65"/>
  <c r="BO28" i="65"/>
  <c r="BW28" i="65"/>
  <c r="BG28" i="65"/>
  <c r="BP28" i="65"/>
  <c r="BX28" i="65"/>
  <c r="BH28" i="65"/>
  <c r="BQ28" i="65"/>
  <c r="BY28" i="65"/>
  <c r="CH28" i="65"/>
  <c r="BK28" i="65"/>
  <c r="CX27" i="63"/>
  <c r="CX26" i="66"/>
  <c r="CX27" i="64"/>
  <c r="CX27" i="65"/>
  <c r="F17" i="23"/>
  <c r="G17" i="24" s="1"/>
  <c r="CL28" i="63"/>
  <c r="CE28" i="63"/>
  <c r="CN28" i="63"/>
  <c r="CV28" i="63"/>
  <c r="CF28" i="63"/>
  <c r="CO28" i="63"/>
  <c r="CW28" i="63"/>
  <c r="CG28" i="63"/>
  <c r="CP28" i="63"/>
  <c r="CH28" i="63"/>
  <c r="CQ28" i="63"/>
  <c r="CI28" i="63"/>
  <c r="CR28" i="63"/>
  <c r="CT28" i="63"/>
  <c r="CU28" i="63"/>
  <c r="CD28" i="63"/>
  <c r="CJ28" i="63"/>
  <c r="CK28" i="63"/>
  <c r="CM28" i="63"/>
  <c r="CS28" i="63"/>
  <c r="BG28" i="63"/>
  <c r="BO28" i="63"/>
  <c r="BW28" i="63"/>
  <c r="BH28" i="63"/>
  <c r="BP28" i="63"/>
  <c r="BX28" i="63"/>
  <c r="BI28" i="63"/>
  <c r="BQ28" i="63"/>
  <c r="BY28" i="63"/>
  <c r="BJ28" i="63"/>
  <c r="BR28" i="63"/>
  <c r="BZ28" i="63"/>
  <c r="BK28" i="63"/>
  <c r="BS28" i="63"/>
  <c r="BL28" i="63"/>
  <c r="BT28" i="63"/>
  <c r="BM28" i="63"/>
  <c r="BN28" i="63"/>
  <c r="BU28" i="63"/>
  <c r="BV28" i="63"/>
  <c r="J17" i="23"/>
  <c r="L17" i="24" s="1"/>
  <c r="CL28" i="64"/>
  <c r="CH28" i="64"/>
  <c r="CQ28" i="64"/>
  <c r="CI28" i="64"/>
  <c r="CR28" i="64"/>
  <c r="CJ28" i="64"/>
  <c r="CS28" i="64"/>
  <c r="CK28" i="64"/>
  <c r="CT28" i="64"/>
  <c r="CD28" i="64"/>
  <c r="CM28" i="64"/>
  <c r="CU28" i="64"/>
  <c r="CE28" i="64"/>
  <c r="CN28" i="64"/>
  <c r="CV28" i="64"/>
  <c r="CF28" i="64"/>
  <c r="CO28" i="64"/>
  <c r="CW28" i="64"/>
  <c r="CG28" i="64"/>
  <c r="CP28" i="64"/>
  <c r="BG28" i="64"/>
  <c r="BO28" i="64"/>
  <c r="BW28" i="64"/>
  <c r="BH28" i="64"/>
  <c r="BP28" i="64"/>
  <c r="BX28" i="64"/>
  <c r="BI28" i="64"/>
  <c r="BQ28" i="64"/>
  <c r="BY28" i="64"/>
  <c r="BJ28" i="64"/>
  <c r="BR28" i="64"/>
  <c r="BZ28" i="64"/>
  <c r="BK28" i="64"/>
  <c r="BS28" i="64"/>
  <c r="BL28" i="64"/>
  <c r="BT28" i="64"/>
  <c r="BU28" i="64"/>
  <c r="BV28" i="64"/>
  <c r="BM28" i="64"/>
  <c r="BN28" i="64"/>
  <c r="CL27" i="66"/>
  <c r="CF27" i="66"/>
  <c r="CO27" i="66"/>
  <c r="CW27" i="66"/>
  <c r="CG27" i="66"/>
  <c r="CP27" i="66"/>
  <c r="CH27" i="66"/>
  <c r="CQ27" i="66"/>
  <c r="CI27" i="66"/>
  <c r="CR27" i="66"/>
  <c r="CJ27" i="66"/>
  <c r="CS27" i="66"/>
  <c r="CK27" i="66"/>
  <c r="CT27" i="66"/>
  <c r="CD27" i="66"/>
  <c r="CM27" i="66"/>
  <c r="CU27" i="66"/>
  <c r="CE27" i="66"/>
  <c r="CN27" i="66"/>
  <c r="CV27" i="66"/>
  <c r="BH27" i="66"/>
  <c r="BP27" i="66"/>
  <c r="BX27" i="66"/>
  <c r="BI27" i="66"/>
  <c r="BQ27" i="66"/>
  <c r="BY27" i="66"/>
  <c r="BJ27" i="66"/>
  <c r="BR27" i="66"/>
  <c r="BZ27" i="66"/>
  <c r="BK27" i="66"/>
  <c r="BS27" i="66"/>
  <c r="BL27" i="66"/>
  <c r="BT27" i="66"/>
  <c r="BM27" i="66"/>
  <c r="BU27" i="66"/>
  <c r="BN27" i="66"/>
  <c r="BV27" i="66"/>
  <c r="BG27" i="66"/>
  <c r="BO27" i="66"/>
  <c r="BW27" i="66"/>
  <c r="AB16" i="23"/>
  <c r="E16" i="25" s="1"/>
  <c r="CX27" i="68"/>
  <c r="P27" i="68" s="1"/>
  <c r="Z17" i="23"/>
  <c r="B17" i="25" s="1"/>
  <c r="CL28" i="68"/>
  <c r="CI28" i="68"/>
  <c r="CR28" i="68"/>
  <c r="CJ28" i="68"/>
  <c r="CS28" i="68"/>
  <c r="CK28" i="68"/>
  <c r="CT28" i="68"/>
  <c r="CD28" i="68"/>
  <c r="CM28" i="68"/>
  <c r="CU28" i="68"/>
  <c r="CE28" i="68"/>
  <c r="CN28" i="68"/>
  <c r="CV28" i="68"/>
  <c r="CF28" i="68"/>
  <c r="CO28" i="68"/>
  <c r="CW28" i="68"/>
  <c r="CG28" i="68"/>
  <c r="CP28" i="68"/>
  <c r="CH28" i="68"/>
  <c r="CQ28" i="68"/>
  <c r="BH28" i="68"/>
  <c r="BP28" i="68"/>
  <c r="BX28" i="68"/>
  <c r="BI28" i="68"/>
  <c r="BQ28" i="68"/>
  <c r="BY28" i="68"/>
  <c r="BJ28" i="68"/>
  <c r="BR28" i="68"/>
  <c r="BZ28" i="68"/>
  <c r="BK28" i="68"/>
  <c r="BS28" i="68"/>
  <c r="BL28" i="68"/>
  <c r="BT28" i="68"/>
  <c r="BM28" i="68"/>
  <c r="BU28" i="68"/>
  <c r="BN28" i="68"/>
  <c r="BV28" i="68"/>
  <c r="BG28" i="68"/>
  <c r="BO28" i="68"/>
  <c r="BW28" i="68"/>
  <c r="AJ15" i="23"/>
  <c r="O15" i="25"/>
  <c r="AH16" i="23"/>
  <c r="L16" i="25" s="1"/>
  <c r="AJ27" i="70"/>
  <c r="AM27" i="70"/>
  <c r="AK27" i="70"/>
  <c r="AZ27" i="70"/>
  <c r="AV27" i="70"/>
  <c r="AW27" i="70"/>
  <c r="AR27" i="70"/>
  <c r="AN27" i="70"/>
  <c r="D27" i="70"/>
  <c r="AO27" i="70"/>
  <c r="AG27" i="70"/>
  <c r="AS27" i="70"/>
  <c r="AL27" i="70"/>
  <c r="AX27" i="70"/>
  <c r="AI27" i="70"/>
  <c r="AP27" i="70"/>
  <c r="AQ27" i="70"/>
  <c r="AH27" i="70"/>
  <c r="AT27" i="70"/>
  <c r="AY27" i="70"/>
  <c r="AU27" i="70"/>
  <c r="AG17" i="23"/>
  <c r="K17" i="25" s="1"/>
  <c r="B28" i="70"/>
  <c r="A29" i="70"/>
  <c r="BA26" i="70"/>
  <c r="N26" i="70" s="1"/>
  <c r="BB26" i="70"/>
  <c r="BA26" i="67"/>
  <c r="N26" i="67" s="1"/>
  <c r="BB26" i="67"/>
  <c r="AD16" i="25"/>
  <c r="AV16" i="23"/>
  <c r="T16" i="25"/>
  <c r="AN16" i="23"/>
  <c r="V16" i="23"/>
  <c r="AA16" i="24" s="1"/>
  <c r="AH27" i="67"/>
  <c r="AQ27" i="67"/>
  <c r="AV27" i="67"/>
  <c r="AR27" i="67"/>
  <c r="AP27" i="67"/>
  <c r="AN27" i="67"/>
  <c r="AY27" i="67"/>
  <c r="AW27" i="67"/>
  <c r="AU27" i="67"/>
  <c r="AS27" i="67"/>
  <c r="AO27" i="67"/>
  <c r="AM27" i="67"/>
  <c r="AI27" i="67"/>
  <c r="AJ27" i="67"/>
  <c r="AT27" i="67"/>
  <c r="AK27" i="67"/>
  <c r="AG27" i="67"/>
  <c r="D27" i="67"/>
  <c r="X16" i="23" s="1"/>
  <c r="AD16" i="24" s="1"/>
  <c r="AZ27" i="67"/>
  <c r="AX27" i="67"/>
  <c r="AL27" i="67"/>
  <c r="U17" i="23"/>
  <c r="Z17" i="24" s="1"/>
  <c r="A29" i="67"/>
  <c r="B28" i="67"/>
  <c r="J16" i="25"/>
  <c r="AF16" i="23"/>
  <c r="Y15" i="25"/>
  <c r="AR15" i="23"/>
  <c r="R16" i="23"/>
  <c r="V16" i="24" s="1"/>
  <c r="AX27" i="66"/>
  <c r="AG27" i="66"/>
  <c r="AU27" i="66"/>
  <c r="AP27" i="66"/>
  <c r="AM27" i="66"/>
  <c r="AV27" i="66"/>
  <c r="AS27" i="66"/>
  <c r="AZ27" i="66"/>
  <c r="AY27" i="66"/>
  <c r="AH27" i="66"/>
  <c r="AK27" i="66"/>
  <c r="AR27" i="66"/>
  <c r="AQ27" i="66"/>
  <c r="AT27" i="66"/>
  <c r="D27" i="66"/>
  <c r="T16" i="23" s="1"/>
  <c r="Y16" i="24" s="1"/>
  <c r="AJ27" i="66"/>
  <c r="AI27" i="66"/>
  <c r="AL27" i="66"/>
  <c r="AN27" i="66"/>
  <c r="AO27" i="66"/>
  <c r="AW27" i="66"/>
  <c r="Q17" i="23"/>
  <c r="U17" i="24" s="1"/>
  <c r="A29" i="66"/>
  <c r="B28" i="66"/>
  <c r="BB26" i="66"/>
  <c r="BA26" i="66"/>
  <c r="N26" i="66" s="1"/>
  <c r="A30" i="73"/>
  <c r="AS19" i="23" s="1"/>
  <c r="Z19" i="25" s="1"/>
  <c r="B29" i="73"/>
  <c r="CA27" i="73"/>
  <c r="O27" i="73" s="1"/>
  <c r="AT28" i="73"/>
  <c r="AL28" i="73"/>
  <c r="AS28" i="73"/>
  <c r="AK28" i="73"/>
  <c r="D28" i="73"/>
  <c r="AZ28" i="73"/>
  <c r="AR28" i="73"/>
  <c r="AJ28" i="73"/>
  <c r="AY28" i="73"/>
  <c r="AQ28" i="73"/>
  <c r="AI28" i="73"/>
  <c r="AX28" i="73"/>
  <c r="AP28" i="73"/>
  <c r="AH28" i="73"/>
  <c r="AW28" i="73"/>
  <c r="AO28" i="73"/>
  <c r="AG28" i="73"/>
  <c r="AN28" i="73"/>
  <c r="AM28" i="73"/>
  <c r="AV28" i="73"/>
  <c r="AU28" i="73"/>
  <c r="BB27" i="73"/>
  <c r="BA27" i="73"/>
  <c r="N27" i="73" s="1"/>
  <c r="BB26" i="72"/>
  <c r="BA26" i="72"/>
  <c r="N26" i="72" s="1"/>
  <c r="Y26" i="72" s="1"/>
  <c r="B28" i="72"/>
  <c r="A29" i="72"/>
  <c r="AO18" i="23" s="1"/>
  <c r="U18" i="25" s="1"/>
  <c r="AZ27" i="72"/>
  <c r="AR27" i="72"/>
  <c r="AJ27" i="72"/>
  <c r="AY27" i="72"/>
  <c r="AQ27" i="72"/>
  <c r="AI27" i="72"/>
  <c r="AX27" i="72"/>
  <c r="AP27" i="72"/>
  <c r="AH27" i="72"/>
  <c r="AW27" i="72"/>
  <c r="AO27" i="72"/>
  <c r="AG27" i="72"/>
  <c r="AT27" i="72"/>
  <c r="D27" i="72"/>
  <c r="AN27" i="72"/>
  <c r="AM27" i="72"/>
  <c r="AL27" i="72"/>
  <c r="AK27" i="72"/>
  <c r="AV27" i="72"/>
  <c r="AU27" i="72"/>
  <c r="AS27" i="72"/>
  <c r="AY28" i="71"/>
  <c r="AQ28" i="71"/>
  <c r="AI28" i="71"/>
  <c r="AX28" i="71"/>
  <c r="AP28" i="71"/>
  <c r="AH28" i="71"/>
  <c r="AS28" i="71"/>
  <c r="AG28" i="71"/>
  <c r="AR28" i="71"/>
  <c r="AO28" i="71"/>
  <c r="AZ28" i="71"/>
  <c r="AN28" i="71"/>
  <c r="AW28" i="71"/>
  <c r="AM28" i="71"/>
  <c r="D28" i="71"/>
  <c r="AV28" i="71"/>
  <c r="AL28" i="71"/>
  <c r="AT28" i="71"/>
  <c r="AJ28" i="71"/>
  <c r="AU28" i="71"/>
  <c r="AK28" i="71"/>
  <c r="A30" i="71"/>
  <c r="AK19" i="23" s="1"/>
  <c r="P19" i="25" s="1"/>
  <c r="B29" i="71"/>
  <c r="BB27" i="71"/>
  <c r="BA27" i="71"/>
  <c r="N27" i="71" s="1"/>
  <c r="Y26" i="71" s="1"/>
  <c r="CA27" i="71"/>
  <c r="O27" i="71" s="1"/>
  <c r="AX28" i="69"/>
  <c r="AP28" i="69"/>
  <c r="AH28" i="69"/>
  <c r="AW28" i="69"/>
  <c r="AO28" i="69"/>
  <c r="AG28" i="69"/>
  <c r="AV28" i="69"/>
  <c r="AN28" i="69"/>
  <c r="AU28" i="69"/>
  <c r="AM28" i="69"/>
  <c r="AT28" i="69"/>
  <c r="AL28" i="69"/>
  <c r="AS28" i="69"/>
  <c r="AK28" i="69"/>
  <c r="D28" i="69"/>
  <c r="AZ28" i="69"/>
  <c r="AR28" i="69"/>
  <c r="AJ28" i="69"/>
  <c r="AY28" i="69"/>
  <c r="AQ28" i="69"/>
  <c r="AI28" i="69"/>
  <c r="A30" i="69"/>
  <c r="AC19" i="23" s="1"/>
  <c r="F19" i="25" s="1"/>
  <c r="B29" i="69"/>
  <c r="BB27" i="69"/>
  <c r="BA27" i="69"/>
  <c r="N27" i="69" s="1"/>
  <c r="BB27" i="68"/>
  <c r="BA27" i="68"/>
  <c r="N27" i="68" s="1"/>
  <c r="CA27" i="68"/>
  <c r="O27" i="68" s="1"/>
  <c r="AX28" i="68"/>
  <c r="AP28" i="68"/>
  <c r="AH28" i="68"/>
  <c r="AW28" i="68"/>
  <c r="AO28" i="68"/>
  <c r="AG28" i="68"/>
  <c r="AV28" i="68"/>
  <c r="AN28" i="68"/>
  <c r="AU28" i="68"/>
  <c r="AM28" i="68"/>
  <c r="AT28" i="68"/>
  <c r="AL28" i="68"/>
  <c r="AS28" i="68"/>
  <c r="AK28" i="68"/>
  <c r="D28" i="68"/>
  <c r="AZ28" i="68"/>
  <c r="AR28" i="68"/>
  <c r="AJ28" i="68"/>
  <c r="AY28" i="68"/>
  <c r="AQ28" i="68"/>
  <c r="AI28" i="68"/>
  <c r="B29" i="68"/>
  <c r="A30" i="68"/>
  <c r="Y19" i="23" s="1"/>
  <c r="A19" i="25" s="1"/>
  <c r="BB27" i="65"/>
  <c r="BA27" i="65"/>
  <c r="N27" i="65" s="1"/>
  <c r="B29" i="65"/>
  <c r="A30" i="65"/>
  <c r="M19" i="23" s="1"/>
  <c r="P19" i="24" s="1"/>
  <c r="AZ28" i="65"/>
  <c r="AR28" i="65"/>
  <c r="AJ28" i="65"/>
  <c r="AY28" i="65"/>
  <c r="AQ28" i="65"/>
  <c r="AI28" i="65"/>
  <c r="AX28" i="65"/>
  <c r="AP28" i="65"/>
  <c r="AH28" i="65"/>
  <c r="AW28" i="65"/>
  <c r="AO28" i="65"/>
  <c r="AG28" i="65"/>
  <c r="AV28" i="65"/>
  <c r="AN28" i="65"/>
  <c r="AU28" i="65"/>
  <c r="AM28" i="65"/>
  <c r="AT28" i="65"/>
  <c r="AL28" i="65"/>
  <c r="AS28" i="65"/>
  <c r="AK28" i="65"/>
  <c r="D28" i="65"/>
  <c r="P17" i="23" s="1"/>
  <c r="T17" i="24" s="1"/>
  <c r="AY28" i="64"/>
  <c r="AQ28" i="64"/>
  <c r="AI28" i="64"/>
  <c r="AX28" i="64"/>
  <c r="AP28" i="64"/>
  <c r="AW28" i="64"/>
  <c r="AO28" i="64"/>
  <c r="AV28" i="64"/>
  <c r="AN28" i="64"/>
  <c r="AR28" i="64"/>
  <c r="AM28" i="64"/>
  <c r="D28" i="64"/>
  <c r="L17" i="23" s="1"/>
  <c r="O17" i="24" s="1"/>
  <c r="AL28" i="64"/>
  <c r="AK28" i="64"/>
  <c r="AZ28" i="64"/>
  <c r="AJ28" i="64"/>
  <c r="AU28" i="64"/>
  <c r="AH28" i="64"/>
  <c r="AT28" i="64"/>
  <c r="AG28" i="64"/>
  <c r="AS28" i="64"/>
  <c r="B29" i="64"/>
  <c r="A30" i="64"/>
  <c r="I19" i="23" s="1"/>
  <c r="K19" i="24" s="1"/>
  <c r="BB27" i="64"/>
  <c r="BA27" i="64"/>
  <c r="N27" i="64" s="1"/>
  <c r="A30" i="63"/>
  <c r="E19" i="23" s="1"/>
  <c r="F19" i="24" s="1"/>
  <c r="B29" i="63"/>
  <c r="AS28" i="63"/>
  <c r="AK28" i="63"/>
  <c r="D28" i="63"/>
  <c r="H17" i="23" s="1"/>
  <c r="J17" i="24" s="1"/>
  <c r="AZ28" i="63"/>
  <c r="AR28" i="63"/>
  <c r="AJ28" i="63"/>
  <c r="AY28" i="63"/>
  <c r="AQ28" i="63"/>
  <c r="AI28" i="63"/>
  <c r="AX28" i="63"/>
  <c r="AP28" i="63"/>
  <c r="AH28" i="63"/>
  <c r="AW28" i="63"/>
  <c r="AO28" i="63"/>
  <c r="AG28" i="63"/>
  <c r="AV28" i="63"/>
  <c r="AN28" i="63"/>
  <c r="AU28" i="63"/>
  <c r="AM28" i="63"/>
  <c r="AT28" i="63"/>
  <c r="AL28" i="63"/>
  <c r="BB27" i="63"/>
  <c r="BA27" i="63"/>
  <c r="N27" i="63" s="1"/>
  <c r="Y27" i="63" s="1"/>
  <c r="Q27" i="73" l="1"/>
  <c r="Q27" i="68"/>
  <c r="FN26" i="71"/>
  <c r="FL26" i="71"/>
  <c r="CX27" i="70"/>
  <c r="FN26" i="72"/>
  <c r="FL26" i="72"/>
  <c r="FN27" i="63"/>
  <c r="FL27" i="63"/>
  <c r="CX27" i="72"/>
  <c r="AL18" i="23"/>
  <c r="Q18" i="25" s="1"/>
  <c r="CL29" i="71"/>
  <c r="CI29" i="71"/>
  <c r="CS29" i="71"/>
  <c r="CG29" i="71"/>
  <c r="CT29" i="71"/>
  <c r="CJ29" i="71"/>
  <c r="CU29" i="71"/>
  <c r="CK29" i="71"/>
  <c r="CV29" i="71"/>
  <c r="CN29" i="71"/>
  <c r="CD29" i="71"/>
  <c r="CP29" i="71"/>
  <c r="CE29" i="71"/>
  <c r="CQ29" i="71"/>
  <c r="CF29" i="71"/>
  <c r="CR29" i="71"/>
  <c r="CO29" i="71"/>
  <c r="CW29" i="71"/>
  <c r="BG29" i="71"/>
  <c r="BQ29" i="71"/>
  <c r="BY29" i="71"/>
  <c r="BH29" i="71"/>
  <c r="BR29" i="71"/>
  <c r="BZ29" i="71"/>
  <c r="BI29" i="71"/>
  <c r="BS29" i="71"/>
  <c r="BJ29" i="71"/>
  <c r="BT29" i="71"/>
  <c r="BL29" i="71"/>
  <c r="BU29" i="71"/>
  <c r="BM29" i="71"/>
  <c r="BV29" i="71"/>
  <c r="BN29" i="71"/>
  <c r="BW29" i="71"/>
  <c r="BO29" i="71"/>
  <c r="BX29" i="71"/>
  <c r="CH29" i="71"/>
  <c r="BP29" i="71"/>
  <c r="BK29" i="71"/>
  <c r="CM29" i="71"/>
  <c r="AT18" i="23"/>
  <c r="AA18" i="25" s="1"/>
  <c r="CL29" i="73"/>
  <c r="CG29" i="73"/>
  <c r="CP29" i="73"/>
  <c r="CH29" i="73"/>
  <c r="CQ29" i="73"/>
  <c r="CI29" i="73"/>
  <c r="CR29" i="73"/>
  <c r="CJ29" i="73"/>
  <c r="CS29" i="73"/>
  <c r="CK29" i="73"/>
  <c r="CT29" i="73"/>
  <c r="CD29" i="73"/>
  <c r="CM29" i="73"/>
  <c r="CU29" i="73"/>
  <c r="CE29" i="73"/>
  <c r="CN29" i="73"/>
  <c r="CV29" i="73"/>
  <c r="CF29" i="73"/>
  <c r="CO29" i="73"/>
  <c r="CW29" i="73"/>
  <c r="BH29" i="73"/>
  <c r="BP29" i="73"/>
  <c r="BX29" i="73"/>
  <c r="BI29" i="73"/>
  <c r="BQ29" i="73"/>
  <c r="BY29" i="73"/>
  <c r="BJ29" i="73"/>
  <c r="BR29" i="73"/>
  <c r="BZ29" i="73"/>
  <c r="BK29" i="73"/>
  <c r="BS29" i="73"/>
  <c r="BL29" i="73"/>
  <c r="BT29" i="73"/>
  <c r="BM29" i="73"/>
  <c r="BO29" i="73"/>
  <c r="BU29" i="73"/>
  <c r="BV29" i="73"/>
  <c r="BW29" i="73"/>
  <c r="BG29" i="73"/>
  <c r="BN29" i="73"/>
  <c r="CX28" i="73"/>
  <c r="P28" i="73" s="1"/>
  <c r="CX28" i="69"/>
  <c r="CX27" i="67"/>
  <c r="CL28" i="67"/>
  <c r="CH28" i="67"/>
  <c r="CR28" i="67"/>
  <c r="CI28" i="67"/>
  <c r="CS28" i="67"/>
  <c r="CJ28" i="67"/>
  <c r="CT28" i="67"/>
  <c r="CM28" i="67"/>
  <c r="CU28" i="67"/>
  <c r="CN28" i="67"/>
  <c r="CV28" i="67"/>
  <c r="CD28" i="67"/>
  <c r="CO28" i="67"/>
  <c r="CW28" i="67"/>
  <c r="CE28" i="67"/>
  <c r="CG28" i="67"/>
  <c r="CP28" i="67"/>
  <c r="CQ28" i="67"/>
  <c r="BO28" i="67"/>
  <c r="BW28" i="67"/>
  <c r="BP28" i="67"/>
  <c r="BX28" i="67"/>
  <c r="BH28" i="67"/>
  <c r="BR28" i="67"/>
  <c r="BZ28" i="67"/>
  <c r="BJ28" i="67"/>
  <c r="BS28" i="67"/>
  <c r="BK28" i="67"/>
  <c r="BT28" i="67"/>
  <c r="BL28" i="67"/>
  <c r="BU28" i="67"/>
  <c r="BM28" i="67"/>
  <c r="BV28" i="67"/>
  <c r="BG28" i="67"/>
  <c r="BQ28" i="67"/>
  <c r="BY28" i="67"/>
  <c r="CK28" i="67"/>
  <c r="CF28" i="67"/>
  <c r="BI28" i="67"/>
  <c r="BN28" i="67"/>
  <c r="CX28" i="71"/>
  <c r="AP17" i="23"/>
  <c r="V17" i="25" s="1"/>
  <c r="CL28" i="72"/>
  <c r="CG28" i="72"/>
  <c r="CP28" i="72"/>
  <c r="CH28" i="72"/>
  <c r="CQ28" i="72"/>
  <c r="CI28" i="72"/>
  <c r="CR28" i="72"/>
  <c r="CD28" i="72"/>
  <c r="CS28" i="72"/>
  <c r="CE28" i="72"/>
  <c r="CT28" i="72"/>
  <c r="CF28" i="72"/>
  <c r="CU28" i="72"/>
  <c r="CJ28" i="72"/>
  <c r="CV28" i="72"/>
  <c r="CK28" i="72"/>
  <c r="CW28" i="72"/>
  <c r="CM28" i="72"/>
  <c r="CN28" i="72"/>
  <c r="CO28" i="72"/>
  <c r="BL28" i="72"/>
  <c r="BT28" i="72"/>
  <c r="BH28" i="72"/>
  <c r="BI28" i="72"/>
  <c r="BQ28" i="72"/>
  <c r="BY28" i="72"/>
  <c r="BK28" i="72"/>
  <c r="BS28" i="72"/>
  <c r="BN28" i="72"/>
  <c r="BZ28" i="72"/>
  <c r="BO28" i="72"/>
  <c r="BP28" i="72"/>
  <c r="BR28" i="72"/>
  <c r="BU28" i="72"/>
  <c r="BG28" i="72"/>
  <c r="BV28" i="72"/>
  <c r="BJ28" i="72"/>
  <c r="BW28" i="72"/>
  <c r="BM28" i="72"/>
  <c r="BX28" i="72"/>
  <c r="AD18" i="23"/>
  <c r="G18" i="25" s="1"/>
  <c r="CL29" i="69"/>
  <c r="CE29" i="69"/>
  <c r="CN29" i="69"/>
  <c r="CV29" i="69"/>
  <c r="CF29" i="69"/>
  <c r="CO29" i="69"/>
  <c r="CW29" i="69"/>
  <c r="CG29" i="69"/>
  <c r="CP29" i="69"/>
  <c r="CR29" i="69"/>
  <c r="CD29" i="69"/>
  <c r="CS29" i="69"/>
  <c r="CH29" i="69"/>
  <c r="CT29" i="69"/>
  <c r="CI29" i="69"/>
  <c r="CU29" i="69"/>
  <c r="CJ29" i="69"/>
  <c r="CK29" i="69"/>
  <c r="CM29" i="69"/>
  <c r="CQ29" i="69"/>
  <c r="BI29" i="69"/>
  <c r="BQ29" i="69"/>
  <c r="BY29" i="69"/>
  <c r="BJ29" i="69"/>
  <c r="BR29" i="69"/>
  <c r="BZ29" i="69"/>
  <c r="BL29" i="69"/>
  <c r="BT29" i="69"/>
  <c r="BM29" i="69"/>
  <c r="BU29" i="69"/>
  <c r="BN29" i="69"/>
  <c r="BV29" i="69"/>
  <c r="BG29" i="69"/>
  <c r="BO29" i="69"/>
  <c r="BW29" i="69"/>
  <c r="BH29" i="69"/>
  <c r="BP29" i="69"/>
  <c r="BX29" i="69"/>
  <c r="BS29" i="69"/>
  <c r="BK29" i="69"/>
  <c r="CL28" i="70"/>
  <c r="CG28" i="70"/>
  <c r="CP28" i="70"/>
  <c r="CH28" i="70"/>
  <c r="CQ28" i="70"/>
  <c r="CK28" i="70"/>
  <c r="CV28" i="70"/>
  <c r="CM28" i="70"/>
  <c r="CW28" i="70"/>
  <c r="CN28" i="70"/>
  <c r="CD28" i="70"/>
  <c r="CO28" i="70"/>
  <c r="CE28" i="70"/>
  <c r="CR28" i="70"/>
  <c r="CF28" i="70"/>
  <c r="CS28" i="70"/>
  <c r="CI28" i="70"/>
  <c r="CT28" i="70"/>
  <c r="CJ28" i="70"/>
  <c r="CU28" i="70"/>
  <c r="BK28" i="70"/>
  <c r="BS28" i="70"/>
  <c r="BL28" i="70"/>
  <c r="BT28" i="70"/>
  <c r="BN28" i="70"/>
  <c r="BV28" i="70"/>
  <c r="BG28" i="70"/>
  <c r="BO28" i="70"/>
  <c r="BW28" i="70"/>
  <c r="BQ28" i="70"/>
  <c r="BR28" i="70"/>
  <c r="BH28" i="70"/>
  <c r="BX28" i="70"/>
  <c r="BI28" i="70"/>
  <c r="BY28" i="70"/>
  <c r="BJ28" i="70"/>
  <c r="BZ28" i="70"/>
  <c r="BM28" i="70"/>
  <c r="BP28" i="70"/>
  <c r="BU28" i="70"/>
  <c r="F18" i="23"/>
  <c r="G18" i="24" s="1"/>
  <c r="CL29" i="63"/>
  <c r="CK29" i="63"/>
  <c r="CT29" i="63"/>
  <c r="CM29" i="63"/>
  <c r="CU29" i="63"/>
  <c r="CE29" i="63"/>
  <c r="CN29" i="63"/>
  <c r="CV29" i="63"/>
  <c r="CF29" i="63"/>
  <c r="CO29" i="63"/>
  <c r="CW29" i="63"/>
  <c r="CG29" i="63"/>
  <c r="CP29" i="63"/>
  <c r="CH29" i="63"/>
  <c r="CI29" i="63"/>
  <c r="CJ29" i="63"/>
  <c r="CQ29" i="63"/>
  <c r="CR29" i="63"/>
  <c r="CS29" i="63"/>
  <c r="BL29" i="63"/>
  <c r="BT29" i="63"/>
  <c r="BM29" i="63"/>
  <c r="BU29" i="63"/>
  <c r="BN29" i="63"/>
  <c r="BV29" i="63"/>
  <c r="BO29" i="63"/>
  <c r="BW29" i="63"/>
  <c r="BH29" i="63"/>
  <c r="BX29" i="63"/>
  <c r="BI29" i="63"/>
  <c r="BY29" i="63"/>
  <c r="BJ29" i="63"/>
  <c r="BZ29" i="63"/>
  <c r="BK29" i="63"/>
  <c r="BP29" i="63"/>
  <c r="BQ29" i="63"/>
  <c r="BR29" i="63"/>
  <c r="BS29" i="63"/>
  <c r="CD29" i="63"/>
  <c r="BG29" i="63"/>
  <c r="N18" i="23"/>
  <c r="Q18" i="24" s="1"/>
  <c r="CL29" i="65"/>
  <c r="CI29" i="65"/>
  <c r="CR29" i="65"/>
  <c r="CJ29" i="65"/>
  <c r="CS29" i="65"/>
  <c r="CK29" i="65"/>
  <c r="CT29" i="65"/>
  <c r="CD29" i="65"/>
  <c r="CM29" i="65"/>
  <c r="CU29" i="65"/>
  <c r="CE29" i="65"/>
  <c r="CN29" i="65"/>
  <c r="CV29" i="65"/>
  <c r="CF29" i="65"/>
  <c r="CO29" i="65"/>
  <c r="CW29" i="65"/>
  <c r="CP29" i="65"/>
  <c r="CQ29" i="65"/>
  <c r="CG29" i="65"/>
  <c r="CH29" i="65"/>
  <c r="BN29" i="65"/>
  <c r="BV29" i="65"/>
  <c r="BG29" i="65"/>
  <c r="BO29" i="65"/>
  <c r="BW29" i="65"/>
  <c r="BH29" i="65"/>
  <c r="BP29" i="65"/>
  <c r="BX29" i="65"/>
  <c r="BI29" i="65"/>
  <c r="BQ29" i="65"/>
  <c r="BY29" i="65"/>
  <c r="BJ29" i="65"/>
  <c r="BR29" i="65"/>
  <c r="BZ29" i="65"/>
  <c r="BK29" i="65"/>
  <c r="BS29" i="65"/>
  <c r="BL29" i="65"/>
  <c r="BT29" i="65"/>
  <c r="BM29" i="65"/>
  <c r="BU29" i="65"/>
  <c r="CL28" i="66"/>
  <c r="CK28" i="66"/>
  <c r="CT28" i="66"/>
  <c r="CD28" i="66"/>
  <c r="CM28" i="66"/>
  <c r="CU28" i="66"/>
  <c r="CE28" i="66"/>
  <c r="CN28" i="66"/>
  <c r="CV28" i="66"/>
  <c r="CF28" i="66"/>
  <c r="CO28" i="66"/>
  <c r="CW28" i="66"/>
  <c r="CG28" i="66"/>
  <c r="CP28" i="66"/>
  <c r="CH28" i="66"/>
  <c r="CQ28" i="66"/>
  <c r="CI28" i="66"/>
  <c r="CR28" i="66"/>
  <c r="CJ28" i="66"/>
  <c r="CS28" i="66"/>
  <c r="BL28" i="66"/>
  <c r="BT28" i="66"/>
  <c r="BM28" i="66"/>
  <c r="BU28" i="66"/>
  <c r="BN28" i="66"/>
  <c r="BV28" i="66"/>
  <c r="BG28" i="66"/>
  <c r="BO28" i="66"/>
  <c r="BW28" i="66"/>
  <c r="BH28" i="66"/>
  <c r="BP28" i="66"/>
  <c r="BX28" i="66"/>
  <c r="BI28" i="66"/>
  <c r="BQ28" i="66"/>
  <c r="BY28" i="66"/>
  <c r="BJ28" i="66"/>
  <c r="BR28" i="66"/>
  <c r="BZ28" i="66"/>
  <c r="BK28" i="66"/>
  <c r="BS28" i="66"/>
  <c r="CX27" i="66"/>
  <c r="CX28" i="63"/>
  <c r="CX28" i="65"/>
  <c r="J18" i="23"/>
  <c r="L18" i="24" s="1"/>
  <c r="CL29" i="64"/>
  <c r="CE29" i="64"/>
  <c r="CN29" i="64"/>
  <c r="CV29" i="64"/>
  <c r="CF29" i="64"/>
  <c r="CO29" i="64"/>
  <c r="CW29" i="64"/>
  <c r="CG29" i="64"/>
  <c r="CP29" i="64"/>
  <c r="CI29" i="64"/>
  <c r="CR29" i="64"/>
  <c r="CJ29" i="64"/>
  <c r="CS29" i="64"/>
  <c r="CD29" i="64"/>
  <c r="CM29" i="64"/>
  <c r="CU29" i="64"/>
  <c r="CQ29" i="64"/>
  <c r="CT29" i="64"/>
  <c r="CH29" i="64"/>
  <c r="CK29" i="64"/>
  <c r="BK29" i="64"/>
  <c r="BS29" i="64"/>
  <c r="BL29" i="64"/>
  <c r="BT29" i="64"/>
  <c r="BM29" i="64"/>
  <c r="BU29" i="64"/>
  <c r="BN29" i="64"/>
  <c r="BV29" i="64"/>
  <c r="BG29" i="64"/>
  <c r="BO29" i="64"/>
  <c r="BW29" i="64"/>
  <c r="BH29" i="64"/>
  <c r="BP29" i="64"/>
  <c r="BX29" i="64"/>
  <c r="BI29" i="64"/>
  <c r="BJ29" i="64"/>
  <c r="BQ29" i="64"/>
  <c r="BR29" i="64"/>
  <c r="BY29" i="64"/>
  <c r="BZ29" i="64"/>
  <c r="CX28" i="64"/>
  <c r="P28" i="64" s="1"/>
  <c r="AB17" i="23"/>
  <c r="E17" i="25" s="1"/>
  <c r="CX28" i="68"/>
  <c r="P28" i="68" s="1"/>
  <c r="Z18" i="23"/>
  <c r="B18" i="25" s="1"/>
  <c r="CL29" i="68"/>
  <c r="CF29" i="68"/>
  <c r="CO29" i="68"/>
  <c r="CW29" i="68"/>
  <c r="CG29" i="68"/>
  <c r="CP29" i="68"/>
  <c r="CH29" i="68"/>
  <c r="CQ29" i="68"/>
  <c r="CI29" i="68"/>
  <c r="CR29" i="68"/>
  <c r="CJ29" i="68"/>
  <c r="CS29" i="68"/>
  <c r="CK29" i="68"/>
  <c r="CT29" i="68"/>
  <c r="CD29" i="68"/>
  <c r="CM29" i="68"/>
  <c r="CU29" i="68"/>
  <c r="CE29" i="68"/>
  <c r="CN29" i="68"/>
  <c r="CV29" i="68"/>
  <c r="BL29" i="68"/>
  <c r="BT29" i="68"/>
  <c r="BM29" i="68"/>
  <c r="BU29" i="68"/>
  <c r="BN29" i="68"/>
  <c r="BV29" i="68"/>
  <c r="BG29" i="68"/>
  <c r="BO29" i="68"/>
  <c r="BW29" i="68"/>
  <c r="BH29" i="68"/>
  <c r="BP29" i="68"/>
  <c r="BX29" i="68"/>
  <c r="BI29" i="68"/>
  <c r="BQ29" i="68"/>
  <c r="BY29" i="68"/>
  <c r="BJ29" i="68"/>
  <c r="BR29" i="68"/>
  <c r="BZ29" i="68"/>
  <c r="BK29" i="68"/>
  <c r="BS29" i="68"/>
  <c r="AG18" i="23"/>
  <c r="K18" i="25" s="1"/>
  <c r="A30" i="70"/>
  <c r="B29" i="70"/>
  <c r="AH17" i="23"/>
  <c r="L17" i="25" s="1"/>
  <c r="AK28" i="70"/>
  <c r="AR28" i="70"/>
  <c r="AU28" i="70"/>
  <c r="AP28" i="70"/>
  <c r="D28" i="70"/>
  <c r="AJ28" i="70"/>
  <c r="AW28" i="70"/>
  <c r="AI28" i="70"/>
  <c r="AM28" i="70"/>
  <c r="AQ28" i="70"/>
  <c r="AY28" i="70"/>
  <c r="AG28" i="70"/>
  <c r="AV28" i="70"/>
  <c r="AX28" i="70"/>
  <c r="AL28" i="70"/>
  <c r="AT28" i="70"/>
  <c r="AO28" i="70"/>
  <c r="AN28" i="70"/>
  <c r="AH28" i="70"/>
  <c r="AS28" i="70"/>
  <c r="AZ28" i="70"/>
  <c r="BB27" i="70"/>
  <c r="BA27" i="70"/>
  <c r="N27" i="70" s="1"/>
  <c r="AJ16" i="23"/>
  <c r="O16" i="25"/>
  <c r="Y16" i="25"/>
  <c r="AR16" i="23"/>
  <c r="V17" i="23"/>
  <c r="AA17" i="24" s="1"/>
  <c r="AJ28" i="67"/>
  <c r="AI28" i="67"/>
  <c r="D28" i="67"/>
  <c r="X17" i="23" s="1"/>
  <c r="AD17" i="24" s="1"/>
  <c r="AK28" i="67"/>
  <c r="AR28" i="67"/>
  <c r="AM28" i="67"/>
  <c r="AY28" i="67"/>
  <c r="AO28" i="67"/>
  <c r="AV28" i="67"/>
  <c r="AL28" i="67"/>
  <c r="AU28" i="67"/>
  <c r="AQ28" i="67"/>
  <c r="AN28" i="67"/>
  <c r="AX28" i="67"/>
  <c r="AH28" i="67"/>
  <c r="AW28" i="67"/>
  <c r="AP28" i="67"/>
  <c r="AT28" i="67"/>
  <c r="AZ28" i="67"/>
  <c r="AS28" i="67"/>
  <c r="AG28" i="67"/>
  <c r="U18" i="23"/>
  <c r="Z18" i="24" s="1"/>
  <c r="A30" i="67"/>
  <c r="B29" i="67"/>
  <c r="T17" i="25"/>
  <c r="AN17" i="23"/>
  <c r="AD17" i="25"/>
  <c r="AV17" i="23"/>
  <c r="BA27" i="67"/>
  <c r="N27" i="67" s="1"/>
  <c r="BB27" i="67"/>
  <c r="AF17" i="23"/>
  <c r="J17" i="25"/>
  <c r="CA27" i="67"/>
  <c r="O27" i="67" s="1"/>
  <c r="BB27" i="66"/>
  <c r="BA27" i="66"/>
  <c r="N27" i="66" s="1"/>
  <c r="Y26" i="66" s="1"/>
  <c r="R17" i="23"/>
  <c r="V17" i="24" s="1"/>
  <c r="AU28" i="66"/>
  <c r="AQ28" i="66"/>
  <c r="AO28" i="66"/>
  <c r="AH28" i="66"/>
  <c r="AM28" i="66"/>
  <c r="AG28" i="66"/>
  <c r="AS28" i="66"/>
  <c r="AW28" i="66"/>
  <c r="AT28" i="66"/>
  <c r="AK28" i="66"/>
  <c r="AZ28" i="66"/>
  <c r="AL28" i="66"/>
  <c r="AI28" i="66"/>
  <c r="AP28" i="66"/>
  <c r="D28" i="66"/>
  <c r="T17" i="23" s="1"/>
  <c r="Y17" i="24" s="1"/>
  <c r="AX28" i="66"/>
  <c r="AN28" i="66"/>
  <c r="AV28" i="66"/>
  <c r="AR28" i="66"/>
  <c r="AY28" i="66"/>
  <c r="AJ28" i="66"/>
  <c r="Q18" i="23"/>
  <c r="U18" i="24" s="1"/>
  <c r="A30" i="66"/>
  <c r="B29" i="66"/>
  <c r="BB28" i="73"/>
  <c r="BA28" i="73"/>
  <c r="N28" i="73" s="1"/>
  <c r="AW29" i="73"/>
  <c r="AO29" i="73"/>
  <c r="AG29" i="73"/>
  <c r="AV29" i="73"/>
  <c r="AN29" i="73"/>
  <c r="AU29" i="73"/>
  <c r="AM29" i="73"/>
  <c r="AT29" i="73"/>
  <c r="AL29" i="73"/>
  <c r="AS29" i="73"/>
  <c r="AK29" i="73"/>
  <c r="D29" i="73"/>
  <c r="AZ29" i="73"/>
  <c r="AR29" i="73"/>
  <c r="AJ29" i="73"/>
  <c r="AX29" i="73"/>
  <c r="AP29" i="73"/>
  <c r="AH29" i="73"/>
  <c r="AY29" i="73"/>
  <c r="AQ29" i="73"/>
  <c r="AI29" i="73"/>
  <c r="CA28" i="73"/>
  <c r="O28" i="73" s="1"/>
  <c r="B30" i="73"/>
  <c r="A31" i="73"/>
  <c r="AS20" i="23" s="1"/>
  <c r="Z20" i="25" s="1"/>
  <c r="BB27" i="72"/>
  <c r="BA27" i="72"/>
  <c r="N27" i="72" s="1"/>
  <c r="Y27" i="72" s="1"/>
  <c r="A30" i="72"/>
  <c r="AO19" i="23" s="1"/>
  <c r="U19" i="25" s="1"/>
  <c r="B29" i="72"/>
  <c r="AU28" i="72"/>
  <c r="AM28" i="72"/>
  <c r="AT28" i="72"/>
  <c r="AL28" i="72"/>
  <c r="AS28" i="72"/>
  <c r="AK28" i="72"/>
  <c r="D28" i="72"/>
  <c r="AZ28" i="72"/>
  <c r="AR28" i="72"/>
  <c r="AJ28" i="72"/>
  <c r="AP28" i="72"/>
  <c r="AN28" i="72"/>
  <c r="AY28" i="72"/>
  <c r="AI28" i="72"/>
  <c r="AX28" i="72"/>
  <c r="AH28" i="72"/>
  <c r="AW28" i="72"/>
  <c r="AG28" i="72"/>
  <c r="AV28" i="72"/>
  <c r="AQ28" i="72"/>
  <c r="AO28" i="72"/>
  <c r="BB28" i="71"/>
  <c r="BA28" i="71"/>
  <c r="N28" i="71" s="1"/>
  <c r="Y27" i="71" s="1"/>
  <c r="AT29" i="71"/>
  <c r="AL29" i="71"/>
  <c r="AS29" i="71"/>
  <c r="AK29" i="71"/>
  <c r="D29" i="71"/>
  <c r="AZ29" i="71"/>
  <c r="AR29" i="71"/>
  <c r="AJ29" i="71"/>
  <c r="AX29" i="71"/>
  <c r="AP29" i="71"/>
  <c r="AH29" i="71"/>
  <c r="AU29" i="71"/>
  <c r="AQ29" i="71"/>
  <c r="AO29" i="71"/>
  <c r="AN29" i="71"/>
  <c r="AM29" i="71"/>
  <c r="AY29" i="71"/>
  <c r="AI29" i="71"/>
  <c r="AW29" i="71"/>
  <c r="AG29" i="71"/>
  <c r="AV29" i="71"/>
  <c r="A31" i="71"/>
  <c r="AK20" i="23" s="1"/>
  <c r="P20" i="25" s="1"/>
  <c r="B30" i="71"/>
  <c r="BB28" i="69"/>
  <c r="BA28" i="69"/>
  <c r="N28" i="69" s="1"/>
  <c r="Y27" i="69" s="1"/>
  <c r="AU29" i="69"/>
  <c r="AM29" i="69"/>
  <c r="AT29" i="69"/>
  <c r="AL29" i="69"/>
  <c r="AS29" i="69"/>
  <c r="AK29" i="69"/>
  <c r="D29" i="69"/>
  <c r="AV29" i="69"/>
  <c r="AH29" i="69"/>
  <c r="AR29" i="69"/>
  <c r="AG29" i="69"/>
  <c r="AQ29" i="69"/>
  <c r="AP29" i="69"/>
  <c r="AZ29" i="69"/>
  <c r="AO29" i="69"/>
  <c r="AY29" i="69"/>
  <c r="AN29" i="69"/>
  <c r="AX29" i="69"/>
  <c r="AJ29" i="69"/>
  <c r="AW29" i="69"/>
  <c r="AI29" i="69"/>
  <c r="A31" i="69"/>
  <c r="AC20" i="23" s="1"/>
  <c r="F20" i="25" s="1"/>
  <c r="B30" i="69"/>
  <c r="A31" i="68"/>
  <c r="Y20" i="23" s="1"/>
  <c r="A20" i="25" s="1"/>
  <c r="B30" i="68"/>
  <c r="CA28" i="68"/>
  <c r="O28" i="68" s="1"/>
  <c r="AS29" i="68"/>
  <c r="AK29" i="68"/>
  <c r="D29" i="68"/>
  <c r="AZ29" i="68"/>
  <c r="AR29" i="68"/>
  <c r="AJ29" i="68"/>
  <c r="AY29" i="68"/>
  <c r="AQ29" i="68"/>
  <c r="AI29" i="68"/>
  <c r="AX29" i="68"/>
  <c r="AP29" i="68"/>
  <c r="AH29" i="68"/>
  <c r="AW29" i="68"/>
  <c r="AO29" i="68"/>
  <c r="AG29" i="68"/>
  <c r="AV29" i="68"/>
  <c r="AN29" i="68"/>
  <c r="AU29" i="68"/>
  <c r="AM29" i="68"/>
  <c r="AT29" i="68"/>
  <c r="AL29" i="68"/>
  <c r="BB28" i="68"/>
  <c r="BA28" i="68"/>
  <c r="N28" i="68" s="1"/>
  <c r="Y28" i="68" s="1"/>
  <c r="BB28" i="65"/>
  <c r="BA28" i="65"/>
  <c r="N28" i="65" s="1"/>
  <c r="Y28" i="65" s="1"/>
  <c r="A31" i="65"/>
  <c r="M20" i="23" s="1"/>
  <c r="P20" i="24" s="1"/>
  <c r="B30" i="65"/>
  <c r="AT29" i="65"/>
  <c r="AL29" i="65"/>
  <c r="AX29" i="65"/>
  <c r="AO29" i="65"/>
  <c r="AW29" i="65"/>
  <c r="AN29" i="65"/>
  <c r="AV29" i="65"/>
  <c r="AM29" i="65"/>
  <c r="D29" i="65"/>
  <c r="P18" i="23" s="1"/>
  <c r="T18" i="24" s="1"/>
  <c r="AU29" i="65"/>
  <c r="AK29" i="65"/>
  <c r="AS29" i="65"/>
  <c r="AJ29" i="65"/>
  <c r="AR29" i="65"/>
  <c r="AI29" i="65"/>
  <c r="AZ29" i="65"/>
  <c r="AQ29" i="65"/>
  <c r="AH29" i="65"/>
  <c r="AY29" i="65"/>
  <c r="AP29" i="65"/>
  <c r="AG29" i="65"/>
  <c r="BB28" i="64"/>
  <c r="BA28" i="64"/>
  <c r="N28" i="64" s="1"/>
  <c r="CA28" i="64"/>
  <c r="O28" i="64" s="1"/>
  <c r="A31" i="64"/>
  <c r="I20" i="23" s="1"/>
  <c r="K20" i="24" s="1"/>
  <c r="B30" i="64"/>
  <c r="AT29" i="64"/>
  <c r="AL29" i="64"/>
  <c r="AS29" i="64"/>
  <c r="AK29" i="64"/>
  <c r="D29" i="64"/>
  <c r="L18" i="23" s="1"/>
  <c r="O18" i="24" s="1"/>
  <c r="AZ29" i="64"/>
  <c r="AR29" i="64"/>
  <c r="AJ29" i="64"/>
  <c r="AY29" i="64"/>
  <c r="AQ29" i="64"/>
  <c r="AI29" i="64"/>
  <c r="AX29" i="64"/>
  <c r="AH29" i="64"/>
  <c r="AW29" i="64"/>
  <c r="AG29" i="64"/>
  <c r="AV29" i="64"/>
  <c r="AU29" i="64"/>
  <c r="AP29" i="64"/>
  <c r="AO29" i="64"/>
  <c r="AN29" i="64"/>
  <c r="AM29" i="64"/>
  <c r="BB28" i="63"/>
  <c r="BA28" i="63"/>
  <c r="N28" i="63" s="1"/>
  <c r="Y28" i="63" s="1"/>
  <c r="AZ29" i="63"/>
  <c r="AR29" i="63"/>
  <c r="AW29" i="63"/>
  <c r="AN29" i="63"/>
  <c r="AV29" i="63"/>
  <c r="AM29" i="63"/>
  <c r="AU29" i="63"/>
  <c r="AL29" i="63"/>
  <c r="AT29" i="63"/>
  <c r="AK29" i="63"/>
  <c r="D29" i="63"/>
  <c r="H18" i="23" s="1"/>
  <c r="J18" i="24" s="1"/>
  <c r="AS29" i="63"/>
  <c r="AJ29" i="63"/>
  <c r="AQ29" i="63"/>
  <c r="AI29" i="63"/>
  <c r="AY29" i="63"/>
  <c r="AP29" i="63"/>
  <c r="AH29" i="63"/>
  <c r="AX29" i="63"/>
  <c r="AO29" i="63"/>
  <c r="AG29" i="63"/>
  <c r="A31" i="63"/>
  <c r="E20" i="23" s="1"/>
  <c r="F20" i="24" s="1"/>
  <c r="B30" i="63"/>
  <c r="Q28" i="73" l="1"/>
  <c r="Q28" i="68"/>
  <c r="Q28" i="64"/>
  <c r="FL28" i="65"/>
  <c r="FN28" i="65"/>
  <c r="FN28" i="68"/>
  <c r="FL28" i="68"/>
  <c r="FN27" i="69"/>
  <c r="FL27" i="69"/>
  <c r="FL27" i="71"/>
  <c r="FN27" i="71"/>
  <c r="FN26" i="66"/>
  <c r="FL26" i="66"/>
  <c r="FN27" i="72"/>
  <c r="FL27" i="72"/>
  <c r="FN28" i="63"/>
  <c r="FL28" i="63"/>
  <c r="CX29" i="71"/>
  <c r="CX28" i="72"/>
  <c r="CX29" i="73"/>
  <c r="P29" i="73" s="1"/>
  <c r="AP18" i="23"/>
  <c r="V18" i="25" s="1"/>
  <c r="CL29" i="72"/>
  <c r="CE29" i="72"/>
  <c r="CN29" i="72"/>
  <c r="CV29" i="72"/>
  <c r="CF29" i="72"/>
  <c r="CO29" i="72"/>
  <c r="CW29" i="72"/>
  <c r="CG29" i="72"/>
  <c r="CP29" i="72"/>
  <c r="CK29" i="72"/>
  <c r="CM29" i="72"/>
  <c r="CQ29" i="72"/>
  <c r="CR29" i="72"/>
  <c r="CS29" i="72"/>
  <c r="CH29" i="72"/>
  <c r="CI29" i="72"/>
  <c r="CJ29" i="72"/>
  <c r="CT29" i="72"/>
  <c r="CU29" i="72"/>
  <c r="BI29" i="72"/>
  <c r="BR29" i="72"/>
  <c r="BZ29" i="72"/>
  <c r="BO29" i="72"/>
  <c r="BW29" i="72"/>
  <c r="BH29" i="72"/>
  <c r="BQ29" i="72"/>
  <c r="BY29" i="72"/>
  <c r="BU29" i="72"/>
  <c r="BJ29" i="72"/>
  <c r="BV29" i="72"/>
  <c r="BK29" i="72"/>
  <c r="BX29" i="72"/>
  <c r="BM29" i="72"/>
  <c r="BN29" i="72"/>
  <c r="BP29" i="72"/>
  <c r="BS29" i="72"/>
  <c r="BT29" i="72"/>
  <c r="BL29" i="72"/>
  <c r="CD29" i="72"/>
  <c r="BG29" i="72"/>
  <c r="CL29" i="70"/>
  <c r="CD29" i="70"/>
  <c r="CM29" i="70"/>
  <c r="CU29" i="70"/>
  <c r="CE29" i="70"/>
  <c r="CN29" i="70"/>
  <c r="CV29" i="70"/>
  <c r="CO29" i="70"/>
  <c r="CP29" i="70"/>
  <c r="CF29" i="70"/>
  <c r="CQ29" i="70"/>
  <c r="CG29" i="70"/>
  <c r="CR29" i="70"/>
  <c r="CH29" i="70"/>
  <c r="CS29" i="70"/>
  <c r="CI29" i="70"/>
  <c r="CT29" i="70"/>
  <c r="CJ29" i="70"/>
  <c r="CW29" i="70"/>
  <c r="CK29" i="70"/>
  <c r="BH29" i="70"/>
  <c r="BP29" i="70"/>
  <c r="BX29" i="70"/>
  <c r="BJ29" i="70"/>
  <c r="BR29" i="70"/>
  <c r="BZ29" i="70"/>
  <c r="BK29" i="70"/>
  <c r="BS29" i="70"/>
  <c r="BL29" i="70"/>
  <c r="BW29" i="70"/>
  <c r="BM29" i="70"/>
  <c r="BY29" i="70"/>
  <c r="BO29" i="70"/>
  <c r="BQ29" i="70"/>
  <c r="BT29" i="70"/>
  <c r="BG29" i="70"/>
  <c r="BU29" i="70"/>
  <c r="BI29" i="70"/>
  <c r="BV29" i="70"/>
  <c r="BN29" i="70"/>
  <c r="CX28" i="70"/>
  <c r="CX29" i="69"/>
  <c r="AD19" i="23"/>
  <c r="G19" i="25" s="1"/>
  <c r="CL30" i="69"/>
  <c r="CK30" i="69"/>
  <c r="CU30" i="69"/>
  <c r="CM30" i="69"/>
  <c r="CV30" i="69"/>
  <c r="CE30" i="69"/>
  <c r="CN30" i="69"/>
  <c r="CW30" i="69"/>
  <c r="CJ30" i="69"/>
  <c r="CO30" i="69"/>
  <c r="CP30" i="69"/>
  <c r="CQ30" i="69"/>
  <c r="CF30" i="69"/>
  <c r="CR30" i="69"/>
  <c r="CG30" i="69"/>
  <c r="CT30" i="69"/>
  <c r="CH30" i="69"/>
  <c r="CI30" i="69"/>
  <c r="BO30" i="69"/>
  <c r="BX30" i="69"/>
  <c r="BP30" i="69"/>
  <c r="BY30" i="69"/>
  <c r="BI30" i="69"/>
  <c r="BR30" i="69"/>
  <c r="BJ30" i="69"/>
  <c r="BS30" i="69"/>
  <c r="BK30" i="69"/>
  <c r="BT30" i="69"/>
  <c r="BM30" i="69"/>
  <c r="BU30" i="69"/>
  <c r="BN30" i="69"/>
  <c r="BW30" i="69"/>
  <c r="BH30" i="69"/>
  <c r="BQ30" i="69"/>
  <c r="BZ30" i="69"/>
  <c r="BL30" i="69"/>
  <c r="BV30" i="69"/>
  <c r="CS30" i="69"/>
  <c r="CD30" i="69"/>
  <c r="BG30" i="69"/>
  <c r="AL19" i="23"/>
  <c r="Q19" i="25" s="1"/>
  <c r="CL30" i="71"/>
  <c r="CG30" i="71"/>
  <c r="CP30" i="71"/>
  <c r="CI30" i="71"/>
  <c r="CS30" i="71"/>
  <c r="CJ30" i="71"/>
  <c r="CT30" i="71"/>
  <c r="CK30" i="71"/>
  <c r="CU30" i="71"/>
  <c r="CE30" i="71"/>
  <c r="CO30" i="71"/>
  <c r="CF30" i="71"/>
  <c r="CQ30" i="71"/>
  <c r="CH30" i="71"/>
  <c r="CR30" i="71"/>
  <c r="CD30" i="71"/>
  <c r="CM30" i="71"/>
  <c r="CN30" i="71"/>
  <c r="CV30" i="71"/>
  <c r="CW30" i="71"/>
  <c r="BM30" i="71"/>
  <c r="BU30" i="71"/>
  <c r="BN30" i="71"/>
  <c r="BV30" i="71"/>
  <c r="BG30" i="71"/>
  <c r="BO30" i="71"/>
  <c r="BW30" i="71"/>
  <c r="BH30" i="71"/>
  <c r="BP30" i="71"/>
  <c r="BX30" i="71"/>
  <c r="BI30" i="71"/>
  <c r="BQ30" i="71"/>
  <c r="BY30" i="71"/>
  <c r="BJ30" i="71"/>
  <c r="BR30" i="71"/>
  <c r="BZ30" i="71"/>
  <c r="BK30" i="71"/>
  <c r="BS30" i="71"/>
  <c r="BL30" i="71"/>
  <c r="BT30" i="71"/>
  <c r="CX28" i="67"/>
  <c r="AT19" i="23"/>
  <c r="AA19" i="25" s="1"/>
  <c r="CL30" i="73"/>
  <c r="CD30" i="73"/>
  <c r="CM30" i="73"/>
  <c r="CU30" i="73"/>
  <c r="CE30" i="73"/>
  <c r="CN30" i="73"/>
  <c r="CV30" i="73"/>
  <c r="CF30" i="73"/>
  <c r="CO30" i="73"/>
  <c r="CW30" i="73"/>
  <c r="CG30" i="73"/>
  <c r="CP30" i="73"/>
  <c r="CH30" i="73"/>
  <c r="CI30" i="73"/>
  <c r="CR30" i="73"/>
  <c r="CJ30" i="73"/>
  <c r="CK30" i="73"/>
  <c r="CT30" i="73"/>
  <c r="CQ30" i="73"/>
  <c r="CS30" i="73"/>
  <c r="BL30" i="73"/>
  <c r="BT30" i="73"/>
  <c r="BM30" i="73"/>
  <c r="BU30" i="73"/>
  <c r="BN30" i="73"/>
  <c r="BG30" i="73"/>
  <c r="BO30" i="73"/>
  <c r="BW30" i="73"/>
  <c r="BH30" i="73"/>
  <c r="BP30" i="73"/>
  <c r="BX30" i="73"/>
  <c r="BK30" i="73"/>
  <c r="BR30" i="73"/>
  <c r="BS30" i="73"/>
  <c r="BV30" i="73"/>
  <c r="BY30" i="73"/>
  <c r="BI30" i="73"/>
  <c r="BZ30" i="73"/>
  <c r="BJ30" i="73"/>
  <c r="BQ30" i="73"/>
  <c r="CF29" i="67"/>
  <c r="CP29" i="67"/>
  <c r="CH29" i="67"/>
  <c r="CQ29" i="67"/>
  <c r="CI29" i="67"/>
  <c r="CR29" i="67"/>
  <c r="CJ29" i="67"/>
  <c r="CS29" i="67"/>
  <c r="CK29" i="67"/>
  <c r="CT29" i="67"/>
  <c r="CM29" i="67"/>
  <c r="CU29" i="67"/>
  <c r="CO29" i="67"/>
  <c r="CV29" i="67"/>
  <c r="CW29" i="67"/>
  <c r="CE29" i="67"/>
  <c r="CD29" i="67"/>
  <c r="CN29" i="67"/>
  <c r="BL29" i="67"/>
  <c r="BU29" i="67"/>
  <c r="BM29" i="67"/>
  <c r="BV29" i="67"/>
  <c r="BP29" i="67"/>
  <c r="BX29" i="67"/>
  <c r="BG29" i="67"/>
  <c r="BQ29" i="67"/>
  <c r="BY29" i="67"/>
  <c r="BH29" i="67"/>
  <c r="BR29" i="67"/>
  <c r="BZ29" i="67"/>
  <c r="BI29" i="67"/>
  <c r="BS29" i="67"/>
  <c r="BK29" i="67"/>
  <c r="BT29" i="67"/>
  <c r="BN29" i="67"/>
  <c r="BW29" i="67"/>
  <c r="CL29" i="67"/>
  <c r="CG29" i="67"/>
  <c r="BO29" i="67"/>
  <c r="BJ29" i="67"/>
  <c r="CX29" i="63"/>
  <c r="CX28" i="66"/>
  <c r="J19" i="23"/>
  <c r="L19" i="24" s="1"/>
  <c r="CL30" i="64"/>
  <c r="CJ30" i="64"/>
  <c r="CS30" i="64"/>
  <c r="CK30" i="64"/>
  <c r="CT30" i="64"/>
  <c r="CD30" i="64"/>
  <c r="CM30" i="64"/>
  <c r="CU30" i="64"/>
  <c r="CF30" i="64"/>
  <c r="CO30" i="64"/>
  <c r="CW30" i="64"/>
  <c r="CG30" i="64"/>
  <c r="CP30" i="64"/>
  <c r="CI30" i="64"/>
  <c r="CR30" i="64"/>
  <c r="CE30" i="64"/>
  <c r="CH30" i="64"/>
  <c r="CN30" i="64"/>
  <c r="CQ30" i="64"/>
  <c r="CV30" i="64"/>
  <c r="BG30" i="64"/>
  <c r="BO30" i="64"/>
  <c r="BW30" i="64"/>
  <c r="BH30" i="64"/>
  <c r="BP30" i="64"/>
  <c r="BX30" i="64"/>
  <c r="BI30" i="64"/>
  <c r="BQ30" i="64"/>
  <c r="BY30" i="64"/>
  <c r="BJ30" i="64"/>
  <c r="BR30" i="64"/>
  <c r="BZ30" i="64"/>
  <c r="BK30" i="64"/>
  <c r="BS30" i="64"/>
  <c r="BL30" i="64"/>
  <c r="BT30" i="64"/>
  <c r="BM30" i="64"/>
  <c r="BN30" i="64"/>
  <c r="BU30" i="64"/>
  <c r="BV30" i="64"/>
  <c r="CL29" i="66"/>
  <c r="CI29" i="66"/>
  <c r="CR29" i="66"/>
  <c r="CJ29" i="66"/>
  <c r="CS29" i="66"/>
  <c r="CK29" i="66"/>
  <c r="CT29" i="66"/>
  <c r="CM29" i="66"/>
  <c r="CU29" i="66"/>
  <c r="CE29" i="66"/>
  <c r="CN29" i="66"/>
  <c r="CV29" i="66"/>
  <c r="CF29" i="66"/>
  <c r="CO29" i="66"/>
  <c r="CW29" i="66"/>
  <c r="CG29" i="66"/>
  <c r="CP29" i="66"/>
  <c r="CH29" i="66"/>
  <c r="CQ29" i="66"/>
  <c r="BI29" i="66"/>
  <c r="BQ29" i="66"/>
  <c r="BY29" i="66"/>
  <c r="BJ29" i="66"/>
  <c r="BR29" i="66"/>
  <c r="BZ29" i="66"/>
  <c r="BK29" i="66"/>
  <c r="BS29" i="66"/>
  <c r="BL29" i="66"/>
  <c r="BT29" i="66"/>
  <c r="BM29" i="66"/>
  <c r="BU29" i="66"/>
  <c r="BN29" i="66"/>
  <c r="BV29" i="66"/>
  <c r="BO29" i="66"/>
  <c r="BW29" i="66"/>
  <c r="BH29" i="66"/>
  <c r="BP29" i="66"/>
  <c r="BX29" i="66"/>
  <c r="CD29" i="66"/>
  <c r="BG29" i="66"/>
  <c r="CX29" i="64"/>
  <c r="P29" i="64" s="1"/>
  <c r="N19" i="23"/>
  <c r="Q19" i="24" s="1"/>
  <c r="CL30" i="65"/>
  <c r="CF30" i="65"/>
  <c r="CO30" i="65"/>
  <c r="CW30" i="65"/>
  <c r="CG30" i="65"/>
  <c r="CP30" i="65"/>
  <c r="CH30" i="65"/>
  <c r="CQ30" i="65"/>
  <c r="CI30" i="65"/>
  <c r="CR30" i="65"/>
  <c r="CJ30" i="65"/>
  <c r="CS30" i="65"/>
  <c r="CK30" i="65"/>
  <c r="CT30" i="65"/>
  <c r="CD30" i="65"/>
  <c r="CE30" i="65"/>
  <c r="CM30" i="65"/>
  <c r="CN30" i="65"/>
  <c r="CU30" i="65"/>
  <c r="CV30" i="65"/>
  <c r="BJ30" i="65"/>
  <c r="BR30" i="65"/>
  <c r="BZ30" i="65"/>
  <c r="BK30" i="65"/>
  <c r="BS30" i="65"/>
  <c r="BL30" i="65"/>
  <c r="BT30" i="65"/>
  <c r="BM30" i="65"/>
  <c r="BU30" i="65"/>
  <c r="BN30" i="65"/>
  <c r="BV30" i="65"/>
  <c r="BG30" i="65"/>
  <c r="BO30" i="65"/>
  <c r="BW30" i="65"/>
  <c r="BH30" i="65"/>
  <c r="BP30" i="65"/>
  <c r="BX30" i="65"/>
  <c r="BI30" i="65"/>
  <c r="BQ30" i="65"/>
  <c r="BY30" i="65"/>
  <c r="CX29" i="65"/>
  <c r="F19" i="23"/>
  <c r="G19" i="24" s="1"/>
  <c r="CL30" i="63"/>
  <c r="CI30" i="63"/>
  <c r="CR30" i="63"/>
  <c r="CJ30" i="63"/>
  <c r="CS30" i="63"/>
  <c r="CK30" i="63"/>
  <c r="CT30" i="63"/>
  <c r="CM30" i="63"/>
  <c r="CU30" i="63"/>
  <c r="CD30" i="63"/>
  <c r="CN30" i="63"/>
  <c r="CV30" i="63"/>
  <c r="CF30" i="63"/>
  <c r="CG30" i="63"/>
  <c r="CH30" i="63"/>
  <c r="CO30" i="63"/>
  <c r="CP30" i="63"/>
  <c r="CQ30" i="63"/>
  <c r="CW30" i="63"/>
  <c r="BI30" i="63"/>
  <c r="BQ30" i="63"/>
  <c r="BY30" i="63"/>
  <c r="BJ30" i="63"/>
  <c r="BR30" i="63"/>
  <c r="BZ30" i="63"/>
  <c r="BK30" i="63"/>
  <c r="BS30" i="63"/>
  <c r="BL30" i="63"/>
  <c r="BT30" i="63"/>
  <c r="BU30" i="63"/>
  <c r="BV30" i="63"/>
  <c r="BW30" i="63"/>
  <c r="BG30" i="63"/>
  <c r="BX30" i="63"/>
  <c r="BM30" i="63"/>
  <c r="BN30" i="63"/>
  <c r="BO30" i="63"/>
  <c r="BP30" i="63"/>
  <c r="BH30" i="63"/>
  <c r="CE30" i="63"/>
  <c r="AB18" i="23"/>
  <c r="E18" i="25" s="1"/>
  <c r="Z19" i="23"/>
  <c r="B19" i="25" s="1"/>
  <c r="CL30" i="68"/>
  <c r="CM30" i="68"/>
  <c r="CU30" i="68"/>
  <c r="CE30" i="68"/>
  <c r="CN30" i="68"/>
  <c r="CV30" i="68"/>
  <c r="CF30" i="68"/>
  <c r="CO30" i="68"/>
  <c r="CW30" i="68"/>
  <c r="CG30" i="68"/>
  <c r="CP30" i="68"/>
  <c r="CH30" i="68"/>
  <c r="CQ30" i="68"/>
  <c r="CI30" i="68"/>
  <c r="CR30" i="68"/>
  <c r="CJ30" i="68"/>
  <c r="CS30" i="68"/>
  <c r="CK30" i="68"/>
  <c r="CT30" i="68"/>
  <c r="BI30" i="68"/>
  <c r="BR30" i="68"/>
  <c r="BZ30" i="68"/>
  <c r="BJ30" i="68"/>
  <c r="BS30" i="68"/>
  <c r="BK30" i="68"/>
  <c r="BT30" i="68"/>
  <c r="BM30" i="68"/>
  <c r="BU30" i="68"/>
  <c r="BN30" i="68"/>
  <c r="BV30" i="68"/>
  <c r="BO30" i="68"/>
  <c r="BW30" i="68"/>
  <c r="BP30" i="68"/>
  <c r="BX30" i="68"/>
  <c r="BH30" i="68"/>
  <c r="BQ30" i="68"/>
  <c r="BY30" i="68"/>
  <c r="BL30" i="68"/>
  <c r="CD30" i="68"/>
  <c r="BG30" i="68"/>
  <c r="CX29" i="68"/>
  <c r="P29" i="68" s="1"/>
  <c r="CA28" i="70"/>
  <c r="O28" i="70" s="1"/>
  <c r="O17" i="25"/>
  <c r="AJ17" i="23"/>
  <c r="AH18" i="23"/>
  <c r="L18" i="25" s="1"/>
  <c r="AK29" i="70"/>
  <c r="D29" i="70"/>
  <c r="AU29" i="70"/>
  <c r="AZ29" i="70"/>
  <c r="AM29" i="70"/>
  <c r="AS29" i="70"/>
  <c r="AP29" i="70"/>
  <c r="AI29" i="70"/>
  <c r="AX29" i="70"/>
  <c r="AT29" i="70"/>
  <c r="AQ29" i="70"/>
  <c r="AV29" i="70"/>
  <c r="AJ29" i="70"/>
  <c r="AG29" i="70"/>
  <c r="AL29" i="70"/>
  <c r="AN29" i="70"/>
  <c r="AR29" i="70"/>
  <c r="AY29" i="70"/>
  <c r="AW29" i="70"/>
  <c r="AH29" i="70"/>
  <c r="AO29" i="70"/>
  <c r="BB28" i="70"/>
  <c r="BA28" i="70"/>
  <c r="N28" i="70" s="1"/>
  <c r="Y28" i="70" s="1"/>
  <c r="AG19" i="23"/>
  <c r="K19" i="25" s="1"/>
  <c r="A31" i="70"/>
  <c r="B30" i="70"/>
  <c r="AN18" i="23"/>
  <c r="T18" i="25"/>
  <c r="Y17" i="25"/>
  <c r="AR17" i="23"/>
  <c r="AD18" i="25"/>
  <c r="AV18" i="23"/>
  <c r="CA28" i="67"/>
  <c r="O28" i="67" s="1"/>
  <c r="BB28" i="67"/>
  <c r="BA28" i="67"/>
  <c r="N28" i="67" s="1"/>
  <c r="Y27" i="67" s="1"/>
  <c r="J18" i="25"/>
  <c r="AF18" i="23"/>
  <c r="V18" i="23"/>
  <c r="AA18" i="24" s="1"/>
  <c r="AY29" i="67"/>
  <c r="AH29" i="67"/>
  <c r="AQ29" i="67"/>
  <c r="AV29" i="67"/>
  <c r="AZ29" i="67"/>
  <c r="AI29" i="67"/>
  <c r="AN29" i="67"/>
  <c r="AS29" i="67"/>
  <c r="AR29" i="67"/>
  <c r="AK29" i="67"/>
  <c r="AJ29" i="67"/>
  <c r="AW29" i="67"/>
  <c r="AT29" i="67"/>
  <c r="D29" i="67"/>
  <c r="X18" i="23" s="1"/>
  <c r="AD18" i="24" s="1"/>
  <c r="AO29" i="67"/>
  <c r="AU29" i="67"/>
  <c r="AL29" i="67"/>
  <c r="AP29" i="67"/>
  <c r="AX29" i="67"/>
  <c r="AG29" i="67"/>
  <c r="AM29" i="67"/>
  <c r="U19" i="23"/>
  <c r="Z19" i="24" s="1"/>
  <c r="B30" i="67"/>
  <c r="A31" i="67"/>
  <c r="R18" i="23"/>
  <c r="V18" i="24" s="1"/>
  <c r="AH29" i="66"/>
  <c r="AT29" i="66"/>
  <c r="AL29" i="66"/>
  <c r="AQ29" i="66"/>
  <c r="AV29" i="66"/>
  <c r="AY29" i="66"/>
  <c r="AI29" i="66"/>
  <c r="AN29" i="66"/>
  <c r="AM29" i="66"/>
  <c r="AW29" i="66"/>
  <c r="AS29" i="66"/>
  <c r="AO29" i="66"/>
  <c r="AK29" i="66"/>
  <c r="AJ29" i="66"/>
  <c r="AX29" i="66"/>
  <c r="AG29" i="66"/>
  <c r="AZ29" i="66"/>
  <c r="AU29" i="66"/>
  <c r="AP29" i="66"/>
  <c r="AR29" i="66"/>
  <c r="D29" i="66"/>
  <c r="T18" i="23" s="1"/>
  <c r="Y18" i="24" s="1"/>
  <c r="Q19" i="23"/>
  <c r="U19" i="24" s="1"/>
  <c r="A31" i="66"/>
  <c r="B30" i="66"/>
  <c r="BB28" i="66"/>
  <c r="BA28" i="66"/>
  <c r="N28" i="66" s="1"/>
  <c r="Y27" i="66" s="1"/>
  <c r="AZ30" i="73"/>
  <c r="AR30" i="73"/>
  <c r="AJ30" i="73"/>
  <c r="AY30" i="73"/>
  <c r="AQ30" i="73"/>
  <c r="AI30" i="73"/>
  <c r="AX30" i="73"/>
  <c r="AP30" i="73"/>
  <c r="AH30" i="73"/>
  <c r="AW30" i="73"/>
  <c r="AO30" i="73"/>
  <c r="AG30" i="73"/>
  <c r="AV30" i="73"/>
  <c r="AN30" i="73"/>
  <c r="AU30" i="73"/>
  <c r="AM30" i="73"/>
  <c r="AT30" i="73"/>
  <c r="AL30" i="73"/>
  <c r="AS30" i="73"/>
  <c r="AK30" i="73"/>
  <c r="D30" i="73"/>
  <c r="CA29" i="73"/>
  <c r="O29" i="73" s="1"/>
  <c r="B31" i="73"/>
  <c r="A32" i="73"/>
  <c r="AS21" i="23" s="1"/>
  <c r="Z21" i="25" s="1"/>
  <c r="BB29" i="73"/>
  <c r="BA29" i="73"/>
  <c r="N29" i="73" s="1"/>
  <c r="AX29" i="72"/>
  <c r="AP29" i="72"/>
  <c r="AH29" i="72"/>
  <c r="AW29" i="72"/>
  <c r="AO29" i="72"/>
  <c r="AG29" i="72"/>
  <c r="AV29" i="72"/>
  <c r="AN29" i="72"/>
  <c r="AU29" i="72"/>
  <c r="AM29" i="72"/>
  <c r="AS29" i="72"/>
  <c r="AK29" i="72"/>
  <c r="D29" i="72"/>
  <c r="AZ29" i="72"/>
  <c r="AR29" i="72"/>
  <c r="AJ29" i="72"/>
  <c r="AY29" i="72"/>
  <c r="AQ29" i="72"/>
  <c r="AI29" i="72"/>
  <c r="AT29" i="72"/>
  <c r="AL29" i="72"/>
  <c r="B30" i="72"/>
  <c r="A31" i="72"/>
  <c r="AO20" i="23" s="1"/>
  <c r="U20" i="25" s="1"/>
  <c r="BB28" i="72"/>
  <c r="BA28" i="72"/>
  <c r="N28" i="72" s="1"/>
  <c r="AW30" i="71"/>
  <c r="AO30" i="71"/>
  <c r="AG30" i="71"/>
  <c r="AR30" i="71"/>
  <c r="AI30" i="71"/>
  <c r="AZ30" i="71"/>
  <c r="AQ30" i="71"/>
  <c r="AH30" i="71"/>
  <c r="AY30" i="71"/>
  <c r="AP30" i="71"/>
  <c r="AX30" i="71"/>
  <c r="AN30" i="71"/>
  <c r="AV30" i="71"/>
  <c r="AM30" i="71"/>
  <c r="D30" i="71"/>
  <c r="AJ30" i="71"/>
  <c r="AU30" i="71"/>
  <c r="AT30" i="71"/>
  <c r="AS30" i="71"/>
  <c r="AL30" i="71"/>
  <c r="AK30" i="71"/>
  <c r="B31" i="71"/>
  <c r="A32" i="71"/>
  <c r="AK21" i="23" s="1"/>
  <c r="P21" i="25" s="1"/>
  <c r="BB29" i="71"/>
  <c r="BA29" i="71"/>
  <c r="N29" i="71" s="1"/>
  <c r="AX30" i="69"/>
  <c r="AP30" i="69"/>
  <c r="AH30" i="69"/>
  <c r="AW30" i="69"/>
  <c r="AO30" i="69"/>
  <c r="AG30" i="69"/>
  <c r="AV30" i="69"/>
  <c r="AN30" i="69"/>
  <c r="AU30" i="69"/>
  <c r="AM30" i="69"/>
  <c r="AS30" i="69"/>
  <c r="AK30" i="69"/>
  <c r="D30" i="69"/>
  <c r="AZ30" i="69"/>
  <c r="AR30" i="69"/>
  <c r="AJ30" i="69"/>
  <c r="AQ30" i="69"/>
  <c r="AL30" i="69"/>
  <c r="AI30" i="69"/>
  <c r="AY30" i="69"/>
  <c r="AT30" i="69"/>
  <c r="B31" i="69"/>
  <c r="A32" i="69"/>
  <c r="AC21" i="23" s="1"/>
  <c r="F21" i="25" s="1"/>
  <c r="BB29" i="69"/>
  <c r="BA29" i="69"/>
  <c r="N29" i="69" s="1"/>
  <c r="Y28" i="69" s="1"/>
  <c r="BB29" i="68"/>
  <c r="BA29" i="68"/>
  <c r="N29" i="68" s="1"/>
  <c r="Y29" i="68" s="1"/>
  <c r="CA29" i="68"/>
  <c r="O29" i="68" s="1"/>
  <c r="AY30" i="68"/>
  <c r="AQ30" i="68"/>
  <c r="AI30" i="68"/>
  <c r="AX30" i="68"/>
  <c r="AO30" i="68"/>
  <c r="AW30" i="68"/>
  <c r="AN30" i="68"/>
  <c r="AV30" i="68"/>
  <c r="AM30" i="68"/>
  <c r="AU30" i="68"/>
  <c r="AL30" i="68"/>
  <c r="D30" i="68"/>
  <c r="AT30" i="68"/>
  <c r="AK30" i="68"/>
  <c r="AS30" i="68"/>
  <c r="AJ30" i="68"/>
  <c r="AR30" i="68"/>
  <c r="AH30" i="68"/>
  <c r="AZ30" i="68"/>
  <c r="AP30" i="68"/>
  <c r="AG30" i="68"/>
  <c r="A32" i="68"/>
  <c r="Y21" i="23" s="1"/>
  <c r="A21" i="25" s="1"/>
  <c r="B31" i="68"/>
  <c r="BB29" i="65"/>
  <c r="BA29" i="65"/>
  <c r="N29" i="65" s="1"/>
  <c r="Y29" i="65" s="1"/>
  <c r="AW30" i="65"/>
  <c r="AO30" i="65"/>
  <c r="AG30" i="65"/>
  <c r="AV30" i="65"/>
  <c r="AN30" i="65"/>
  <c r="AU30" i="65"/>
  <c r="AK30" i="65"/>
  <c r="AT30" i="65"/>
  <c r="AJ30" i="65"/>
  <c r="AS30" i="65"/>
  <c r="AI30" i="65"/>
  <c r="AR30" i="65"/>
  <c r="AH30" i="65"/>
  <c r="AQ30" i="65"/>
  <c r="AZ30" i="65"/>
  <c r="AP30" i="65"/>
  <c r="D30" i="65"/>
  <c r="P19" i="23" s="1"/>
  <c r="T19" i="24" s="1"/>
  <c r="AY30" i="65"/>
  <c r="AM30" i="65"/>
  <c r="AX30" i="65"/>
  <c r="AL30" i="65"/>
  <c r="B31" i="65"/>
  <c r="A32" i="65"/>
  <c r="M21" i="23" s="1"/>
  <c r="P21" i="24" s="1"/>
  <c r="AW30" i="64"/>
  <c r="AO30" i="64"/>
  <c r="AG30" i="64"/>
  <c r="AV30" i="64"/>
  <c r="AN30" i="64"/>
  <c r="AU30" i="64"/>
  <c r="AM30" i="64"/>
  <c r="AT30" i="64"/>
  <c r="AL30" i="64"/>
  <c r="AS30" i="64"/>
  <c r="AK30" i="64"/>
  <c r="AP30" i="64"/>
  <c r="AJ30" i="64"/>
  <c r="AI30" i="64"/>
  <c r="AZ30" i="64"/>
  <c r="AH30" i="64"/>
  <c r="D30" i="64"/>
  <c r="L19" i="23" s="1"/>
  <c r="O19" i="24" s="1"/>
  <c r="AY30" i="64"/>
  <c r="AX30" i="64"/>
  <c r="AR30" i="64"/>
  <c r="AQ30" i="64"/>
  <c r="B31" i="64"/>
  <c r="A32" i="64"/>
  <c r="I21" i="23" s="1"/>
  <c r="K21" i="24" s="1"/>
  <c r="BB29" i="64"/>
  <c r="BA29" i="64"/>
  <c r="N29" i="64" s="1"/>
  <c r="CA29" i="64"/>
  <c r="O29" i="64" s="1"/>
  <c r="AV30" i="63"/>
  <c r="AN30" i="63"/>
  <c r="AU30" i="63"/>
  <c r="AM30" i="63"/>
  <c r="AQ30" i="63"/>
  <c r="AG30" i="63"/>
  <c r="AZ30" i="63"/>
  <c r="AP30" i="63"/>
  <c r="AY30" i="63"/>
  <c r="AO30" i="63"/>
  <c r="D30" i="63"/>
  <c r="H19" i="23" s="1"/>
  <c r="J19" i="24" s="1"/>
  <c r="AX30" i="63"/>
  <c r="AL30" i="63"/>
  <c r="AW30" i="63"/>
  <c r="AK30" i="63"/>
  <c r="AT30" i="63"/>
  <c r="AJ30" i="63"/>
  <c r="AS30" i="63"/>
  <c r="AI30" i="63"/>
  <c r="AR30" i="63"/>
  <c r="AH30" i="63"/>
  <c r="A32" i="63"/>
  <c r="E21" i="23" s="1"/>
  <c r="F21" i="24" s="1"/>
  <c r="B31" i="63"/>
  <c r="BB29" i="63"/>
  <c r="BA29" i="63"/>
  <c r="N29" i="63" s="1"/>
  <c r="Y29" i="63" s="1"/>
  <c r="Q29" i="73" l="1"/>
  <c r="Q29" i="64"/>
  <c r="Q29" i="68"/>
  <c r="FL28" i="69"/>
  <c r="FN28" i="69"/>
  <c r="FN27" i="67"/>
  <c r="FL27" i="67"/>
  <c r="FN29" i="68"/>
  <c r="FL29" i="68"/>
  <c r="FN27" i="66"/>
  <c r="FL27" i="66"/>
  <c r="FN28" i="70"/>
  <c r="FL28" i="70"/>
  <c r="FN29" i="65"/>
  <c r="FN44" i="65" s="1"/>
  <c r="FL29" i="65"/>
  <c r="FL44" i="65" s="1"/>
  <c r="FN29" i="63"/>
  <c r="FL29" i="63"/>
  <c r="CX30" i="65"/>
  <c r="CX29" i="66"/>
  <c r="CX29" i="67"/>
  <c r="AL20" i="23"/>
  <c r="Q20" i="25" s="1"/>
  <c r="CL31" i="71"/>
  <c r="CG31" i="71"/>
  <c r="CP31" i="71"/>
  <c r="CH31" i="71"/>
  <c r="CQ31" i="71"/>
  <c r="CI31" i="71"/>
  <c r="CR31" i="71"/>
  <c r="CD31" i="71"/>
  <c r="CM31" i="71"/>
  <c r="CU31" i="71"/>
  <c r="CE31" i="71"/>
  <c r="CN31" i="71"/>
  <c r="CV31" i="71"/>
  <c r="CF31" i="71"/>
  <c r="CO31" i="71"/>
  <c r="CW31" i="71"/>
  <c r="CK31" i="71"/>
  <c r="CS31" i="71"/>
  <c r="CT31" i="71"/>
  <c r="CJ31" i="71"/>
  <c r="BI31" i="71"/>
  <c r="BQ31" i="71"/>
  <c r="BY31" i="71"/>
  <c r="BJ31" i="71"/>
  <c r="BR31" i="71"/>
  <c r="BZ31" i="71"/>
  <c r="BK31" i="71"/>
  <c r="BS31" i="71"/>
  <c r="BL31" i="71"/>
  <c r="BT31" i="71"/>
  <c r="BM31" i="71"/>
  <c r="BU31" i="71"/>
  <c r="BN31" i="71"/>
  <c r="BV31" i="71"/>
  <c r="BG31" i="71"/>
  <c r="BO31" i="71"/>
  <c r="BW31" i="71"/>
  <c r="BH31" i="71"/>
  <c r="BP31" i="71"/>
  <c r="BX31" i="71"/>
  <c r="AD20" i="23"/>
  <c r="G20" i="25" s="1"/>
  <c r="CL31" i="69"/>
  <c r="CK31" i="69"/>
  <c r="CU31" i="69"/>
  <c r="CM31" i="69"/>
  <c r="CV31" i="69"/>
  <c r="CN31" i="69"/>
  <c r="CW31" i="69"/>
  <c r="CG31" i="69"/>
  <c r="CH31" i="69"/>
  <c r="CI31" i="69"/>
  <c r="CO31" i="69"/>
  <c r="CP31" i="69"/>
  <c r="CQ31" i="69"/>
  <c r="CD31" i="69"/>
  <c r="CF31" i="69"/>
  <c r="CR31" i="69"/>
  <c r="CS31" i="69"/>
  <c r="BN31" i="69"/>
  <c r="BV31" i="69"/>
  <c r="BO31" i="69"/>
  <c r="BX31" i="69"/>
  <c r="BG31" i="69"/>
  <c r="BQ31" i="69"/>
  <c r="BZ31" i="69"/>
  <c r="BI31" i="69"/>
  <c r="BR31" i="69"/>
  <c r="BJ31" i="69"/>
  <c r="BS31" i="69"/>
  <c r="BK31" i="69"/>
  <c r="BT31" i="69"/>
  <c r="BL31" i="69"/>
  <c r="BU31" i="69"/>
  <c r="BP31" i="69"/>
  <c r="BY31" i="69"/>
  <c r="CT31" i="69"/>
  <c r="BW31" i="69"/>
  <c r="BM31" i="69"/>
  <c r="BH31" i="69"/>
  <c r="CE31" i="69"/>
  <c r="CJ31" i="69"/>
  <c r="AP19" i="23"/>
  <c r="V19" i="25" s="1"/>
  <c r="CL30" i="72"/>
  <c r="CM30" i="72"/>
  <c r="CU30" i="72"/>
  <c r="CN30" i="72"/>
  <c r="CV30" i="72"/>
  <c r="CD30" i="72"/>
  <c r="CO30" i="72"/>
  <c r="CW30" i="72"/>
  <c r="CG30" i="72"/>
  <c r="CT30" i="72"/>
  <c r="CH30" i="72"/>
  <c r="CI30" i="72"/>
  <c r="CK30" i="72"/>
  <c r="CP30" i="72"/>
  <c r="CF30" i="72"/>
  <c r="CQ30" i="72"/>
  <c r="CR30" i="72"/>
  <c r="CS30" i="72"/>
  <c r="BP30" i="72"/>
  <c r="BX30" i="72"/>
  <c r="BL30" i="72"/>
  <c r="BU30" i="72"/>
  <c r="BO30" i="72"/>
  <c r="BW30" i="72"/>
  <c r="BQ30" i="72"/>
  <c r="BR30" i="72"/>
  <c r="BS30" i="72"/>
  <c r="BG30" i="72"/>
  <c r="BT30" i="72"/>
  <c r="BI30" i="72"/>
  <c r="BV30" i="72"/>
  <c r="BJ30" i="72"/>
  <c r="BY30" i="72"/>
  <c r="BK30" i="72"/>
  <c r="BZ30" i="72"/>
  <c r="BN30" i="72"/>
  <c r="CE30" i="72"/>
  <c r="CJ30" i="72"/>
  <c r="BH30" i="72"/>
  <c r="BM30" i="72"/>
  <c r="CL30" i="67"/>
  <c r="CD30" i="67"/>
  <c r="CO30" i="67"/>
  <c r="CW30" i="67"/>
  <c r="CE30" i="67"/>
  <c r="CP30" i="67"/>
  <c r="CF30" i="67"/>
  <c r="CQ30" i="67"/>
  <c r="CG30" i="67"/>
  <c r="CR30" i="67"/>
  <c r="CI30" i="67"/>
  <c r="CS30" i="67"/>
  <c r="CJ30" i="67"/>
  <c r="CT30" i="67"/>
  <c r="CK30" i="67"/>
  <c r="CN30" i="67"/>
  <c r="CU30" i="67"/>
  <c r="CV30" i="67"/>
  <c r="BI30" i="67"/>
  <c r="BS30" i="67"/>
  <c r="BJ30" i="67"/>
  <c r="BT30" i="67"/>
  <c r="BM30" i="67"/>
  <c r="BV30" i="67"/>
  <c r="BN30" i="67"/>
  <c r="BW30" i="67"/>
  <c r="BO30" i="67"/>
  <c r="BX30" i="67"/>
  <c r="BG30" i="67"/>
  <c r="BQ30" i="67"/>
  <c r="BY30" i="67"/>
  <c r="BH30" i="67"/>
  <c r="BR30" i="67"/>
  <c r="BZ30" i="67"/>
  <c r="BU30" i="67"/>
  <c r="BL30" i="67"/>
  <c r="CM30" i="67"/>
  <c r="CH30" i="67"/>
  <c r="BP30" i="67"/>
  <c r="BK30" i="67"/>
  <c r="CX30" i="71"/>
  <c r="AT20" i="23"/>
  <c r="AA20" i="25" s="1"/>
  <c r="CL31" i="73"/>
  <c r="CI31" i="73"/>
  <c r="CR31" i="73"/>
  <c r="CJ31" i="73"/>
  <c r="CS31" i="73"/>
  <c r="CK31" i="73"/>
  <c r="CT31" i="73"/>
  <c r="CD31" i="73"/>
  <c r="CM31" i="73"/>
  <c r="CU31" i="73"/>
  <c r="CF31" i="73"/>
  <c r="CO31" i="73"/>
  <c r="CW31" i="73"/>
  <c r="CH31" i="73"/>
  <c r="CQ31" i="73"/>
  <c r="CE31" i="73"/>
  <c r="CG31" i="73"/>
  <c r="CN31" i="73"/>
  <c r="CP31" i="73"/>
  <c r="CV31" i="73"/>
  <c r="BH31" i="73"/>
  <c r="BP31" i="73"/>
  <c r="BX31" i="73"/>
  <c r="BI31" i="73"/>
  <c r="BQ31" i="73"/>
  <c r="BK31" i="73"/>
  <c r="BS31" i="73"/>
  <c r="BL31" i="73"/>
  <c r="BT31" i="73"/>
  <c r="BJ31" i="73"/>
  <c r="BY31" i="73"/>
  <c r="BN31" i="73"/>
  <c r="BO31" i="73"/>
  <c r="BR31" i="73"/>
  <c r="BU31" i="73"/>
  <c r="BV31" i="73"/>
  <c r="BG31" i="73"/>
  <c r="BW31" i="73"/>
  <c r="BM31" i="73"/>
  <c r="BZ31" i="73"/>
  <c r="CX30" i="69"/>
  <c r="CX29" i="70"/>
  <c r="CL30" i="70"/>
  <c r="CI30" i="70"/>
  <c r="CR30" i="70"/>
  <c r="CJ30" i="70"/>
  <c r="CS30" i="70"/>
  <c r="CE30" i="70"/>
  <c r="CP30" i="70"/>
  <c r="CF30" i="70"/>
  <c r="CQ30" i="70"/>
  <c r="CG30" i="70"/>
  <c r="CT30" i="70"/>
  <c r="CH30" i="70"/>
  <c r="CU30" i="70"/>
  <c r="CK30" i="70"/>
  <c r="CV30" i="70"/>
  <c r="CM30" i="70"/>
  <c r="CW30" i="70"/>
  <c r="CN30" i="70"/>
  <c r="CD30" i="70"/>
  <c r="CO30" i="70"/>
  <c r="BL30" i="70"/>
  <c r="BT30" i="70"/>
  <c r="BN30" i="70"/>
  <c r="BV30" i="70"/>
  <c r="BG30" i="70"/>
  <c r="BO30" i="70"/>
  <c r="BW30" i="70"/>
  <c r="BQ30" i="70"/>
  <c r="BR30" i="70"/>
  <c r="BI30" i="70"/>
  <c r="BU30" i="70"/>
  <c r="BJ30" i="70"/>
  <c r="BX30" i="70"/>
  <c r="BK30" i="70"/>
  <c r="BY30" i="70"/>
  <c r="BM30" i="70"/>
  <c r="BZ30" i="70"/>
  <c r="BP30" i="70"/>
  <c r="BH30" i="70"/>
  <c r="BS30" i="70"/>
  <c r="CX30" i="73"/>
  <c r="P30" i="73" s="1"/>
  <c r="CX29" i="72"/>
  <c r="CL30" i="66"/>
  <c r="CG30" i="66"/>
  <c r="CP30" i="66"/>
  <c r="CH30" i="66"/>
  <c r="CQ30" i="66"/>
  <c r="CI30" i="66"/>
  <c r="CR30" i="66"/>
  <c r="CJ30" i="66"/>
  <c r="CS30" i="66"/>
  <c r="CK30" i="66"/>
  <c r="CT30" i="66"/>
  <c r="CM30" i="66"/>
  <c r="CU30" i="66"/>
  <c r="CD30" i="66"/>
  <c r="CN30" i="66"/>
  <c r="CV30" i="66"/>
  <c r="CF30" i="66"/>
  <c r="CO30" i="66"/>
  <c r="CW30" i="66"/>
  <c r="BN30" i="66"/>
  <c r="BV30" i="66"/>
  <c r="BO30" i="66"/>
  <c r="BW30" i="66"/>
  <c r="BG30" i="66"/>
  <c r="BP30" i="66"/>
  <c r="BX30" i="66"/>
  <c r="BI30" i="66"/>
  <c r="BQ30" i="66"/>
  <c r="BY30" i="66"/>
  <c r="BJ30" i="66"/>
  <c r="BR30" i="66"/>
  <c r="BZ30" i="66"/>
  <c r="BK30" i="66"/>
  <c r="BS30" i="66"/>
  <c r="BL30" i="66"/>
  <c r="BT30" i="66"/>
  <c r="BM30" i="66"/>
  <c r="BU30" i="66"/>
  <c r="CE30" i="66"/>
  <c r="BH30" i="66"/>
  <c r="F20" i="23"/>
  <c r="G20" i="24" s="1"/>
  <c r="CL31" i="63"/>
  <c r="CG31" i="63"/>
  <c r="CQ31" i="63"/>
  <c r="CH31" i="63"/>
  <c r="CR31" i="63"/>
  <c r="CI31" i="63"/>
  <c r="CS31" i="63"/>
  <c r="CJ31" i="63"/>
  <c r="CT31" i="63"/>
  <c r="CM31" i="63"/>
  <c r="CU31" i="63"/>
  <c r="CE31" i="63"/>
  <c r="CN31" i="63"/>
  <c r="CO31" i="63"/>
  <c r="CP31" i="63"/>
  <c r="CV31" i="63"/>
  <c r="CW31" i="63"/>
  <c r="CD31" i="63"/>
  <c r="BO31" i="63"/>
  <c r="BW31" i="63"/>
  <c r="BP31" i="63"/>
  <c r="BX31" i="63"/>
  <c r="BG31" i="63"/>
  <c r="BQ31" i="63"/>
  <c r="BY31" i="63"/>
  <c r="BH31" i="63"/>
  <c r="BR31" i="63"/>
  <c r="BZ31" i="63"/>
  <c r="BS31" i="63"/>
  <c r="BT31" i="63"/>
  <c r="BU31" i="63"/>
  <c r="BV31" i="63"/>
  <c r="BJ31" i="63"/>
  <c r="BM31" i="63"/>
  <c r="BK31" i="63"/>
  <c r="BL31" i="63"/>
  <c r="BI31" i="63"/>
  <c r="CK31" i="63"/>
  <c r="BN31" i="63"/>
  <c r="CF31" i="63"/>
  <c r="N20" i="23"/>
  <c r="Q20" i="24" s="1"/>
  <c r="CL31" i="65"/>
  <c r="CM31" i="65"/>
  <c r="CU31" i="65"/>
  <c r="CE31" i="65"/>
  <c r="CN31" i="65"/>
  <c r="CV31" i="65"/>
  <c r="CF31" i="65"/>
  <c r="CO31" i="65"/>
  <c r="CW31" i="65"/>
  <c r="CG31" i="65"/>
  <c r="CP31" i="65"/>
  <c r="CH31" i="65"/>
  <c r="CQ31" i="65"/>
  <c r="CI31" i="65"/>
  <c r="CR31" i="65"/>
  <c r="CJ31" i="65"/>
  <c r="CK31" i="65"/>
  <c r="CS31" i="65"/>
  <c r="CT31" i="65"/>
  <c r="BO31" i="65"/>
  <c r="BW31" i="65"/>
  <c r="BH31" i="65"/>
  <c r="BP31" i="65"/>
  <c r="BX31" i="65"/>
  <c r="BI31" i="65"/>
  <c r="BQ31" i="65"/>
  <c r="BY31" i="65"/>
  <c r="BJ31" i="65"/>
  <c r="BR31" i="65"/>
  <c r="BZ31" i="65"/>
  <c r="BK31" i="65"/>
  <c r="BS31" i="65"/>
  <c r="BL31" i="65"/>
  <c r="BT31" i="65"/>
  <c r="BM31" i="65"/>
  <c r="BU31" i="65"/>
  <c r="BN31" i="65"/>
  <c r="BV31" i="65"/>
  <c r="CD31" i="65"/>
  <c r="BG31" i="65"/>
  <c r="J20" i="23"/>
  <c r="L20" i="24" s="1"/>
  <c r="CL31" i="64"/>
  <c r="CG31" i="64"/>
  <c r="CP31" i="64"/>
  <c r="CH31" i="64"/>
  <c r="CQ31" i="64"/>
  <c r="CI31" i="64"/>
  <c r="CK31" i="64"/>
  <c r="CT31" i="64"/>
  <c r="CD31" i="64"/>
  <c r="CM31" i="64"/>
  <c r="CU31" i="64"/>
  <c r="CF31" i="64"/>
  <c r="CO31" i="64"/>
  <c r="CW31" i="64"/>
  <c r="CJ31" i="64"/>
  <c r="CN31" i="64"/>
  <c r="CR31" i="64"/>
  <c r="CS31" i="64"/>
  <c r="CV31" i="64"/>
  <c r="CE31" i="64"/>
  <c r="BK31" i="64"/>
  <c r="BS31" i="64"/>
  <c r="BL31" i="64"/>
  <c r="BT31" i="64"/>
  <c r="BM31" i="64"/>
  <c r="BU31" i="64"/>
  <c r="BN31" i="64"/>
  <c r="BV31" i="64"/>
  <c r="BG31" i="64"/>
  <c r="BO31" i="64"/>
  <c r="BW31" i="64"/>
  <c r="BH31" i="64"/>
  <c r="BP31" i="64"/>
  <c r="BX31" i="64"/>
  <c r="BY31" i="64"/>
  <c r="BZ31" i="64"/>
  <c r="BI31" i="64"/>
  <c r="BJ31" i="64"/>
  <c r="BQ31" i="64"/>
  <c r="BR31" i="64"/>
  <c r="CX30" i="63"/>
  <c r="CX30" i="64"/>
  <c r="P30" i="64" s="1"/>
  <c r="AB19" i="23"/>
  <c r="E19" i="25" s="1"/>
  <c r="CX30" i="68"/>
  <c r="Z20" i="23"/>
  <c r="B20" i="25" s="1"/>
  <c r="CL31" i="68"/>
  <c r="CK31" i="68"/>
  <c r="CT31" i="68"/>
  <c r="CM31" i="68"/>
  <c r="CU31" i="68"/>
  <c r="CN31" i="68"/>
  <c r="CV31" i="68"/>
  <c r="CD31" i="68"/>
  <c r="CO31" i="68"/>
  <c r="CW31" i="68"/>
  <c r="CF31" i="68"/>
  <c r="CP31" i="68"/>
  <c r="CG31" i="68"/>
  <c r="CQ31" i="68"/>
  <c r="CH31" i="68"/>
  <c r="CR31" i="68"/>
  <c r="CI31" i="68"/>
  <c r="CS31" i="68"/>
  <c r="BP31" i="68"/>
  <c r="BX31" i="68"/>
  <c r="BG31" i="68"/>
  <c r="BQ31" i="68"/>
  <c r="BY31" i="68"/>
  <c r="BI31" i="68"/>
  <c r="BR31" i="68"/>
  <c r="BZ31" i="68"/>
  <c r="BJ31" i="68"/>
  <c r="BS31" i="68"/>
  <c r="BK31" i="68"/>
  <c r="BT31" i="68"/>
  <c r="BL31" i="68"/>
  <c r="BU31" i="68"/>
  <c r="BN31" i="68"/>
  <c r="BV31" i="68"/>
  <c r="BO31" i="68"/>
  <c r="BW31" i="68"/>
  <c r="BH31" i="68"/>
  <c r="CJ31" i="68"/>
  <c r="CE31" i="68"/>
  <c r="BM31" i="68"/>
  <c r="Y44" i="65"/>
  <c r="CA29" i="70"/>
  <c r="O29" i="70" s="1"/>
  <c r="BA29" i="70"/>
  <c r="N29" i="70" s="1"/>
  <c r="Y29" i="70" s="1"/>
  <c r="BB29" i="70"/>
  <c r="AH19" i="23"/>
  <c r="L19" i="25" s="1"/>
  <c r="AI30" i="70"/>
  <c r="AO30" i="70"/>
  <c r="AW30" i="70"/>
  <c r="AM30" i="70"/>
  <c r="AU30" i="70"/>
  <c r="D30" i="70"/>
  <c r="AK30" i="70"/>
  <c r="AX30" i="70"/>
  <c r="AS30" i="70"/>
  <c r="AP30" i="70"/>
  <c r="AZ30" i="70"/>
  <c r="AV30" i="70"/>
  <c r="AG30" i="70"/>
  <c r="AH30" i="70"/>
  <c r="AN30" i="70"/>
  <c r="AL30" i="70"/>
  <c r="AT30" i="70"/>
  <c r="AY30" i="70"/>
  <c r="AJ30" i="70"/>
  <c r="AR30" i="70"/>
  <c r="AQ30" i="70"/>
  <c r="AG20" i="23"/>
  <c r="K20" i="25" s="1"/>
  <c r="A32" i="70"/>
  <c r="B31" i="70"/>
  <c r="O18" i="25"/>
  <c r="AJ18" i="23"/>
  <c r="U20" i="23"/>
  <c r="Z20" i="24" s="1"/>
  <c r="B31" i="67"/>
  <c r="A32" i="67"/>
  <c r="AN19" i="23"/>
  <c r="T19" i="25"/>
  <c r="V19" i="23"/>
  <c r="AA19" i="24" s="1"/>
  <c r="AM30" i="67"/>
  <c r="AX30" i="67"/>
  <c r="AY30" i="67"/>
  <c r="AP30" i="67"/>
  <c r="AZ30" i="67"/>
  <c r="AQ30" i="67"/>
  <c r="AH30" i="67"/>
  <c r="AK30" i="67"/>
  <c r="AS30" i="67"/>
  <c r="AR30" i="67"/>
  <c r="AI30" i="67"/>
  <c r="AV30" i="67"/>
  <c r="AJ30" i="67"/>
  <c r="AT30" i="67"/>
  <c r="D30" i="67"/>
  <c r="X19" i="23" s="1"/>
  <c r="AD19" i="24" s="1"/>
  <c r="AW30" i="67"/>
  <c r="AG30" i="67"/>
  <c r="AL30" i="67"/>
  <c r="AO30" i="67"/>
  <c r="AN30" i="67"/>
  <c r="AU30" i="67"/>
  <c r="BB29" i="67"/>
  <c r="BA29" i="67"/>
  <c r="N29" i="67" s="1"/>
  <c r="Y28" i="67" s="1"/>
  <c r="Y18" i="25"/>
  <c r="AR18" i="23"/>
  <c r="J19" i="25"/>
  <c r="AF19" i="23"/>
  <c r="AV19" i="23"/>
  <c r="AD19" i="25"/>
  <c r="BB29" i="66"/>
  <c r="BA29" i="66"/>
  <c r="N29" i="66" s="1"/>
  <c r="R19" i="23"/>
  <c r="V19" i="24" s="1"/>
  <c r="AT30" i="66"/>
  <c r="AK30" i="66"/>
  <c r="AZ30" i="66"/>
  <c r="AY30" i="66"/>
  <c r="AP30" i="66"/>
  <c r="AL30" i="66"/>
  <c r="D30" i="66"/>
  <c r="T19" i="23" s="1"/>
  <c r="Y19" i="24" s="1"/>
  <c r="AR30" i="66"/>
  <c r="AQ30" i="66"/>
  <c r="AH30" i="66"/>
  <c r="AJ30" i="66"/>
  <c r="AI30" i="66"/>
  <c r="AV30" i="66"/>
  <c r="AW30" i="66"/>
  <c r="AU30" i="66"/>
  <c r="AO30" i="66"/>
  <c r="AM30" i="66"/>
  <c r="AS30" i="66"/>
  <c r="AX30" i="66"/>
  <c r="AG30" i="66"/>
  <c r="AN30" i="66"/>
  <c r="Q20" i="23"/>
  <c r="U20" i="24" s="1"/>
  <c r="A32" i="66"/>
  <c r="B31" i="66"/>
  <c r="CA30" i="64"/>
  <c r="O30" i="64" s="1"/>
  <c r="A33" i="73"/>
  <c r="AS22" i="23" s="1"/>
  <c r="Z22" i="25" s="1"/>
  <c r="B32" i="73"/>
  <c r="CA30" i="73"/>
  <c r="O30" i="73" s="1"/>
  <c r="AU31" i="73"/>
  <c r="AM31" i="73"/>
  <c r="AT31" i="73"/>
  <c r="AL31" i="73"/>
  <c r="AS31" i="73"/>
  <c r="AK31" i="73"/>
  <c r="D31" i="73"/>
  <c r="AZ31" i="73"/>
  <c r="AR31" i="73"/>
  <c r="AJ31" i="73"/>
  <c r="AY31" i="73"/>
  <c r="AQ31" i="73"/>
  <c r="AI31" i="73"/>
  <c r="AX31" i="73"/>
  <c r="AP31" i="73"/>
  <c r="AH31" i="73"/>
  <c r="AW31" i="73"/>
  <c r="AO31" i="73"/>
  <c r="AG31" i="73"/>
  <c r="AV31" i="73"/>
  <c r="AN31" i="73"/>
  <c r="BB30" i="73"/>
  <c r="BA30" i="73"/>
  <c r="N30" i="73" s="1"/>
  <c r="BB29" i="72"/>
  <c r="BA29" i="72"/>
  <c r="N29" i="72" s="1"/>
  <c r="A32" i="72"/>
  <c r="AO21" i="23" s="1"/>
  <c r="U21" i="25" s="1"/>
  <c r="B31" i="72"/>
  <c r="AS30" i="72"/>
  <c r="AK30" i="72"/>
  <c r="D30" i="72"/>
  <c r="AZ30" i="72"/>
  <c r="AR30" i="72"/>
  <c r="AJ30" i="72"/>
  <c r="AY30" i="72"/>
  <c r="AQ30" i="72"/>
  <c r="AI30" i="72"/>
  <c r="AX30" i="72"/>
  <c r="AP30" i="72"/>
  <c r="AH30" i="72"/>
  <c r="AV30" i="72"/>
  <c r="AN30" i="72"/>
  <c r="AU30" i="72"/>
  <c r="AM30" i="72"/>
  <c r="AT30" i="72"/>
  <c r="AL30" i="72"/>
  <c r="AW30" i="72"/>
  <c r="AO30" i="72"/>
  <c r="AG30" i="72"/>
  <c r="BB30" i="71"/>
  <c r="BA30" i="71"/>
  <c r="N30" i="71" s="1"/>
  <c r="A33" i="71"/>
  <c r="AK22" i="23" s="1"/>
  <c r="P22" i="25" s="1"/>
  <c r="B32" i="71"/>
  <c r="AZ31" i="71"/>
  <c r="AR31" i="71"/>
  <c r="AJ31" i="71"/>
  <c r="AU31" i="71"/>
  <c r="AL31" i="71"/>
  <c r="D31" i="71"/>
  <c r="AT31" i="71"/>
  <c r="AK31" i="71"/>
  <c r="AS31" i="71"/>
  <c r="AI31" i="71"/>
  <c r="AQ31" i="71"/>
  <c r="AH31" i="71"/>
  <c r="AY31" i="71"/>
  <c r="AP31" i="71"/>
  <c r="AG31" i="71"/>
  <c r="AX31" i="71"/>
  <c r="AO31" i="71"/>
  <c r="AW31" i="71"/>
  <c r="AV31" i="71"/>
  <c r="AN31" i="71"/>
  <c r="AM31" i="71"/>
  <c r="BB30" i="69"/>
  <c r="BA30" i="69"/>
  <c r="N30" i="69" s="1"/>
  <c r="B32" i="69"/>
  <c r="A33" i="69"/>
  <c r="AC22" i="23" s="1"/>
  <c r="F22" i="25" s="1"/>
  <c r="AS31" i="69"/>
  <c r="AK31" i="69"/>
  <c r="D31" i="69"/>
  <c r="AZ31" i="69"/>
  <c r="AR31" i="69"/>
  <c r="AJ31" i="69"/>
  <c r="AY31" i="69"/>
  <c r="AQ31" i="69"/>
  <c r="AI31" i="69"/>
  <c r="AX31" i="69"/>
  <c r="AP31" i="69"/>
  <c r="AH31" i="69"/>
  <c r="AW31" i="69"/>
  <c r="AO31" i="69"/>
  <c r="AG31" i="69"/>
  <c r="AV31" i="69"/>
  <c r="AN31" i="69"/>
  <c r="AU31" i="69"/>
  <c r="AM31" i="69"/>
  <c r="AT31" i="69"/>
  <c r="AL31" i="69"/>
  <c r="BB30" i="68"/>
  <c r="BA30" i="68"/>
  <c r="N30" i="68" s="1"/>
  <c r="AV31" i="68"/>
  <c r="AN31" i="68"/>
  <c r="AT31" i="68"/>
  <c r="AL31" i="68"/>
  <c r="AS31" i="68"/>
  <c r="AK31" i="68"/>
  <c r="AZ31" i="68"/>
  <c r="AO31" i="68"/>
  <c r="AY31" i="68"/>
  <c r="AM31" i="68"/>
  <c r="AX31" i="68"/>
  <c r="AJ31" i="68"/>
  <c r="AW31" i="68"/>
  <c r="AI31" i="68"/>
  <c r="AU31" i="68"/>
  <c r="AH31" i="68"/>
  <c r="AR31" i="68"/>
  <c r="AG31" i="68"/>
  <c r="AQ31" i="68"/>
  <c r="AP31" i="68"/>
  <c r="D31" i="68"/>
  <c r="A33" i="68"/>
  <c r="Y22" i="23" s="1"/>
  <c r="A22" i="25" s="1"/>
  <c r="B32" i="68"/>
  <c r="CA30" i="68"/>
  <c r="O30" i="68" s="1"/>
  <c r="AZ31" i="65"/>
  <c r="AR31" i="65"/>
  <c r="AJ31" i="65"/>
  <c r="AY31" i="65"/>
  <c r="AQ31" i="65"/>
  <c r="AI31" i="65"/>
  <c r="AX31" i="65"/>
  <c r="AN31" i="65"/>
  <c r="AW31" i="65"/>
  <c r="AM31" i="65"/>
  <c r="D31" i="65"/>
  <c r="P20" i="23" s="1"/>
  <c r="T20" i="24" s="1"/>
  <c r="AV31" i="65"/>
  <c r="AL31" i="65"/>
  <c r="AU31" i="65"/>
  <c r="AK31" i="65"/>
  <c r="AT31" i="65"/>
  <c r="AH31" i="65"/>
  <c r="AS31" i="65"/>
  <c r="AG31" i="65"/>
  <c r="AP31" i="65"/>
  <c r="AO31" i="65"/>
  <c r="B32" i="65"/>
  <c r="A33" i="65"/>
  <c r="M22" i="23" s="1"/>
  <c r="P22" i="24" s="1"/>
  <c r="BB30" i="65"/>
  <c r="BA30" i="65"/>
  <c r="N30" i="65" s="1"/>
  <c r="BB30" i="64"/>
  <c r="BA30" i="64"/>
  <c r="N30" i="64" s="1"/>
  <c r="B32" i="64"/>
  <c r="A33" i="64"/>
  <c r="I22" i="23" s="1"/>
  <c r="K22" i="24" s="1"/>
  <c r="AZ31" i="64"/>
  <c r="AR31" i="64"/>
  <c r="AJ31" i="64"/>
  <c r="AY31" i="64"/>
  <c r="AQ31" i="64"/>
  <c r="AI31" i="64"/>
  <c r="AX31" i="64"/>
  <c r="AP31" i="64"/>
  <c r="AH31" i="64"/>
  <c r="AW31" i="64"/>
  <c r="AO31" i="64"/>
  <c r="AG31" i="64"/>
  <c r="AV31" i="64"/>
  <c r="AN31" i="64"/>
  <c r="AK31" i="64"/>
  <c r="D31" i="64"/>
  <c r="L20" i="23" s="1"/>
  <c r="O20" i="24" s="1"/>
  <c r="AU31" i="64"/>
  <c r="AT31" i="64"/>
  <c r="AS31" i="64"/>
  <c r="AM31" i="64"/>
  <c r="AL31" i="64"/>
  <c r="AY31" i="63"/>
  <c r="AQ31" i="63"/>
  <c r="AI31" i="63"/>
  <c r="AX31" i="63"/>
  <c r="AP31" i="63"/>
  <c r="AH31" i="63"/>
  <c r="AU31" i="63"/>
  <c r="AK31" i="63"/>
  <c r="AT31" i="63"/>
  <c r="AJ31" i="63"/>
  <c r="AS31" i="63"/>
  <c r="AG31" i="63"/>
  <c r="AR31" i="63"/>
  <c r="AO31" i="63"/>
  <c r="AZ31" i="63"/>
  <c r="AN31" i="63"/>
  <c r="AW31" i="63"/>
  <c r="AM31" i="63"/>
  <c r="D31" i="63"/>
  <c r="H20" i="23" s="1"/>
  <c r="J20" i="24" s="1"/>
  <c r="AV31" i="63"/>
  <c r="AL31" i="63"/>
  <c r="A33" i="63"/>
  <c r="E22" i="23" s="1"/>
  <c r="F22" i="24" s="1"/>
  <c r="B32" i="63"/>
  <c r="CA30" i="63"/>
  <c r="O30" i="63" s="1"/>
  <c r="BB30" i="63"/>
  <c r="BA30" i="63"/>
  <c r="N30" i="63" s="1"/>
  <c r="Y30" i="63" s="1"/>
  <c r="Q30" i="64" l="1"/>
  <c r="Q30" i="73"/>
  <c r="FN28" i="67"/>
  <c r="FL28" i="67"/>
  <c r="FN29" i="70"/>
  <c r="FL29" i="70"/>
  <c r="FN30" i="63"/>
  <c r="FL30" i="63"/>
  <c r="AT21" i="23"/>
  <c r="AA21" i="25" s="1"/>
  <c r="CL32" i="73"/>
  <c r="CF32" i="73"/>
  <c r="CO32" i="73"/>
  <c r="CW32" i="73"/>
  <c r="CG32" i="73"/>
  <c r="CP32" i="73"/>
  <c r="CH32" i="73"/>
  <c r="CQ32" i="73"/>
  <c r="CI32" i="73"/>
  <c r="CR32" i="73"/>
  <c r="CK32" i="73"/>
  <c r="CT32" i="73"/>
  <c r="CE32" i="73"/>
  <c r="CN32" i="73"/>
  <c r="CV32" i="73"/>
  <c r="CJ32" i="73"/>
  <c r="CM32" i="73"/>
  <c r="CS32" i="73"/>
  <c r="CD32" i="73"/>
  <c r="CU32" i="73"/>
  <c r="BL32" i="73"/>
  <c r="BT32" i="73"/>
  <c r="BG32" i="73"/>
  <c r="BH32" i="73"/>
  <c r="BP32" i="73"/>
  <c r="BX32" i="73"/>
  <c r="BQ32" i="73"/>
  <c r="BI32" i="73"/>
  <c r="BS32" i="73"/>
  <c r="BJ32" i="73"/>
  <c r="BU32" i="73"/>
  <c r="BK32" i="73"/>
  <c r="BV32" i="73"/>
  <c r="BM32" i="73"/>
  <c r="BW32" i="73"/>
  <c r="BN32" i="73"/>
  <c r="BY32" i="73"/>
  <c r="BO32" i="73"/>
  <c r="BZ32" i="73"/>
  <c r="BR32" i="73"/>
  <c r="CX31" i="69"/>
  <c r="AD21" i="23"/>
  <c r="G21" i="25" s="1"/>
  <c r="CL32" i="69"/>
  <c r="CJ32" i="69"/>
  <c r="CT32" i="69"/>
  <c r="CM32" i="69"/>
  <c r="CV32" i="69"/>
  <c r="CN32" i="69"/>
  <c r="CW32" i="69"/>
  <c r="CD32" i="69"/>
  <c r="CR32" i="69"/>
  <c r="CE32" i="69"/>
  <c r="CS32" i="69"/>
  <c r="CG32" i="69"/>
  <c r="CH32" i="69"/>
  <c r="CI32" i="69"/>
  <c r="CO32" i="69"/>
  <c r="CP32" i="69"/>
  <c r="CQ32" i="69"/>
  <c r="BL32" i="69"/>
  <c r="BU32" i="69"/>
  <c r="BM32" i="69"/>
  <c r="BV32" i="69"/>
  <c r="BP32" i="69"/>
  <c r="BY32" i="69"/>
  <c r="BG32" i="69"/>
  <c r="BQ32" i="69"/>
  <c r="BZ32" i="69"/>
  <c r="BH32" i="69"/>
  <c r="BR32" i="69"/>
  <c r="BJ32" i="69"/>
  <c r="BS32" i="69"/>
  <c r="BK32" i="69"/>
  <c r="BT32" i="69"/>
  <c r="BO32" i="69"/>
  <c r="BW32" i="69"/>
  <c r="CU32" i="69"/>
  <c r="BI32" i="69"/>
  <c r="BX32" i="69"/>
  <c r="CK32" i="69"/>
  <c r="BN32" i="69"/>
  <c r="CF32" i="69"/>
  <c r="AL21" i="23"/>
  <c r="Q21" i="25" s="1"/>
  <c r="CL32" i="71"/>
  <c r="CE32" i="71"/>
  <c r="CN32" i="71"/>
  <c r="CV32" i="71"/>
  <c r="CF32" i="71"/>
  <c r="CO32" i="71"/>
  <c r="CW32" i="71"/>
  <c r="CG32" i="71"/>
  <c r="CP32" i="71"/>
  <c r="CJ32" i="71"/>
  <c r="CS32" i="71"/>
  <c r="CK32" i="71"/>
  <c r="CT32" i="71"/>
  <c r="CM32" i="71"/>
  <c r="CU32" i="71"/>
  <c r="CH32" i="71"/>
  <c r="CI32" i="71"/>
  <c r="CQ32" i="71"/>
  <c r="CR32" i="71"/>
  <c r="BO32" i="71"/>
  <c r="BW32" i="71"/>
  <c r="BP32" i="71"/>
  <c r="BX32" i="71"/>
  <c r="BH32" i="71"/>
  <c r="BQ32" i="71"/>
  <c r="BY32" i="71"/>
  <c r="BI32" i="71"/>
  <c r="BR32" i="71"/>
  <c r="BZ32" i="71"/>
  <c r="BJ32" i="71"/>
  <c r="BS32" i="71"/>
  <c r="BK32" i="71"/>
  <c r="BT32" i="71"/>
  <c r="BM32" i="71"/>
  <c r="BU32" i="71"/>
  <c r="BN32" i="71"/>
  <c r="BV32" i="71"/>
  <c r="BL32" i="71"/>
  <c r="BG32" i="71"/>
  <c r="CD32" i="71"/>
  <c r="CL31" i="67"/>
  <c r="CK31" i="67"/>
  <c r="CT31" i="67"/>
  <c r="CD31" i="67"/>
  <c r="CM31" i="67"/>
  <c r="CU31" i="67"/>
  <c r="CE31" i="67"/>
  <c r="CN31" i="67"/>
  <c r="CV31" i="67"/>
  <c r="CF31" i="67"/>
  <c r="CO31" i="67"/>
  <c r="CW31" i="67"/>
  <c r="CG31" i="67"/>
  <c r="CP31" i="67"/>
  <c r="CH31" i="67"/>
  <c r="CQ31" i="67"/>
  <c r="CJ31" i="67"/>
  <c r="CR31" i="67"/>
  <c r="CS31" i="67"/>
  <c r="CI31" i="67"/>
  <c r="BG31" i="67"/>
  <c r="BO31" i="67"/>
  <c r="BW31" i="67"/>
  <c r="BH31" i="67"/>
  <c r="BP31" i="67"/>
  <c r="BX31" i="67"/>
  <c r="BJ31" i="67"/>
  <c r="BR31" i="67"/>
  <c r="BZ31" i="67"/>
  <c r="BK31" i="67"/>
  <c r="BS31" i="67"/>
  <c r="BL31" i="67"/>
  <c r="BT31" i="67"/>
  <c r="BM31" i="67"/>
  <c r="BU31" i="67"/>
  <c r="BN31" i="67"/>
  <c r="BV31" i="67"/>
  <c r="BQ31" i="67"/>
  <c r="BY31" i="67"/>
  <c r="BI31" i="67"/>
  <c r="AP20" i="23"/>
  <c r="V20" i="25" s="1"/>
  <c r="CL31" i="72"/>
  <c r="CJ31" i="72"/>
  <c r="CT31" i="72"/>
  <c r="CM31" i="72"/>
  <c r="CU31" i="72"/>
  <c r="CN31" i="72"/>
  <c r="CV31" i="72"/>
  <c r="CQ31" i="72"/>
  <c r="CD31" i="72"/>
  <c r="CR31" i="72"/>
  <c r="CE31" i="72"/>
  <c r="CS31" i="72"/>
  <c r="CG31" i="72"/>
  <c r="CW31" i="72"/>
  <c r="CH31" i="72"/>
  <c r="CI31" i="72"/>
  <c r="CO31" i="72"/>
  <c r="CP31" i="72"/>
  <c r="BM31" i="72"/>
  <c r="BV31" i="72"/>
  <c r="BJ31" i="72"/>
  <c r="BS31" i="72"/>
  <c r="BL31" i="72"/>
  <c r="BU31" i="72"/>
  <c r="BH31" i="72"/>
  <c r="BX31" i="72"/>
  <c r="BK31" i="72"/>
  <c r="BY31" i="72"/>
  <c r="BO31" i="72"/>
  <c r="BZ31" i="72"/>
  <c r="BP31" i="72"/>
  <c r="BQ31" i="72"/>
  <c r="BR31" i="72"/>
  <c r="BT31" i="72"/>
  <c r="BG31" i="72"/>
  <c r="BW31" i="72"/>
  <c r="BI31" i="72"/>
  <c r="BN31" i="72"/>
  <c r="CK31" i="72"/>
  <c r="CF31" i="72"/>
  <c r="CX31" i="73"/>
  <c r="P31" i="73" s="1"/>
  <c r="CX30" i="67"/>
  <c r="CL31" i="70"/>
  <c r="CF31" i="70"/>
  <c r="CO31" i="70"/>
  <c r="CW31" i="70"/>
  <c r="CG31" i="70"/>
  <c r="CP31" i="70"/>
  <c r="CH31" i="70"/>
  <c r="CS31" i="70"/>
  <c r="CI31" i="70"/>
  <c r="CT31" i="70"/>
  <c r="CJ31" i="70"/>
  <c r="CU31" i="70"/>
  <c r="CK31" i="70"/>
  <c r="CV31" i="70"/>
  <c r="CM31" i="70"/>
  <c r="CN31" i="70"/>
  <c r="CD31" i="70"/>
  <c r="CQ31" i="70"/>
  <c r="CE31" i="70"/>
  <c r="CR31" i="70"/>
  <c r="BH31" i="70"/>
  <c r="BP31" i="70"/>
  <c r="BX31" i="70"/>
  <c r="BJ31" i="70"/>
  <c r="BR31" i="70"/>
  <c r="BZ31" i="70"/>
  <c r="BK31" i="70"/>
  <c r="BI31" i="70"/>
  <c r="BU31" i="70"/>
  <c r="BL31" i="70"/>
  <c r="BV31" i="70"/>
  <c r="BN31" i="70"/>
  <c r="BY31" i="70"/>
  <c r="BO31" i="70"/>
  <c r="BQ31" i="70"/>
  <c r="BS31" i="70"/>
  <c r="BG31" i="70"/>
  <c r="BT31" i="70"/>
  <c r="BM31" i="70"/>
  <c r="BW31" i="70"/>
  <c r="CX30" i="70"/>
  <c r="CX30" i="72"/>
  <c r="CX31" i="71"/>
  <c r="P31" i="71" s="1"/>
  <c r="F21" i="23"/>
  <c r="G21" i="24" s="1"/>
  <c r="CL32" i="63"/>
  <c r="CE32" i="63"/>
  <c r="CO32" i="63"/>
  <c r="CW32" i="63"/>
  <c r="CF32" i="63"/>
  <c r="CP32" i="63"/>
  <c r="CH32" i="63"/>
  <c r="CQ32" i="63"/>
  <c r="CI32" i="63"/>
  <c r="CR32" i="63"/>
  <c r="CJ32" i="63"/>
  <c r="CS32" i="63"/>
  <c r="CM32" i="63"/>
  <c r="CN32" i="63"/>
  <c r="CT32" i="63"/>
  <c r="CU32" i="63"/>
  <c r="CV32" i="63"/>
  <c r="CD32" i="63"/>
  <c r="CK32" i="63"/>
  <c r="BL32" i="63"/>
  <c r="BT32" i="63"/>
  <c r="BM32" i="63"/>
  <c r="BU32" i="63"/>
  <c r="BN32" i="63"/>
  <c r="BV32" i="63"/>
  <c r="BO32" i="63"/>
  <c r="BW32" i="63"/>
  <c r="BP32" i="63"/>
  <c r="BQ32" i="63"/>
  <c r="BR32" i="63"/>
  <c r="BS32" i="63"/>
  <c r="BK32" i="63"/>
  <c r="BG32" i="63"/>
  <c r="BX32" i="63"/>
  <c r="BH32" i="63"/>
  <c r="BY32" i="63"/>
  <c r="BI32" i="63"/>
  <c r="BZ32" i="63"/>
  <c r="BJ32" i="63"/>
  <c r="CG32" i="63"/>
  <c r="CX30" i="66"/>
  <c r="N21" i="23"/>
  <c r="Q21" i="24" s="1"/>
  <c r="CL32" i="65"/>
  <c r="CJ32" i="65"/>
  <c r="CS32" i="65"/>
  <c r="CK32" i="65"/>
  <c r="CT32" i="65"/>
  <c r="CM32" i="65"/>
  <c r="CU32" i="65"/>
  <c r="CD32" i="65"/>
  <c r="CN32" i="65"/>
  <c r="CV32" i="65"/>
  <c r="CF32" i="65"/>
  <c r="CO32" i="65"/>
  <c r="CW32" i="65"/>
  <c r="CG32" i="65"/>
  <c r="CP32" i="65"/>
  <c r="CH32" i="65"/>
  <c r="CI32" i="65"/>
  <c r="CQ32" i="65"/>
  <c r="CR32" i="65"/>
  <c r="BL32" i="65"/>
  <c r="BT32" i="65"/>
  <c r="BM32" i="65"/>
  <c r="BU32" i="65"/>
  <c r="BN32" i="65"/>
  <c r="BV32" i="65"/>
  <c r="BO32" i="65"/>
  <c r="BW32" i="65"/>
  <c r="BG32" i="65"/>
  <c r="BP32" i="65"/>
  <c r="BX32" i="65"/>
  <c r="BI32" i="65"/>
  <c r="BQ32" i="65"/>
  <c r="BY32" i="65"/>
  <c r="BJ32" i="65"/>
  <c r="BR32" i="65"/>
  <c r="BZ32" i="65"/>
  <c r="BK32" i="65"/>
  <c r="BS32" i="65"/>
  <c r="BH32" i="65"/>
  <c r="CE32" i="65"/>
  <c r="CX31" i="64"/>
  <c r="P31" i="64" s="1"/>
  <c r="CX31" i="63"/>
  <c r="J21" i="23"/>
  <c r="L21" i="24" s="1"/>
  <c r="CL32" i="64"/>
  <c r="CD32" i="64"/>
  <c r="CM32" i="64"/>
  <c r="CU32" i="64"/>
  <c r="CE32" i="64"/>
  <c r="CN32" i="64"/>
  <c r="CV32" i="64"/>
  <c r="CH32" i="64"/>
  <c r="CQ32" i="64"/>
  <c r="CI32" i="64"/>
  <c r="CR32" i="64"/>
  <c r="CK32" i="64"/>
  <c r="CT32" i="64"/>
  <c r="CO32" i="64"/>
  <c r="CP32" i="64"/>
  <c r="CS32" i="64"/>
  <c r="CW32" i="64"/>
  <c r="CF32" i="64"/>
  <c r="CG32" i="64"/>
  <c r="CJ32" i="64"/>
  <c r="BG32" i="64"/>
  <c r="BO32" i="64"/>
  <c r="BW32" i="64"/>
  <c r="BH32" i="64"/>
  <c r="BP32" i="64"/>
  <c r="BX32" i="64"/>
  <c r="BI32" i="64"/>
  <c r="BQ32" i="64"/>
  <c r="BY32" i="64"/>
  <c r="BJ32" i="64"/>
  <c r="BR32" i="64"/>
  <c r="BZ32" i="64"/>
  <c r="BK32" i="64"/>
  <c r="BS32" i="64"/>
  <c r="BL32" i="64"/>
  <c r="BT32" i="64"/>
  <c r="BM32" i="64"/>
  <c r="BN32" i="64"/>
  <c r="BU32" i="64"/>
  <c r="BV32" i="64"/>
  <c r="CL31" i="66"/>
  <c r="CD31" i="66"/>
  <c r="CO31" i="66"/>
  <c r="CW31" i="66"/>
  <c r="CE31" i="66"/>
  <c r="CP31" i="66"/>
  <c r="CG31" i="66"/>
  <c r="CQ31" i="66"/>
  <c r="CH31" i="66"/>
  <c r="CR31" i="66"/>
  <c r="CI31" i="66"/>
  <c r="CS31" i="66"/>
  <c r="CJ31" i="66"/>
  <c r="CT31" i="66"/>
  <c r="CM31" i="66"/>
  <c r="CU31" i="66"/>
  <c r="CN31" i="66"/>
  <c r="CV31" i="66"/>
  <c r="BK31" i="66"/>
  <c r="BT31" i="66"/>
  <c r="BL31" i="66"/>
  <c r="BU31" i="66"/>
  <c r="BM31" i="66"/>
  <c r="BV31" i="66"/>
  <c r="BO31" i="66"/>
  <c r="BW31" i="66"/>
  <c r="BP31" i="66"/>
  <c r="BX31" i="66"/>
  <c r="BG31" i="66"/>
  <c r="BQ31" i="66"/>
  <c r="BY31" i="66"/>
  <c r="BH31" i="66"/>
  <c r="BR31" i="66"/>
  <c r="BZ31" i="66"/>
  <c r="BJ31" i="66"/>
  <c r="BS31" i="66"/>
  <c r="CF31" i="66"/>
  <c r="CK31" i="66"/>
  <c r="BN31" i="66"/>
  <c r="BI31" i="66"/>
  <c r="CX31" i="65"/>
  <c r="AB20" i="23"/>
  <c r="E20" i="25" s="1"/>
  <c r="CX31" i="68"/>
  <c r="Z21" i="23"/>
  <c r="B21" i="25" s="1"/>
  <c r="CL32" i="68"/>
  <c r="CI32" i="68"/>
  <c r="CS32" i="68"/>
  <c r="CJ32" i="68"/>
  <c r="CT32" i="68"/>
  <c r="CM32" i="68"/>
  <c r="CU32" i="68"/>
  <c r="CN32" i="68"/>
  <c r="CV32" i="68"/>
  <c r="CD32" i="68"/>
  <c r="CO32" i="68"/>
  <c r="CW32" i="68"/>
  <c r="CE32" i="68"/>
  <c r="CP32" i="68"/>
  <c r="CG32" i="68"/>
  <c r="CQ32" i="68"/>
  <c r="CH32" i="68"/>
  <c r="CR32" i="68"/>
  <c r="BM32" i="68"/>
  <c r="BV32" i="68"/>
  <c r="BO32" i="68"/>
  <c r="BW32" i="68"/>
  <c r="BP32" i="68"/>
  <c r="BX32" i="68"/>
  <c r="BG32" i="68"/>
  <c r="BQ32" i="68"/>
  <c r="BY32" i="68"/>
  <c r="BH32" i="68"/>
  <c r="BR32" i="68"/>
  <c r="BZ32" i="68"/>
  <c r="BJ32" i="68"/>
  <c r="BS32" i="68"/>
  <c r="BK32" i="68"/>
  <c r="BT32" i="68"/>
  <c r="BL32" i="68"/>
  <c r="BU32" i="68"/>
  <c r="CK32" i="68"/>
  <c r="BI32" i="68"/>
  <c r="BN32" i="68"/>
  <c r="CF32" i="68"/>
  <c r="AJ19" i="23"/>
  <c r="O19" i="25"/>
  <c r="AH20" i="23"/>
  <c r="L20" i="25" s="1"/>
  <c r="D31" i="70"/>
  <c r="AM31" i="70"/>
  <c r="AI31" i="70"/>
  <c r="AX31" i="70"/>
  <c r="AZ31" i="70"/>
  <c r="AN31" i="70"/>
  <c r="AR31" i="70"/>
  <c r="AT31" i="70"/>
  <c r="AP31" i="70"/>
  <c r="AV31" i="70"/>
  <c r="AL31" i="70"/>
  <c r="AJ31" i="70"/>
  <c r="AH31" i="70"/>
  <c r="AY31" i="70"/>
  <c r="AS31" i="70"/>
  <c r="AQ31" i="70"/>
  <c r="AO31" i="70"/>
  <c r="AK31" i="70"/>
  <c r="AW31" i="70"/>
  <c r="AU31" i="70"/>
  <c r="AG31" i="70"/>
  <c r="BB30" i="70"/>
  <c r="BA30" i="70"/>
  <c r="N30" i="70" s="1"/>
  <c r="AG21" i="23"/>
  <c r="K21" i="25" s="1"/>
  <c r="B32" i="70"/>
  <c r="A33" i="70"/>
  <c r="AV20" i="23"/>
  <c r="AD20" i="25"/>
  <c r="J20" i="25"/>
  <c r="AF20" i="23"/>
  <c r="T20" i="25"/>
  <c r="AN20" i="23"/>
  <c r="BA30" i="67"/>
  <c r="N30" i="67" s="1"/>
  <c r="BB30" i="67"/>
  <c r="U21" i="23"/>
  <c r="Z21" i="24" s="1"/>
  <c r="B32" i="67"/>
  <c r="A33" i="67"/>
  <c r="Y19" i="25"/>
  <c r="AR19" i="23"/>
  <c r="V20" i="23"/>
  <c r="AA20" i="24" s="1"/>
  <c r="AW31" i="67"/>
  <c r="AL31" i="67"/>
  <c r="AR31" i="67"/>
  <c r="AO31" i="67"/>
  <c r="AU31" i="67"/>
  <c r="AY31" i="67"/>
  <c r="AQ31" i="67"/>
  <c r="D31" i="67"/>
  <c r="X20" i="23" s="1"/>
  <c r="AD20" i="24" s="1"/>
  <c r="AI31" i="67"/>
  <c r="AX31" i="67"/>
  <c r="AG31" i="67"/>
  <c r="AM31" i="67"/>
  <c r="AK31" i="67"/>
  <c r="AP31" i="67"/>
  <c r="AH31" i="67"/>
  <c r="AJ31" i="67"/>
  <c r="AS31" i="67"/>
  <c r="AZ31" i="67"/>
  <c r="AV31" i="67"/>
  <c r="AN31" i="67"/>
  <c r="AT31" i="67"/>
  <c r="CA30" i="66"/>
  <c r="O30" i="66" s="1"/>
  <c r="BB30" i="66"/>
  <c r="BA30" i="66"/>
  <c r="N30" i="66" s="1"/>
  <c r="R20" i="23"/>
  <c r="V20" i="24" s="1"/>
  <c r="AV31" i="66"/>
  <c r="AN31" i="66"/>
  <c r="AX31" i="66"/>
  <c r="AW31" i="66"/>
  <c r="AS31" i="66"/>
  <c r="AP31" i="66"/>
  <c r="AO31" i="66"/>
  <c r="AT31" i="66"/>
  <c r="AK31" i="66"/>
  <c r="AZ31" i="66"/>
  <c r="AY31" i="66"/>
  <c r="AH31" i="66"/>
  <c r="AG31" i="66"/>
  <c r="AU31" i="66"/>
  <c r="AL31" i="66"/>
  <c r="D31" i="66"/>
  <c r="T20" i="23" s="1"/>
  <c r="Y20" i="24" s="1"/>
  <c r="AR31" i="66"/>
  <c r="AQ31" i="66"/>
  <c r="AM31" i="66"/>
  <c r="AJ31" i="66"/>
  <c r="AI31" i="66"/>
  <c r="Q21" i="23"/>
  <c r="U21" i="24" s="1"/>
  <c r="A33" i="66"/>
  <c r="B32" i="66"/>
  <c r="CA31" i="71"/>
  <c r="O31" i="71" s="1"/>
  <c r="BB31" i="73"/>
  <c r="BA31" i="73"/>
  <c r="N31" i="73" s="1"/>
  <c r="CA31" i="73"/>
  <c r="O31" i="73" s="1"/>
  <c r="AX32" i="73"/>
  <c r="AP32" i="73"/>
  <c r="AH32" i="73"/>
  <c r="AW32" i="73"/>
  <c r="AO32" i="73"/>
  <c r="AG32" i="73"/>
  <c r="AV32" i="73"/>
  <c r="AN32" i="73"/>
  <c r="AU32" i="73"/>
  <c r="AM32" i="73"/>
  <c r="AT32" i="73"/>
  <c r="AL32" i="73"/>
  <c r="AS32" i="73"/>
  <c r="AK32" i="73"/>
  <c r="D32" i="73"/>
  <c r="AZ32" i="73"/>
  <c r="AR32" i="73"/>
  <c r="AJ32" i="73"/>
  <c r="AY32" i="73"/>
  <c r="AQ32" i="73"/>
  <c r="AI32" i="73"/>
  <c r="A34" i="73"/>
  <c r="AS23" i="23" s="1"/>
  <c r="Z23" i="25" s="1"/>
  <c r="B33" i="73"/>
  <c r="BB30" i="72"/>
  <c r="BA30" i="72"/>
  <c r="N30" i="72" s="1"/>
  <c r="AV31" i="72"/>
  <c r="AN31" i="72"/>
  <c r="AU31" i="72"/>
  <c r="AM31" i="72"/>
  <c r="AT31" i="72"/>
  <c r="AL31" i="72"/>
  <c r="AS31" i="72"/>
  <c r="AK31" i="72"/>
  <c r="D31" i="72"/>
  <c r="AY31" i="72"/>
  <c r="AQ31" i="72"/>
  <c r="AI31" i="72"/>
  <c r="AX31" i="72"/>
  <c r="AP31" i="72"/>
  <c r="AH31" i="72"/>
  <c r="AW31" i="72"/>
  <c r="AO31" i="72"/>
  <c r="AG31" i="72"/>
  <c r="AR31" i="72"/>
  <c r="AZ31" i="72"/>
  <c r="AJ31" i="72"/>
  <c r="CA30" i="72"/>
  <c r="O30" i="72" s="1"/>
  <c r="A33" i="72"/>
  <c r="AO22" i="23" s="1"/>
  <c r="U22" i="25" s="1"/>
  <c r="B32" i="72"/>
  <c r="AW32" i="71"/>
  <c r="AO32" i="71"/>
  <c r="AG32" i="71"/>
  <c r="AV32" i="71"/>
  <c r="AN32" i="71"/>
  <c r="AU32" i="71"/>
  <c r="AM32" i="71"/>
  <c r="AY32" i="71"/>
  <c r="AQ32" i="71"/>
  <c r="AI32" i="71"/>
  <c r="AZ32" i="71"/>
  <c r="AJ32" i="71"/>
  <c r="AX32" i="71"/>
  <c r="AH32" i="71"/>
  <c r="AT32" i="71"/>
  <c r="D32" i="71"/>
  <c r="AS32" i="71"/>
  <c r="AR32" i="71"/>
  <c r="AP32" i="71"/>
  <c r="AL32" i="71"/>
  <c r="AK32" i="71"/>
  <c r="B33" i="71"/>
  <c r="A34" i="71"/>
  <c r="AK23" i="23" s="1"/>
  <c r="P23" i="25" s="1"/>
  <c r="BB31" i="71"/>
  <c r="BA31" i="71"/>
  <c r="N31" i="71" s="1"/>
  <c r="Y30" i="71" s="1"/>
  <c r="BB31" i="69"/>
  <c r="BA31" i="69"/>
  <c r="N31" i="69" s="1"/>
  <c r="A34" i="69"/>
  <c r="AC23" i="23" s="1"/>
  <c r="F23" i="25" s="1"/>
  <c r="B33" i="69"/>
  <c r="CA31" i="69"/>
  <c r="O31" i="69" s="1"/>
  <c r="AV32" i="69"/>
  <c r="AN32" i="69"/>
  <c r="AU32" i="69"/>
  <c r="AM32" i="69"/>
  <c r="AT32" i="69"/>
  <c r="AL32" i="69"/>
  <c r="AS32" i="69"/>
  <c r="AK32" i="69"/>
  <c r="D32" i="69"/>
  <c r="AZ32" i="69"/>
  <c r="AR32" i="69"/>
  <c r="AJ32" i="69"/>
  <c r="AY32" i="69"/>
  <c r="AQ32" i="69"/>
  <c r="AI32" i="69"/>
  <c r="AX32" i="69"/>
  <c r="AP32" i="69"/>
  <c r="AH32" i="69"/>
  <c r="AW32" i="69"/>
  <c r="AO32" i="69"/>
  <c r="AG32" i="69"/>
  <c r="AY32" i="68"/>
  <c r="AQ32" i="68"/>
  <c r="AI32" i="68"/>
  <c r="AX32" i="68"/>
  <c r="AP32" i="68"/>
  <c r="AH32" i="68"/>
  <c r="AW32" i="68"/>
  <c r="AO32" i="68"/>
  <c r="AG32" i="68"/>
  <c r="AV32" i="68"/>
  <c r="AN32" i="68"/>
  <c r="AU32" i="68"/>
  <c r="AT32" i="68"/>
  <c r="D32" i="68"/>
  <c r="AS32" i="68"/>
  <c r="AR32" i="68"/>
  <c r="AM32" i="68"/>
  <c r="AL32" i="68"/>
  <c r="AK32" i="68"/>
  <c r="AZ32" i="68"/>
  <c r="AJ32" i="68"/>
  <c r="B33" i="68"/>
  <c r="A34" i="68"/>
  <c r="Y23" i="23" s="1"/>
  <c r="A23" i="25" s="1"/>
  <c r="BB31" i="68"/>
  <c r="BA31" i="68"/>
  <c r="N31" i="68" s="1"/>
  <c r="CA31" i="68"/>
  <c r="O31" i="68" s="1"/>
  <c r="A34" i="65"/>
  <c r="M23" i="23" s="1"/>
  <c r="P23" i="24" s="1"/>
  <c r="B33" i="65"/>
  <c r="BB31" i="65"/>
  <c r="BA31" i="65"/>
  <c r="N31" i="65" s="1"/>
  <c r="AS32" i="65"/>
  <c r="AK32" i="65"/>
  <c r="D32" i="65"/>
  <c r="P21" i="23" s="1"/>
  <c r="T21" i="24" s="1"/>
  <c r="AZ32" i="65"/>
  <c r="AR32" i="65"/>
  <c r="AJ32" i="65"/>
  <c r="AQ32" i="65"/>
  <c r="AG32" i="65"/>
  <c r="AP32" i="65"/>
  <c r="AT32" i="65"/>
  <c r="AO32" i="65"/>
  <c r="AN32" i="65"/>
  <c r="AY32" i="65"/>
  <c r="AM32" i="65"/>
  <c r="AX32" i="65"/>
  <c r="AL32" i="65"/>
  <c r="AW32" i="65"/>
  <c r="AI32" i="65"/>
  <c r="AV32" i="65"/>
  <c r="AH32" i="65"/>
  <c r="AU32" i="65"/>
  <c r="BB31" i="64"/>
  <c r="BA31" i="64"/>
  <c r="N31" i="64" s="1"/>
  <c r="B33" i="64"/>
  <c r="A34" i="64"/>
  <c r="I23" i="23" s="1"/>
  <c r="K23" i="24" s="1"/>
  <c r="CA31" i="64"/>
  <c r="O31" i="64" s="1"/>
  <c r="AU32" i="64"/>
  <c r="AM32" i="64"/>
  <c r="AT32" i="64"/>
  <c r="AL32" i="64"/>
  <c r="AS32" i="64"/>
  <c r="AK32" i="64"/>
  <c r="D32" i="64"/>
  <c r="L21" i="23" s="1"/>
  <c r="O21" i="24" s="1"/>
  <c r="AZ32" i="64"/>
  <c r="AR32" i="64"/>
  <c r="AJ32" i="64"/>
  <c r="AY32" i="64"/>
  <c r="AQ32" i="64"/>
  <c r="AI32" i="64"/>
  <c r="AX32" i="64"/>
  <c r="AP32" i="64"/>
  <c r="AW32" i="64"/>
  <c r="AV32" i="64"/>
  <c r="AO32" i="64"/>
  <c r="AN32" i="64"/>
  <c r="AH32" i="64"/>
  <c r="AG32" i="64"/>
  <c r="CA31" i="63"/>
  <c r="O31" i="63" s="1"/>
  <c r="AT32" i="63"/>
  <c r="AL32" i="63"/>
  <c r="AS32" i="63"/>
  <c r="AK32" i="63"/>
  <c r="D32" i="63"/>
  <c r="H21" i="23" s="1"/>
  <c r="J21" i="24" s="1"/>
  <c r="AQ32" i="63"/>
  <c r="AG32" i="63"/>
  <c r="AZ32" i="63"/>
  <c r="AP32" i="63"/>
  <c r="AY32" i="63"/>
  <c r="AO32" i="63"/>
  <c r="AX32" i="63"/>
  <c r="AN32" i="63"/>
  <c r="AW32" i="63"/>
  <c r="AM32" i="63"/>
  <c r="AV32" i="63"/>
  <c r="AJ32" i="63"/>
  <c r="AU32" i="63"/>
  <c r="AI32" i="63"/>
  <c r="AR32" i="63"/>
  <c r="AH32" i="63"/>
  <c r="B33" i="63"/>
  <c r="A34" i="63"/>
  <c r="E23" i="23" s="1"/>
  <c r="F23" i="24" s="1"/>
  <c r="BB31" i="63"/>
  <c r="BA31" i="63"/>
  <c r="N31" i="63" s="1"/>
  <c r="Y31" i="63" s="1"/>
  <c r="Q31" i="73" l="1"/>
  <c r="Q31" i="71"/>
  <c r="Q31" i="64"/>
  <c r="FN30" i="71"/>
  <c r="FL30" i="71"/>
  <c r="FL31" i="63"/>
  <c r="FN31" i="63"/>
  <c r="CX32" i="63"/>
  <c r="CX32" i="65"/>
  <c r="CX31" i="70"/>
  <c r="CX31" i="67"/>
  <c r="AP21" i="23"/>
  <c r="V21" i="25" s="1"/>
  <c r="CI32" i="72"/>
  <c r="CR32" i="72"/>
  <c r="CJ32" i="72"/>
  <c r="CS32" i="72"/>
  <c r="CK32" i="72"/>
  <c r="CT32" i="72"/>
  <c r="CM32" i="72"/>
  <c r="CN32" i="72"/>
  <c r="CO32" i="72"/>
  <c r="CP32" i="72"/>
  <c r="CD32" i="72"/>
  <c r="CQ32" i="72"/>
  <c r="CF32" i="72"/>
  <c r="CH32" i="72"/>
  <c r="CU32" i="72"/>
  <c r="CV32" i="72"/>
  <c r="CW32" i="72"/>
  <c r="CE32" i="72"/>
  <c r="BK32" i="72"/>
  <c r="BT32" i="72"/>
  <c r="BG32" i="72"/>
  <c r="BQ32" i="72"/>
  <c r="BY32" i="72"/>
  <c r="BP32" i="72"/>
  <c r="BR32" i="72"/>
  <c r="BS32" i="72"/>
  <c r="BH32" i="72"/>
  <c r="BU32" i="72"/>
  <c r="BI32" i="72"/>
  <c r="BV32" i="72"/>
  <c r="BL32" i="72"/>
  <c r="BW32" i="72"/>
  <c r="BM32" i="72"/>
  <c r="BX32" i="72"/>
  <c r="BN32" i="72"/>
  <c r="BZ32" i="72"/>
  <c r="BJ32" i="72"/>
  <c r="CG32" i="72"/>
  <c r="CL32" i="72"/>
  <c r="BO32" i="72"/>
  <c r="AL22" i="23"/>
  <c r="Q22" i="25" s="1"/>
  <c r="CL33" i="71"/>
  <c r="CM33" i="71"/>
  <c r="CU33" i="71"/>
  <c r="CN33" i="71"/>
  <c r="CV33" i="71"/>
  <c r="CD33" i="71"/>
  <c r="CO33" i="71"/>
  <c r="CW33" i="71"/>
  <c r="CH33" i="71"/>
  <c r="CR33" i="71"/>
  <c r="CI33" i="71"/>
  <c r="CS33" i="71"/>
  <c r="CK33" i="71"/>
  <c r="CT33" i="71"/>
  <c r="CG33" i="71"/>
  <c r="CP33" i="71"/>
  <c r="CQ33" i="71"/>
  <c r="CF33" i="71"/>
  <c r="BL33" i="71"/>
  <c r="BU33" i="71"/>
  <c r="BN33" i="71"/>
  <c r="BV33" i="71"/>
  <c r="BO33" i="71"/>
  <c r="BW33" i="71"/>
  <c r="BP33" i="71"/>
  <c r="BX33" i="71"/>
  <c r="BG33" i="71"/>
  <c r="BQ33" i="71"/>
  <c r="BY33" i="71"/>
  <c r="BI33" i="71"/>
  <c r="BR33" i="71"/>
  <c r="BZ33" i="71"/>
  <c r="BJ33" i="71"/>
  <c r="BS33" i="71"/>
  <c r="BK33" i="71"/>
  <c r="BT33" i="71"/>
  <c r="CE33" i="71"/>
  <c r="CJ33" i="71"/>
  <c r="BM33" i="71"/>
  <c r="BH33" i="71"/>
  <c r="AT22" i="23"/>
  <c r="AA22" i="25" s="1"/>
  <c r="CL33" i="73"/>
  <c r="CK33" i="73"/>
  <c r="CT33" i="73"/>
  <c r="CD33" i="73"/>
  <c r="CM33" i="73"/>
  <c r="CU33" i="73"/>
  <c r="CE33" i="73"/>
  <c r="CN33" i="73"/>
  <c r="CV33" i="73"/>
  <c r="CF33" i="73"/>
  <c r="CO33" i="73"/>
  <c r="CW33" i="73"/>
  <c r="CH33" i="73"/>
  <c r="CQ33" i="73"/>
  <c r="CJ33" i="73"/>
  <c r="CS33" i="73"/>
  <c r="CP33" i="73"/>
  <c r="CR33" i="73"/>
  <c r="CG33" i="73"/>
  <c r="CI33" i="73"/>
  <c r="BH33" i="73"/>
  <c r="BP33" i="73"/>
  <c r="BX33" i="73"/>
  <c r="BL33" i="73"/>
  <c r="BT33" i="73"/>
  <c r="BG33" i="73"/>
  <c r="BR33" i="73"/>
  <c r="BJ33" i="73"/>
  <c r="BU33" i="73"/>
  <c r="BK33" i="73"/>
  <c r="BV33" i="73"/>
  <c r="BM33" i="73"/>
  <c r="BW33" i="73"/>
  <c r="BN33" i="73"/>
  <c r="BY33" i="73"/>
  <c r="BO33" i="73"/>
  <c r="BZ33" i="73"/>
  <c r="BQ33" i="73"/>
  <c r="BI33" i="73"/>
  <c r="BS33" i="73"/>
  <c r="CL32" i="70"/>
  <c r="CK32" i="70"/>
  <c r="CT32" i="70"/>
  <c r="CD32" i="70"/>
  <c r="CM32" i="70"/>
  <c r="CI32" i="70"/>
  <c r="CU32" i="70"/>
  <c r="CJ32" i="70"/>
  <c r="CV32" i="70"/>
  <c r="CN32" i="70"/>
  <c r="CW32" i="70"/>
  <c r="CO32" i="70"/>
  <c r="CE32" i="70"/>
  <c r="CP32" i="70"/>
  <c r="CF32" i="70"/>
  <c r="CQ32" i="70"/>
  <c r="CG32" i="70"/>
  <c r="CR32" i="70"/>
  <c r="CH32" i="70"/>
  <c r="CS32" i="70"/>
  <c r="BL32" i="70"/>
  <c r="BT32" i="70"/>
  <c r="BN32" i="70"/>
  <c r="BV32" i="70"/>
  <c r="BK32" i="70"/>
  <c r="BW32" i="70"/>
  <c r="BM32" i="70"/>
  <c r="BX32" i="70"/>
  <c r="BP32" i="70"/>
  <c r="BZ32" i="70"/>
  <c r="BG32" i="70"/>
  <c r="BQ32" i="70"/>
  <c r="BH32" i="70"/>
  <c r="BR32" i="70"/>
  <c r="BI32" i="70"/>
  <c r="BS32" i="70"/>
  <c r="BJ32" i="70"/>
  <c r="BU32" i="70"/>
  <c r="BO32" i="70"/>
  <c r="BY32" i="70"/>
  <c r="CX31" i="72"/>
  <c r="AD22" i="23"/>
  <c r="G22" i="25" s="1"/>
  <c r="CL33" i="69"/>
  <c r="CJ33" i="69"/>
  <c r="CS33" i="69"/>
  <c r="CK33" i="69"/>
  <c r="CT33" i="69"/>
  <c r="CM33" i="69"/>
  <c r="CU33" i="69"/>
  <c r="CO33" i="69"/>
  <c r="CP33" i="69"/>
  <c r="CD33" i="69"/>
  <c r="CQ33" i="69"/>
  <c r="CE33" i="69"/>
  <c r="CR33" i="69"/>
  <c r="CF33" i="69"/>
  <c r="CW33" i="69"/>
  <c r="CH33" i="69"/>
  <c r="CI33" i="69"/>
  <c r="CN33" i="69"/>
  <c r="BK33" i="69"/>
  <c r="BS33" i="69"/>
  <c r="BL33" i="69"/>
  <c r="BT33" i="69"/>
  <c r="BN33" i="69"/>
  <c r="BV33" i="69"/>
  <c r="BO33" i="69"/>
  <c r="BW33" i="69"/>
  <c r="BG33" i="69"/>
  <c r="BP33" i="69"/>
  <c r="BX33" i="69"/>
  <c r="BH33" i="69"/>
  <c r="BQ33" i="69"/>
  <c r="BZ33" i="69"/>
  <c r="BI33" i="69"/>
  <c r="BR33" i="69"/>
  <c r="BM33" i="69"/>
  <c r="BU33" i="69"/>
  <c r="CG33" i="69"/>
  <c r="BY33" i="69"/>
  <c r="BJ33" i="69"/>
  <c r="CV33" i="69"/>
  <c r="CX32" i="71"/>
  <c r="CX32" i="73"/>
  <c r="P32" i="73" s="1"/>
  <c r="CX32" i="69"/>
  <c r="CL32" i="67"/>
  <c r="CH32" i="67"/>
  <c r="CQ32" i="67"/>
  <c r="CI32" i="67"/>
  <c r="CR32" i="67"/>
  <c r="CJ32" i="67"/>
  <c r="CS32" i="67"/>
  <c r="CK32" i="67"/>
  <c r="CT32" i="67"/>
  <c r="CD32" i="67"/>
  <c r="CM32" i="67"/>
  <c r="CU32" i="67"/>
  <c r="CE32" i="67"/>
  <c r="CN32" i="67"/>
  <c r="CV32" i="67"/>
  <c r="CF32" i="67"/>
  <c r="CG32" i="67"/>
  <c r="CO32" i="67"/>
  <c r="CP32" i="67"/>
  <c r="CW32" i="67"/>
  <c r="BK32" i="67"/>
  <c r="BS32" i="67"/>
  <c r="BL32" i="67"/>
  <c r="BT32" i="67"/>
  <c r="BN32" i="67"/>
  <c r="BV32" i="67"/>
  <c r="BG32" i="67"/>
  <c r="BO32" i="67"/>
  <c r="BW32" i="67"/>
  <c r="BH32" i="67"/>
  <c r="BP32" i="67"/>
  <c r="BX32" i="67"/>
  <c r="BI32" i="67"/>
  <c r="BQ32" i="67"/>
  <c r="BY32" i="67"/>
  <c r="BJ32" i="67"/>
  <c r="BR32" i="67"/>
  <c r="BZ32" i="67"/>
  <c r="BM32" i="67"/>
  <c r="BU32" i="67"/>
  <c r="CX31" i="66"/>
  <c r="CX32" i="64"/>
  <c r="P32" i="64" s="1"/>
  <c r="J22" i="23"/>
  <c r="L22" i="24" s="1"/>
  <c r="CL33" i="64"/>
  <c r="CI33" i="64"/>
  <c r="CR33" i="64"/>
  <c r="CJ33" i="64"/>
  <c r="CS33" i="64"/>
  <c r="CE33" i="64"/>
  <c r="CN33" i="64"/>
  <c r="CV33" i="64"/>
  <c r="CF33" i="64"/>
  <c r="CO33" i="64"/>
  <c r="CW33" i="64"/>
  <c r="CH33" i="64"/>
  <c r="CQ33" i="64"/>
  <c r="CP33" i="64"/>
  <c r="CT33" i="64"/>
  <c r="CU33" i="64"/>
  <c r="CD33" i="64"/>
  <c r="CG33" i="64"/>
  <c r="CK33" i="64"/>
  <c r="CM33" i="64"/>
  <c r="BK33" i="64"/>
  <c r="BS33" i="64"/>
  <c r="BL33" i="64"/>
  <c r="BT33" i="64"/>
  <c r="BM33" i="64"/>
  <c r="BU33" i="64"/>
  <c r="BN33" i="64"/>
  <c r="BV33" i="64"/>
  <c r="BG33" i="64"/>
  <c r="BO33" i="64"/>
  <c r="BW33" i="64"/>
  <c r="BH33" i="64"/>
  <c r="BP33" i="64"/>
  <c r="BX33" i="64"/>
  <c r="BQ33" i="64"/>
  <c r="BR33" i="64"/>
  <c r="BY33" i="64"/>
  <c r="BZ33" i="64"/>
  <c r="BI33" i="64"/>
  <c r="BJ33" i="64"/>
  <c r="F22" i="23"/>
  <c r="G22" i="24" s="1"/>
  <c r="CL33" i="63"/>
  <c r="CM33" i="63"/>
  <c r="CU33" i="63"/>
  <c r="CD33" i="63"/>
  <c r="CN33" i="63"/>
  <c r="CV33" i="63"/>
  <c r="CE33" i="63"/>
  <c r="CO33" i="63"/>
  <c r="CW33" i="63"/>
  <c r="CF33" i="63"/>
  <c r="CP33" i="63"/>
  <c r="CG33" i="63"/>
  <c r="CQ33" i="63"/>
  <c r="CR33" i="63"/>
  <c r="CS33" i="63"/>
  <c r="CT33" i="63"/>
  <c r="CI33" i="63"/>
  <c r="CJ33" i="63"/>
  <c r="CK33" i="63"/>
  <c r="BH33" i="63"/>
  <c r="BQ33" i="63"/>
  <c r="BY33" i="63"/>
  <c r="BI33" i="63"/>
  <c r="BR33" i="63"/>
  <c r="BZ33" i="63"/>
  <c r="BJ33" i="63"/>
  <c r="BS33" i="63"/>
  <c r="BL33" i="63"/>
  <c r="BT33" i="63"/>
  <c r="BM33" i="63"/>
  <c r="BN33" i="63"/>
  <c r="BO33" i="63"/>
  <c r="BX33" i="63"/>
  <c r="BP33" i="63"/>
  <c r="BU33" i="63"/>
  <c r="BV33" i="63"/>
  <c r="BW33" i="63"/>
  <c r="BG33" i="63"/>
  <c r="BK33" i="63"/>
  <c r="CH33" i="63"/>
  <c r="N22" i="23"/>
  <c r="Q22" i="24" s="1"/>
  <c r="CL33" i="65"/>
  <c r="CH33" i="65"/>
  <c r="CR33" i="65"/>
  <c r="CI33" i="65"/>
  <c r="CS33" i="65"/>
  <c r="CJ33" i="65"/>
  <c r="CT33" i="65"/>
  <c r="CM33" i="65"/>
  <c r="CU33" i="65"/>
  <c r="CN33" i="65"/>
  <c r="CV33" i="65"/>
  <c r="CD33" i="65"/>
  <c r="CO33" i="65"/>
  <c r="CW33" i="65"/>
  <c r="CE33" i="65"/>
  <c r="CG33" i="65"/>
  <c r="CP33" i="65"/>
  <c r="CQ33" i="65"/>
  <c r="BH33" i="65"/>
  <c r="BR33" i="65"/>
  <c r="BZ33" i="65"/>
  <c r="BJ33" i="65"/>
  <c r="BS33" i="65"/>
  <c r="BK33" i="65"/>
  <c r="BT33" i="65"/>
  <c r="BL33" i="65"/>
  <c r="BU33" i="65"/>
  <c r="BM33" i="65"/>
  <c r="BV33" i="65"/>
  <c r="BO33" i="65"/>
  <c r="BW33" i="65"/>
  <c r="BP33" i="65"/>
  <c r="BX33" i="65"/>
  <c r="BG33" i="65"/>
  <c r="BQ33" i="65"/>
  <c r="BY33" i="65"/>
  <c r="CF33" i="65"/>
  <c r="BI33" i="65"/>
  <c r="CK33" i="65"/>
  <c r="BN33" i="65"/>
  <c r="CL32" i="66"/>
  <c r="CM32" i="66"/>
  <c r="CU32" i="66"/>
  <c r="CD32" i="66"/>
  <c r="CN32" i="66"/>
  <c r="CV32" i="66"/>
  <c r="CE32" i="66"/>
  <c r="CO32" i="66"/>
  <c r="CW32" i="66"/>
  <c r="CF32" i="66"/>
  <c r="CP32" i="66"/>
  <c r="CH32" i="66"/>
  <c r="CQ32" i="66"/>
  <c r="CI32" i="66"/>
  <c r="CR32" i="66"/>
  <c r="CJ32" i="66"/>
  <c r="CS32" i="66"/>
  <c r="CK32" i="66"/>
  <c r="CT32" i="66"/>
  <c r="BH32" i="66"/>
  <c r="BQ32" i="66"/>
  <c r="BY32" i="66"/>
  <c r="BI32" i="66"/>
  <c r="BR32" i="66"/>
  <c r="BZ32" i="66"/>
  <c r="BK32" i="66"/>
  <c r="BS32" i="66"/>
  <c r="BL32" i="66"/>
  <c r="BT32" i="66"/>
  <c r="BM32" i="66"/>
  <c r="BU32" i="66"/>
  <c r="BN32" i="66"/>
  <c r="BV32" i="66"/>
  <c r="BO32" i="66"/>
  <c r="BW32" i="66"/>
  <c r="BG32" i="66"/>
  <c r="BP32" i="66"/>
  <c r="BX32" i="66"/>
  <c r="BJ32" i="66"/>
  <c r="CG32" i="66"/>
  <c r="AB21" i="23"/>
  <c r="E21" i="25" s="1"/>
  <c r="CX32" i="68"/>
  <c r="Z22" i="23"/>
  <c r="B22" i="25" s="1"/>
  <c r="CH33" i="68"/>
  <c r="CQ33" i="68"/>
  <c r="CI33" i="68"/>
  <c r="CR33" i="68"/>
  <c r="CJ33" i="68"/>
  <c r="CS33" i="68"/>
  <c r="CK33" i="68"/>
  <c r="CT33" i="68"/>
  <c r="CM33" i="68"/>
  <c r="CU33" i="68"/>
  <c r="CD33" i="68"/>
  <c r="CN33" i="68"/>
  <c r="CV33" i="68"/>
  <c r="CE33" i="68"/>
  <c r="CO33" i="68"/>
  <c r="CW33" i="68"/>
  <c r="CF33" i="68"/>
  <c r="CP33" i="68"/>
  <c r="BK33" i="68"/>
  <c r="BT33" i="68"/>
  <c r="BL33" i="68"/>
  <c r="BU33" i="68"/>
  <c r="BM33" i="68"/>
  <c r="BV33" i="68"/>
  <c r="BN33" i="68"/>
  <c r="BW33" i="68"/>
  <c r="BP33" i="68"/>
  <c r="BX33" i="68"/>
  <c r="BG33" i="68"/>
  <c r="BQ33" i="68"/>
  <c r="BY33" i="68"/>
  <c r="BH33" i="68"/>
  <c r="BR33" i="68"/>
  <c r="BZ33" i="68"/>
  <c r="BI33" i="68"/>
  <c r="BS33" i="68"/>
  <c r="CG33" i="68"/>
  <c r="BO33" i="68"/>
  <c r="BJ33" i="68"/>
  <c r="CL33" i="68"/>
  <c r="BA31" i="70"/>
  <c r="N31" i="70" s="1"/>
  <c r="Y31" i="70" s="1"/>
  <c r="BB31" i="70"/>
  <c r="AG22" i="23"/>
  <c r="K22" i="25" s="1"/>
  <c r="B33" i="70"/>
  <c r="A34" i="70"/>
  <c r="AJ20" i="23"/>
  <c r="O20" i="25"/>
  <c r="AH21" i="23"/>
  <c r="L21" i="25" s="1"/>
  <c r="AZ32" i="70"/>
  <c r="D32" i="70"/>
  <c r="AK32" i="70"/>
  <c r="AH32" i="70"/>
  <c r="AR32" i="70"/>
  <c r="AG32" i="70"/>
  <c r="AU32" i="70"/>
  <c r="AJ32" i="70"/>
  <c r="AY32" i="70"/>
  <c r="AM32" i="70"/>
  <c r="AO32" i="70"/>
  <c r="AW32" i="70"/>
  <c r="AL32" i="70"/>
  <c r="AS32" i="70"/>
  <c r="AP32" i="70"/>
  <c r="AX32" i="70"/>
  <c r="AQ32" i="70"/>
  <c r="AT32" i="70"/>
  <c r="AN32" i="70"/>
  <c r="AV32" i="70"/>
  <c r="AI32" i="70"/>
  <c r="BB31" i="67"/>
  <c r="BA31" i="67"/>
  <c r="N31" i="67" s="1"/>
  <c r="Y30" i="67" s="1"/>
  <c r="T21" i="25"/>
  <c r="AN21" i="23"/>
  <c r="AR20" i="23"/>
  <c r="Y20" i="25"/>
  <c r="U22" i="23"/>
  <c r="Z22" i="24" s="1"/>
  <c r="A34" i="67"/>
  <c r="B33" i="67"/>
  <c r="J21" i="25"/>
  <c r="AF21" i="23"/>
  <c r="V21" i="23"/>
  <c r="AA21" i="24" s="1"/>
  <c r="AQ32" i="67"/>
  <c r="AT32" i="67"/>
  <c r="AI32" i="67"/>
  <c r="AH32" i="67"/>
  <c r="AZ32" i="67"/>
  <c r="AL32" i="67"/>
  <c r="AY32" i="67"/>
  <c r="AS32" i="67"/>
  <c r="AR32" i="67"/>
  <c r="AV32" i="67"/>
  <c r="AP32" i="67"/>
  <c r="AK32" i="67"/>
  <c r="AJ32" i="67"/>
  <c r="AW32" i="67"/>
  <c r="AN32" i="67"/>
  <c r="AM32" i="67"/>
  <c r="D32" i="67"/>
  <c r="X21" i="23" s="1"/>
  <c r="AD21" i="24" s="1"/>
  <c r="AO32" i="67"/>
  <c r="AX32" i="67"/>
  <c r="AU32" i="67"/>
  <c r="AG32" i="67"/>
  <c r="AV21" i="23"/>
  <c r="AD21" i="25"/>
  <c r="Q22" i="23"/>
  <c r="U22" i="24" s="1"/>
  <c r="B33" i="66"/>
  <c r="A34" i="66"/>
  <c r="BB31" i="66"/>
  <c r="BA31" i="66"/>
  <c r="N31" i="66" s="1"/>
  <c r="R21" i="23"/>
  <c r="V21" i="24" s="1"/>
  <c r="AO32" i="66"/>
  <c r="AU32" i="66"/>
  <c r="AL32" i="66"/>
  <c r="D32" i="66"/>
  <c r="T21" i="23" s="1"/>
  <c r="Y21" i="24" s="1"/>
  <c r="AH32" i="66"/>
  <c r="AX32" i="66"/>
  <c r="AG32" i="66"/>
  <c r="AM32" i="66"/>
  <c r="AP32" i="66"/>
  <c r="AY32" i="66"/>
  <c r="AQ32" i="66"/>
  <c r="AV32" i="66"/>
  <c r="AZ32" i="66"/>
  <c r="AI32" i="66"/>
  <c r="AN32" i="66"/>
  <c r="AS32" i="66"/>
  <c r="AR32" i="66"/>
  <c r="AJ32" i="66"/>
  <c r="AW32" i="66"/>
  <c r="AT32" i="66"/>
  <c r="AK32" i="66"/>
  <c r="CA31" i="66"/>
  <c r="O31" i="66" s="1"/>
  <c r="AY33" i="73"/>
  <c r="AQ33" i="73"/>
  <c r="AI33" i="73"/>
  <c r="AX33" i="73"/>
  <c r="AO33" i="73"/>
  <c r="AW33" i="73"/>
  <c r="AN33" i="73"/>
  <c r="AV33" i="73"/>
  <c r="AM33" i="73"/>
  <c r="AU33" i="73"/>
  <c r="AL33" i="73"/>
  <c r="D33" i="73"/>
  <c r="AT33" i="73"/>
  <c r="AK33" i="73"/>
  <c r="AS33" i="73"/>
  <c r="AJ33" i="73"/>
  <c r="AR33" i="73"/>
  <c r="AH33" i="73"/>
  <c r="AZ33" i="73"/>
  <c r="AP33" i="73"/>
  <c r="AG33" i="73"/>
  <c r="B34" i="73"/>
  <c r="A35" i="73"/>
  <c r="AS24" i="23" s="1"/>
  <c r="Z24" i="25" s="1"/>
  <c r="BB32" i="73"/>
  <c r="BA32" i="73"/>
  <c r="N32" i="73" s="1"/>
  <c r="CA32" i="73"/>
  <c r="O32" i="73" s="1"/>
  <c r="AS32" i="72"/>
  <c r="AK32" i="72"/>
  <c r="D32" i="72"/>
  <c r="AU32" i="72"/>
  <c r="AL32" i="72"/>
  <c r="AT32" i="72"/>
  <c r="AJ32" i="72"/>
  <c r="AR32" i="72"/>
  <c r="AI32" i="72"/>
  <c r="AZ32" i="72"/>
  <c r="AQ32" i="72"/>
  <c r="AH32" i="72"/>
  <c r="AY32" i="72"/>
  <c r="AP32" i="72"/>
  <c r="AG32" i="72"/>
  <c r="AX32" i="72"/>
  <c r="AO32" i="72"/>
  <c r="AW32" i="72"/>
  <c r="AN32" i="72"/>
  <c r="AV32" i="72"/>
  <c r="AM32" i="72"/>
  <c r="A34" i="72"/>
  <c r="AO23" i="23" s="1"/>
  <c r="U23" i="25" s="1"/>
  <c r="B33" i="72"/>
  <c r="BB31" i="72"/>
  <c r="BA31" i="72"/>
  <c r="N31" i="72" s="1"/>
  <c r="CA31" i="72"/>
  <c r="O31" i="72" s="1"/>
  <c r="BB32" i="71"/>
  <c r="BA32" i="71"/>
  <c r="N32" i="71" s="1"/>
  <c r="A35" i="71"/>
  <c r="AK24" i="23" s="1"/>
  <c r="P24" i="25" s="1"/>
  <c r="B34" i="71"/>
  <c r="AZ33" i="71"/>
  <c r="AR33" i="71"/>
  <c r="AJ33" i="71"/>
  <c r="AY33" i="71"/>
  <c r="AQ33" i="71"/>
  <c r="AI33" i="71"/>
  <c r="AX33" i="71"/>
  <c r="AP33" i="71"/>
  <c r="AH33" i="71"/>
  <c r="AV33" i="71"/>
  <c r="AN33" i="71"/>
  <c r="AT33" i="71"/>
  <c r="AL33" i="71"/>
  <c r="AW33" i="71"/>
  <c r="D33" i="71"/>
  <c r="AU33" i="71"/>
  <c r="AS33" i="71"/>
  <c r="AO33" i="71"/>
  <c r="AM33" i="71"/>
  <c r="AK33" i="71"/>
  <c r="AG33" i="71"/>
  <c r="BB32" i="69"/>
  <c r="BA32" i="69"/>
  <c r="N32" i="69" s="1"/>
  <c r="AW33" i="69"/>
  <c r="AO33" i="69"/>
  <c r="AG33" i="69"/>
  <c r="AZ33" i="69"/>
  <c r="AQ33" i="69"/>
  <c r="AH33" i="69"/>
  <c r="AY33" i="69"/>
  <c r="AP33" i="69"/>
  <c r="AX33" i="69"/>
  <c r="AN33" i="69"/>
  <c r="AV33" i="69"/>
  <c r="AM33" i="69"/>
  <c r="D33" i="69"/>
  <c r="AU33" i="69"/>
  <c r="AL33" i="69"/>
  <c r="AT33" i="69"/>
  <c r="AK33" i="69"/>
  <c r="AS33" i="69"/>
  <c r="AJ33" i="69"/>
  <c r="AR33" i="69"/>
  <c r="AI33" i="69"/>
  <c r="B34" i="69"/>
  <c r="A35" i="69"/>
  <c r="AC24" i="23" s="1"/>
  <c r="F24" i="25" s="1"/>
  <c r="CA32" i="69"/>
  <c r="O32" i="69" s="1"/>
  <c r="BB32" i="68"/>
  <c r="BA32" i="68"/>
  <c r="N32" i="68" s="1"/>
  <c r="CA32" i="68"/>
  <c r="O32" i="68" s="1"/>
  <c r="A35" i="68"/>
  <c r="Y24" i="23" s="1"/>
  <c r="A24" i="25" s="1"/>
  <c r="B34" i="68"/>
  <c r="AT33" i="68"/>
  <c r="AL33" i="68"/>
  <c r="AS33" i="68"/>
  <c r="AK33" i="68"/>
  <c r="D33" i="68"/>
  <c r="AZ33" i="68"/>
  <c r="AR33" i="68"/>
  <c r="AJ33" i="68"/>
  <c r="AY33" i="68"/>
  <c r="AQ33" i="68"/>
  <c r="AI33" i="68"/>
  <c r="AO33" i="68"/>
  <c r="AN33" i="68"/>
  <c r="AM33" i="68"/>
  <c r="AX33" i="68"/>
  <c r="AH33" i="68"/>
  <c r="AW33" i="68"/>
  <c r="AG33" i="68"/>
  <c r="AV33" i="68"/>
  <c r="AU33" i="68"/>
  <c r="AP33" i="68"/>
  <c r="BB32" i="65"/>
  <c r="BA32" i="65"/>
  <c r="N32" i="65" s="1"/>
  <c r="CA32" i="65"/>
  <c r="O32" i="65" s="1"/>
  <c r="AV33" i="65"/>
  <c r="AN33" i="65"/>
  <c r="AU33" i="65"/>
  <c r="AM33" i="65"/>
  <c r="AZ33" i="65"/>
  <c r="AP33" i="65"/>
  <c r="AY33" i="65"/>
  <c r="AO33" i="65"/>
  <c r="D33" i="65"/>
  <c r="P22" i="23" s="1"/>
  <c r="T22" i="24" s="1"/>
  <c r="AX33" i="65"/>
  <c r="AJ33" i="65"/>
  <c r="AW33" i="65"/>
  <c r="AI33" i="65"/>
  <c r="AT33" i="65"/>
  <c r="AH33" i="65"/>
  <c r="AS33" i="65"/>
  <c r="AG33" i="65"/>
  <c r="AR33" i="65"/>
  <c r="AQ33" i="65"/>
  <c r="AL33" i="65"/>
  <c r="AK33" i="65"/>
  <c r="A35" i="65"/>
  <c r="M24" i="23" s="1"/>
  <c r="P24" i="24" s="1"/>
  <c r="B34" i="65"/>
  <c r="CA32" i="64"/>
  <c r="O32" i="64" s="1"/>
  <c r="A35" i="64"/>
  <c r="I24" i="23" s="1"/>
  <c r="K24" i="24" s="1"/>
  <c r="B34" i="64"/>
  <c r="AX33" i="64"/>
  <c r="AP33" i="64"/>
  <c r="AH33" i="64"/>
  <c r="AW33" i="64"/>
  <c r="AO33" i="64"/>
  <c r="AG33" i="64"/>
  <c r="AV33" i="64"/>
  <c r="AN33" i="64"/>
  <c r="AU33" i="64"/>
  <c r="AM33" i="64"/>
  <c r="AT33" i="64"/>
  <c r="AL33" i="64"/>
  <c r="AS33" i="64"/>
  <c r="AK33" i="64"/>
  <c r="D33" i="64"/>
  <c r="L22" i="23" s="1"/>
  <c r="O22" i="24" s="1"/>
  <c r="AZ33" i="64"/>
  <c r="AR33" i="64"/>
  <c r="AJ33" i="64"/>
  <c r="AY33" i="64"/>
  <c r="AQ33" i="64"/>
  <c r="AI33" i="64"/>
  <c r="BB32" i="64"/>
  <c r="BA32" i="64"/>
  <c r="N32" i="64" s="1"/>
  <c r="B34" i="63"/>
  <c r="A35" i="63"/>
  <c r="E24" i="23" s="1"/>
  <c r="F24" i="24" s="1"/>
  <c r="BB32" i="63"/>
  <c r="BA32" i="63"/>
  <c r="N32" i="63" s="1"/>
  <c r="AW33" i="63"/>
  <c r="AO33" i="63"/>
  <c r="AY33" i="63"/>
  <c r="AP33" i="63"/>
  <c r="AG33" i="63"/>
  <c r="AX33" i="63"/>
  <c r="AN33" i="63"/>
  <c r="AQ33" i="63"/>
  <c r="D33" i="63"/>
  <c r="H22" i="23" s="1"/>
  <c r="J22" i="24" s="1"/>
  <c r="AM33" i="63"/>
  <c r="AZ33" i="63"/>
  <c r="AL33" i="63"/>
  <c r="AV33" i="63"/>
  <c r="AK33" i="63"/>
  <c r="AU33" i="63"/>
  <c r="AJ33" i="63"/>
  <c r="AT33" i="63"/>
  <c r="AI33" i="63"/>
  <c r="AS33" i="63"/>
  <c r="AH33" i="63"/>
  <c r="AR33" i="63"/>
  <c r="Q32" i="64" l="1"/>
  <c r="Q32" i="73"/>
  <c r="FL30" i="67"/>
  <c r="FN30" i="67"/>
  <c r="FN31" i="70"/>
  <c r="FL31" i="70"/>
  <c r="CL33" i="70"/>
  <c r="CI33" i="70"/>
  <c r="CR33" i="70"/>
  <c r="CJ33" i="70"/>
  <c r="CS33" i="70"/>
  <c r="CK33" i="70"/>
  <c r="CT33" i="70"/>
  <c r="CD33" i="70"/>
  <c r="CM33" i="70"/>
  <c r="CU33" i="70"/>
  <c r="CE33" i="70"/>
  <c r="CN33" i="70"/>
  <c r="CV33" i="70"/>
  <c r="CF33" i="70"/>
  <c r="CO33" i="70"/>
  <c r="CW33" i="70"/>
  <c r="CG33" i="70"/>
  <c r="CP33" i="70"/>
  <c r="CH33" i="70"/>
  <c r="CQ33" i="70"/>
  <c r="BH33" i="70"/>
  <c r="BP33" i="70"/>
  <c r="BX33" i="70"/>
  <c r="BJ33" i="70"/>
  <c r="BM33" i="70"/>
  <c r="BV33" i="70"/>
  <c r="BN33" i="70"/>
  <c r="BW33" i="70"/>
  <c r="BQ33" i="70"/>
  <c r="BZ33" i="70"/>
  <c r="BG33" i="70"/>
  <c r="BR33" i="70"/>
  <c r="BI33" i="70"/>
  <c r="BS33" i="70"/>
  <c r="BK33" i="70"/>
  <c r="BT33" i="70"/>
  <c r="BL33" i="70"/>
  <c r="BU33" i="70"/>
  <c r="BO33" i="70"/>
  <c r="BY33" i="70"/>
  <c r="CX33" i="69"/>
  <c r="CX32" i="70"/>
  <c r="CX33" i="73"/>
  <c r="P33" i="73" s="1"/>
  <c r="AP22" i="23"/>
  <c r="V22" i="25" s="1"/>
  <c r="CL33" i="72"/>
  <c r="CF33" i="72"/>
  <c r="CQ33" i="72"/>
  <c r="CG33" i="72"/>
  <c r="CR33" i="72"/>
  <c r="CI33" i="72"/>
  <c r="CS33" i="72"/>
  <c r="CD33" i="72"/>
  <c r="CU33" i="72"/>
  <c r="CE33" i="72"/>
  <c r="CV33" i="72"/>
  <c r="CJ33" i="72"/>
  <c r="CW33" i="72"/>
  <c r="CK33" i="72"/>
  <c r="CN33" i="72"/>
  <c r="CO33" i="72"/>
  <c r="CP33" i="72"/>
  <c r="CT33" i="72"/>
  <c r="BH33" i="72"/>
  <c r="BR33" i="72"/>
  <c r="BZ33" i="72"/>
  <c r="BN33" i="72"/>
  <c r="BW33" i="72"/>
  <c r="BG33" i="72"/>
  <c r="BT33" i="72"/>
  <c r="BI33" i="72"/>
  <c r="BU33" i="72"/>
  <c r="BJ33" i="72"/>
  <c r="BV33" i="72"/>
  <c r="BL33" i="72"/>
  <c r="BX33" i="72"/>
  <c r="BM33" i="72"/>
  <c r="BY33" i="72"/>
  <c r="BO33" i="72"/>
  <c r="BQ33" i="72"/>
  <c r="BS33" i="72"/>
  <c r="CH33" i="72"/>
  <c r="BK33" i="72"/>
  <c r="CM33" i="72"/>
  <c r="BP33" i="72"/>
  <c r="CX32" i="72"/>
  <c r="AL23" i="23"/>
  <c r="Q23" i="25" s="1"/>
  <c r="CL34" i="71"/>
  <c r="CJ34" i="71"/>
  <c r="CT34" i="71"/>
  <c r="CM34" i="71"/>
  <c r="CU34" i="71"/>
  <c r="CN34" i="71"/>
  <c r="CV34" i="71"/>
  <c r="CG34" i="71"/>
  <c r="CQ34" i="71"/>
  <c r="CH34" i="71"/>
  <c r="CR34" i="71"/>
  <c r="CI34" i="71"/>
  <c r="CS34" i="71"/>
  <c r="CD34" i="71"/>
  <c r="CE34" i="71"/>
  <c r="CO34" i="71"/>
  <c r="CP34" i="71"/>
  <c r="CW34" i="71"/>
  <c r="BJ34" i="71"/>
  <c r="BS34" i="71"/>
  <c r="BK34" i="71"/>
  <c r="BT34" i="71"/>
  <c r="BL34" i="71"/>
  <c r="BU34" i="71"/>
  <c r="BM34" i="71"/>
  <c r="BV34" i="71"/>
  <c r="BO34" i="71"/>
  <c r="BW34" i="71"/>
  <c r="BP34" i="71"/>
  <c r="BX34" i="71"/>
  <c r="BG34" i="71"/>
  <c r="BQ34" i="71"/>
  <c r="BY34" i="71"/>
  <c r="BH34" i="71"/>
  <c r="BR34" i="71"/>
  <c r="BZ34" i="71"/>
  <c r="BI34" i="71"/>
  <c r="CF34" i="71"/>
  <c r="CK34" i="71"/>
  <c r="BN34" i="71"/>
  <c r="CX32" i="67"/>
  <c r="AT23" i="23"/>
  <c r="AA23" i="25" s="1"/>
  <c r="CL34" i="73"/>
  <c r="CH34" i="73"/>
  <c r="CQ34" i="73"/>
  <c r="CI34" i="73"/>
  <c r="CR34" i="73"/>
  <c r="CJ34" i="73"/>
  <c r="CS34" i="73"/>
  <c r="CK34" i="73"/>
  <c r="CT34" i="73"/>
  <c r="CE34" i="73"/>
  <c r="CN34" i="73"/>
  <c r="CV34" i="73"/>
  <c r="CG34" i="73"/>
  <c r="CP34" i="73"/>
  <c r="CD34" i="73"/>
  <c r="CF34" i="73"/>
  <c r="CM34" i="73"/>
  <c r="CO34" i="73"/>
  <c r="CU34" i="73"/>
  <c r="CW34" i="73"/>
  <c r="BL34" i="73"/>
  <c r="BT34" i="73"/>
  <c r="BH34" i="73"/>
  <c r="BP34" i="73"/>
  <c r="BX34" i="73"/>
  <c r="BI34" i="73"/>
  <c r="BS34" i="73"/>
  <c r="BK34" i="73"/>
  <c r="BV34" i="73"/>
  <c r="BM34" i="73"/>
  <c r="BW34" i="73"/>
  <c r="BN34" i="73"/>
  <c r="BY34" i="73"/>
  <c r="BO34" i="73"/>
  <c r="BZ34" i="73"/>
  <c r="BQ34" i="73"/>
  <c r="BG34" i="73"/>
  <c r="BR34" i="73"/>
  <c r="BU34" i="73"/>
  <c r="BJ34" i="73"/>
  <c r="CL33" i="67"/>
  <c r="CF33" i="67"/>
  <c r="CO33" i="67"/>
  <c r="CW33" i="67"/>
  <c r="CG33" i="67"/>
  <c r="CP33" i="67"/>
  <c r="CH33" i="67"/>
  <c r="CQ33" i="67"/>
  <c r="CI33" i="67"/>
  <c r="CR33" i="67"/>
  <c r="CJ33" i="67"/>
  <c r="CS33" i="67"/>
  <c r="CK33" i="67"/>
  <c r="CT33" i="67"/>
  <c r="CE33" i="67"/>
  <c r="CM33" i="67"/>
  <c r="CN33" i="67"/>
  <c r="CU33" i="67"/>
  <c r="CV33" i="67"/>
  <c r="BH33" i="67"/>
  <c r="BQ33" i="67"/>
  <c r="BY33" i="67"/>
  <c r="BI33" i="67"/>
  <c r="BR33" i="67"/>
  <c r="BZ33" i="67"/>
  <c r="BK33" i="67"/>
  <c r="BT33" i="67"/>
  <c r="BM33" i="67"/>
  <c r="BU33" i="67"/>
  <c r="BN33" i="67"/>
  <c r="BV33" i="67"/>
  <c r="BO33" i="67"/>
  <c r="BW33" i="67"/>
  <c r="BP33" i="67"/>
  <c r="BX33" i="67"/>
  <c r="BJ33" i="67"/>
  <c r="BS33" i="67"/>
  <c r="BL33" i="67"/>
  <c r="BG33" i="67"/>
  <c r="CD33" i="67"/>
  <c r="AD23" i="23"/>
  <c r="G23" i="25" s="1"/>
  <c r="CL34" i="69"/>
  <c r="CI34" i="69"/>
  <c r="CS34" i="69"/>
  <c r="CJ34" i="69"/>
  <c r="CT34" i="69"/>
  <c r="CK34" i="69"/>
  <c r="CU34" i="69"/>
  <c r="CG34" i="69"/>
  <c r="CN34" i="69"/>
  <c r="CO34" i="69"/>
  <c r="CP34" i="69"/>
  <c r="CQ34" i="69"/>
  <c r="CD34" i="69"/>
  <c r="CR34" i="69"/>
  <c r="CE34" i="69"/>
  <c r="CF34" i="69"/>
  <c r="CV34" i="69"/>
  <c r="BH34" i="69"/>
  <c r="BR34" i="69"/>
  <c r="BI34" i="69"/>
  <c r="BS34" i="69"/>
  <c r="BL34" i="69"/>
  <c r="BU34" i="69"/>
  <c r="BM34" i="69"/>
  <c r="BV34" i="69"/>
  <c r="BN34" i="69"/>
  <c r="BW34" i="69"/>
  <c r="BO34" i="69"/>
  <c r="BX34" i="69"/>
  <c r="BG34" i="69"/>
  <c r="BQ34" i="69"/>
  <c r="BY34" i="69"/>
  <c r="BJ34" i="69"/>
  <c r="BT34" i="69"/>
  <c r="CM34" i="69"/>
  <c r="CW34" i="69"/>
  <c r="BP34" i="69"/>
  <c r="BZ34" i="69"/>
  <c r="CH34" i="69"/>
  <c r="BK34" i="69"/>
  <c r="CX33" i="71"/>
  <c r="CX33" i="63"/>
  <c r="CL33" i="66"/>
  <c r="CJ33" i="66"/>
  <c r="CS33" i="66"/>
  <c r="CK33" i="66"/>
  <c r="CT33" i="66"/>
  <c r="CM33" i="66"/>
  <c r="CU33" i="66"/>
  <c r="CD33" i="66"/>
  <c r="CN33" i="66"/>
  <c r="CV33" i="66"/>
  <c r="CE33" i="66"/>
  <c r="CO33" i="66"/>
  <c r="CW33" i="66"/>
  <c r="CF33" i="66"/>
  <c r="CP33" i="66"/>
  <c r="CG33" i="66"/>
  <c r="CQ33" i="66"/>
  <c r="CI33" i="66"/>
  <c r="CR33" i="66"/>
  <c r="BN33" i="66"/>
  <c r="BV33" i="66"/>
  <c r="BO33" i="66"/>
  <c r="BW33" i="66"/>
  <c r="BG33" i="66"/>
  <c r="BP33" i="66"/>
  <c r="BX33" i="66"/>
  <c r="BH33" i="66"/>
  <c r="BQ33" i="66"/>
  <c r="BY33" i="66"/>
  <c r="BI33" i="66"/>
  <c r="BR33" i="66"/>
  <c r="BZ33" i="66"/>
  <c r="BJ33" i="66"/>
  <c r="BS33" i="66"/>
  <c r="BL33" i="66"/>
  <c r="BT33" i="66"/>
  <c r="BM33" i="66"/>
  <c r="BU33" i="66"/>
  <c r="CH33" i="66"/>
  <c r="BK33" i="66"/>
  <c r="CX33" i="64"/>
  <c r="P33" i="64" s="1"/>
  <c r="N23" i="23"/>
  <c r="Q23" i="24" s="1"/>
  <c r="CL34" i="65"/>
  <c r="CF34" i="65"/>
  <c r="CP34" i="65"/>
  <c r="CH34" i="65"/>
  <c r="CQ34" i="65"/>
  <c r="CI34" i="65"/>
  <c r="CR34" i="65"/>
  <c r="CJ34" i="65"/>
  <c r="CS34" i="65"/>
  <c r="CK34" i="65"/>
  <c r="CT34" i="65"/>
  <c r="CM34" i="65"/>
  <c r="CU34" i="65"/>
  <c r="CV34" i="65"/>
  <c r="CW34" i="65"/>
  <c r="CD34" i="65"/>
  <c r="CE34" i="65"/>
  <c r="CN34" i="65"/>
  <c r="CO34" i="65"/>
  <c r="BO34" i="65"/>
  <c r="BW34" i="65"/>
  <c r="BG34" i="65"/>
  <c r="BP34" i="65"/>
  <c r="BX34" i="65"/>
  <c r="BH34" i="65"/>
  <c r="BQ34" i="65"/>
  <c r="BY34" i="65"/>
  <c r="BI34" i="65"/>
  <c r="BR34" i="65"/>
  <c r="BZ34" i="65"/>
  <c r="BK34" i="65"/>
  <c r="BS34" i="65"/>
  <c r="BL34" i="65"/>
  <c r="BT34" i="65"/>
  <c r="BM34" i="65"/>
  <c r="BU34" i="65"/>
  <c r="BN34" i="65"/>
  <c r="BV34" i="65"/>
  <c r="BJ34" i="65"/>
  <c r="CG34" i="65"/>
  <c r="F23" i="23"/>
  <c r="G23" i="24" s="1"/>
  <c r="CL34" i="63"/>
  <c r="CI34" i="63"/>
  <c r="CR34" i="63"/>
  <c r="CJ34" i="63"/>
  <c r="CS34" i="63"/>
  <c r="CK34" i="63"/>
  <c r="CT34" i="63"/>
  <c r="CD34" i="63"/>
  <c r="CM34" i="63"/>
  <c r="CU34" i="63"/>
  <c r="CE34" i="63"/>
  <c r="CN34" i="63"/>
  <c r="CV34" i="63"/>
  <c r="CQ34" i="63"/>
  <c r="CW34" i="63"/>
  <c r="CF34" i="63"/>
  <c r="CG34" i="63"/>
  <c r="CH34" i="63"/>
  <c r="CO34" i="63"/>
  <c r="CP34" i="63"/>
  <c r="BM34" i="63"/>
  <c r="BU34" i="63"/>
  <c r="BN34" i="63"/>
  <c r="BV34" i="63"/>
  <c r="BG34" i="63"/>
  <c r="BO34" i="63"/>
  <c r="BW34" i="63"/>
  <c r="BH34" i="63"/>
  <c r="BP34" i="63"/>
  <c r="BX34" i="63"/>
  <c r="BI34" i="63"/>
  <c r="BY34" i="63"/>
  <c r="BJ34" i="63"/>
  <c r="BZ34" i="63"/>
  <c r="BK34" i="63"/>
  <c r="BL34" i="63"/>
  <c r="BQ34" i="63"/>
  <c r="BR34" i="63"/>
  <c r="BS34" i="63"/>
  <c r="BT34" i="63"/>
  <c r="J23" i="23"/>
  <c r="L23" i="24" s="1"/>
  <c r="CL34" i="64"/>
  <c r="CG34" i="64"/>
  <c r="CP34" i="64"/>
  <c r="CH34" i="64"/>
  <c r="CQ34" i="64"/>
  <c r="CK34" i="64"/>
  <c r="CT34" i="64"/>
  <c r="CM34" i="64"/>
  <c r="CU34" i="64"/>
  <c r="CF34" i="64"/>
  <c r="CO34" i="64"/>
  <c r="CW34" i="64"/>
  <c r="CS34" i="64"/>
  <c r="CV34" i="64"/>
  <c r="CE34" i="64"/>
  <c r="CI34" i="64"/>
  <c r="CN34" i="64"/>
  <c r="CR34" i="64"/>
  <c r="CJ34" i="64"/>
  <c r="BH34" i="64"/>
  <c r="BQ34" i="64"/>
  <c r="BY34" i="64"/>
  <c r="BI34" i="64"/>
  <c r="BR34" i="64"/>
  <c r="BZ34" i="64"/>
  <c r="BJ34" i="64"/>
  <c r="BS34" i="64"/>
  <c r="BK34" i="64"/>
  <c r="BT34" i="64"/>
  <c r="BM34" i="64"/>
  <c r="BU34" i="64"/>
  <c r="BN34" i="64"/>
  <c r="BV34" i="64"/>
  <c r="BO34" i="64"/>
  <c r="BP34" i="64"/>
  <c r="BW34" i="64"/>
  <c r="BX34" i="64"/>
  <c r="BL34" i="64"/>
  <c r="BG34" i="64"/>
  <c r="CD34" i="64"/>
  <c r="CX32" i="66"/>
  <c r="CX33" i="65"/>
  <c r="AB22" i="23"/>
  <c r="E22" i="25" s="1"/>
  <c r="CX33" i="68"/>
  <c r="Z23" i="23"/>
  <c r="B23" i="25" s="1"/>
  <c r="CL34" i="68"/>
  <c r="CE34" i="68"/>
  <c r="CP34" i="68"/>
  <c r="CF34" i="68"/>
  <c r="CQ34" i="68"/>
  <c r="CG34" i="68"/>
  <c r="CR34" i="68"/>
  <c r="CI34" i="68"/>
  <c r="CS34" i="68"/>
  <c r="CJ34" i="68"/>
  <c r="CT34" i="68"/>
  <c r="CK34" i="68"/>
  <c r="CU34" i="68"/>
  <c r="CN34" i="68"/>
  <c r="CV34" i="68"/>
  <c r="CD34" i="68"/>
  <c r="CO34" i="68"/>
  <c r="CW34" i="68"/>
  <c r="BH34" i="68"/>
  <c r="BR34" i="68"/>
  <c r="BZ34" i="68"/>
  <c r="BI34" i="68"/>
  <c r="BS34" i="68"/>
  <c r="BJ34" i="68"/>
  <c r="BT34" i="68"/>
  <c r="BL34" i="68"/>
  <c r="BU34" i="68"/>
  <c r="BM34" i="68"/>
  <c r="BV34" i="68"/>
  <c r="BN34" i="68"/>
  <c r="BW34" i="68"/>
  <c r="BO34" i="68"/>
  <c r="BX34" i="68"/>
  <c r="BG34" i="68"/>
  <c r="BQ34" i="68"/>
  <c r="BY34" i="68"/>
  <c r="BP34" i="68"/>
  <c r="BK34" i="68"/>
  <c r="CH34" i="68"/>
  <c r="CM34" i="68"/>
  <c r="BB32" i="70"/>
  <c r="BA32" i="70"/>
  <c r="N32" i="70" s="1"/>
  <c r="Y32" i="70" s="1"/>
  <c r="AG23" i="23"/>
  <c r="K23" i="25" s="1"/>
  <c r="B34" i="70"/>
  <c r="A35" i="70"/>
  <c r="O21" i="25"/>
  <c r="AJ21" i="23"/>
  <c r="AH22" i="23"/>
  <c r="L22" i="25" s="1"/>
  <c r="AP33" i="70"/>
  <c r="AW33" i="70"/>
  <c r="AI33" i="70"/>
  <c r="AH33" i="70"/>
  <c r="AL33" i="70"/>
  <c r="AQ33" i="70"/>
  <c r="AT33" i="70"/>
  <c r="AN33" i="70"/>
  <c r="D33" i="70"/>
  <c r="AJ33" i="70"/>
  <c r="AZ33" i="70"/>
  <c r="AU33" i="70"/>
  <c r="AV33" i="70"/>
  <c r="AR33" i="70"/>
  <c r="AM33" i="70"/>
  <c r="AK33" i="70"/>
  <c r="AG33" i="70"/>
  <c r="AY33" i="70"/>
  <c r="AX33" i="70"/>
  <c r="AS33" i="70"/>
  <c r="AO33" i="70"/>
  <c r="BA32" i="67"/>
  <c r="N32" i="67" s="1"/>
  <c r="Y31" i="67" s="1"/>
  <c r="BB32" i="67"/>
  <c r="AV22" i="23"/>
  <c r="AD22" i="25"/>
  <c r="J22" i="25"/>
  <c r="AF22" i="23"/>
  <c r="AN22" i="23"/>
  <c r="T22" i="25"/>
  <c r="AR21" i="23"/>
  <c r="Y21" i="25"/>
  <c r="V22" i="23"/>
  <c r="AA22" i="24" s="1"/>
  <c r="AV33" i="67"/>
  <c r="AR33" i="67"/>
  <c r="AP33" i="67"/>
  <c r="AH33" i="67"/>
  <c r="AN33" i="67"/>
  <c r="AL33" i="67"/>
  <c r="AS33" i="67"/>
  <c r="AY33" i="67"/>
  <c r="AX33" i="67"/>
  <c r="AW33" i="67"/>
  <c r="AU33" i="67"/>
  <c r="AK33" i="67"/>
  <c r="AI33" i="67"/>
  <c r="AT33" i="67"/>
  <c r="AQ33" i="67"/>
  <c r="AM33" i="67"/>
  <c r="AZ33" i="67"/>
  <c r="AO33" i="67"/>
  <c r="D33" i="67"/>
  <c r="X22" i="23" s="1"/>
  <c r="AD22" i="24" s="1"/>
  <c r="AG33" i="67"/>
  <c r="AJ33" i="67"/>
  <c r="U23" i="23"/>
  <c r="Z23" i="24" s="1"/>
  <c r="B34" i="67"/>
  <c r="A35" i="67"/>
  <c r="BB32" i="66"/>
  <c r="BA32" i="66"/>
  <c r="N32" i="66" s="1"/>
  <c r="Q23" i="23"/>
  <c r="U23" i="24" s="1"/>
  <c r="A35" i="66"/>
  <c r="B34" i="66"/>
  <c r="R22" i="23"/>
  <c r="V22" i="24" s="1"/>
  <c r="AI33" i="66"/>
  <c r="AX33" i="66"/>
  <c r="AV33" i="66"/>
  <c r="AY33" i="66"/>
  <c r="AO33" i="66"/>
  <c r="AM33" i="66"/>
  <c r="AP33" i="66"/>
  <c r="AZ33" i="66"/>
  <c r="AT33" i="66"/>
  <c r="AG33" i="66"/>
  <c r="AJ33" i="66"/>
  <c r="AS33" i="66"/>
  <c r="AU33" i="66"/>
  <c r="AQ33" i="66"/>
  <c r="AK33" i="66"/>
  <c r="AW33" i="66"/>
  <c r="AL33" i="66"/>
  <c r="AH33" i="66"/>
  <c r="AN33" i="66"/>
  <c r="D33" i="66"/>
  <c r="T22" i="23" s="1"/>
  <c r="Y22" i="24" s="1"/>
  <c r="AR33" i="66"/>
  <c r="CA33" i="73"/>
  <c r="O33" i="73" s="1"/>
  <c r="B35" i="73"/>
  <c r="A36" i="73"/>
  <c r="AS25" i="23" s="1"/>
  <c r="Z25" i="25" s="1"/>
  <c r="AU34" i="73"/>
  <c r="AM34" i="73"/>
  <c r="AT34" i="73"/>
  <c r="AL34" i="73"/>
  <c r="AX34" i="73"/>
  <c r="AN34" i="73"/>
  <c r="AW34" i="73"/>
  <c r="AK34" i="73"/>
  <c r="AV34" i="73"/>
  <c r="AJ34" i="73"/>
  <c r="AS34" i="73"/>
  <c r="AI34" i="73"/>
  <c r="AR34" i="73"/>
  <c r="AH34" i="73"/>
  <c r="AQ34" i="73"/>
  <c r="AG34" i="73"/>
  <c r="AZ34" i="73"/>
  <c r="AP34" i="73"/>
  <c r="AY34" i="73"/>
  <c r="AO34" i="73"/>
  <c r="D34" i="73"/>
  <c r="BB33" i="73"/>
  <c r="BA33" i="73"/>
  <c r="N33" i="73" s="1"/>
  <c r="AY33" i="72"/>
  <c r="AQ33" i="72"/>
  <c r="AI33" i="72"/>
  <c r="AW33" i="72"/>
  <c r="AV33" i="72"/>
  <c r="AN33" i="72"/>
  <c r="AT33" i="72"/>
  <c r="AJ33" i="72"/>
  <c r="AS33" i="72"/>
  <c r="AH33" i="72"/>
  <c r="AR33" i="72"/>
  <c r="AG33" i="72"/>
  <c r="AP33" i="72"/>
  <c r="AO33" i="72"/>
  <c r="AZ33" i="72"/>
  <c r="AM33" i="72"/>
  <c r="D33" i="72"/>
  <c r="AX33" i="72"/>
  <c r="AL33" i="72"/>
  <c r="AU33" i="72"/>
  <c r="AK33" i="72"/>
  <c r="B34" i="72"/>
  <c r="A35" i="72"/>
  <c r="AO24" i="23" s="1"/>
  <c r="U24" i="25" s="1"/>
  <c r="BB32" i="72"/>
  <c r="BA32" i="72"/>
  <c r="N32" i="72" s="1"/>
  <c r="BB33" i="71"/>
  <c r="BA33" i="71"/>
  <c r="N33" i="71" s="1"/>
  <c r="AU34" i="71"/>
  <c r="AM34" i="71"/>
  <c r="AT34" i="71"/>
  <c r="AL34" i="71"/>
  <c r="AS34" i="71"/>
  <c r="AK34" i="71"/>
  <c r="D34" i="71"/>
  <c r="AY34" i="71"/>
  <c r="AQ34" i="71"/>
  <c r="AI34" i="71"/>
  <c r="AW34" i="71"/>
  <c r="AO34" i="71"/>
  <c r="AG34" i="71"/>
  <c r="AX34" i="71"/>
  <c r="AV34" i="71"/>
  <c r="AR34" i="71"/>
  <c r="AP34" i="71"/>
  <c r="AN34" i="71"/>
  <c r="AJ34" i="71"/>
  <c r="AZ34" i="71"/>
  <c r="AH34" i="71"/>
  <c r="CA33" i="71"/>
  <c r="O33" i="71" s="1"/>
  <c r="A36" i="71"/>
  <c r="AK25" i="23" s="1"/>
  <c r="P25" i="25" s="1"/>
  <c r="B35" i="71"/>
  <c r="A36" i="69"/>
  <c r="AC25" i="23" s="1"/>
  <c r="F25" i="25" s="1"/>
  <c r="B35" i="69"/>
  <c r="AZ34" i="69"/>
  <c r="AR34" i="69"/>
  <c r="AJ34" i="69"/>
  <c r="AY34" i="69"/>
  <c r="AQ34" i="69"/>
  <c r="AI34" i="69"/>
  <c r="AV34" i="69"/>
  <c r="AL34" i="69"/>
  <c r="AU34" i="69"/>
  <c r="AK34" i="69"/>
  <c r="AT34" i="69"/>
  <c r="AH34" i="69"/>
  <c r="AS34" i="69"/>
  <c r="AG34" i="69"/>
  <c r="AP34" i="69"/>
  <c r="AO34" i="69"/>
  <c r="AX34" i="69"/>
  <c r="AN34" i="69"/>
  <c r="AW34" i="69"/>
  <c r="AM34" i="69"/>
  <c r="D34" i="69"/>
  <c r="BB33" i="69"/>
  <c r="BA33" i="69"/>
  <c r="N33" i="69" s="1"/>
  <c r="BB33" i="68"/>
  <c r="BA33" i="68"/>
  <c r="N33" i="68" s="1"/>
  <c r="AW34" i="68"/>
  <c r="AO34" i="68"/>
  <c r="AG34" i="68"/>
  <c r="AV34" i="68"/>
  <c r="AN34" i="68"/>
  <c r="AU34" i="68"/>
  <c r="AM34" i="68"/>
  <c r="AT34" i="68"/>
  <c r="AL34" i="68"/>
  <c r="AR34" i="68"/>
  <c r="AQ34" i="68"/>
  <c r="AP34" i="68"/>
  <c r="AK34" i="68"/>
  <c r="AZ34" i="68"/>
  <c r="AJ34" i="68"/>
  <c r="AY34" i="68"/>
  <c r="AI34" i="68"/>
  <c r="AX34" i="68"/>
  <c r="AH34" i="68"/>
  <c r="D34" i="68"/>
  <c r="AS34" i="68"/>
  <c r="B35" i="68"/>
  <c r="A36" i="68"/>
  <c r="Y25" i="23" s="1"/>
  <c r="A25" i="25" s="1"/>
  <c r="BB33" i="65"/>
  <c r="BA33" i="65"/>
  <c r="N33" i="65" s="1"/>
  <c r="CA33" i="65"/>
  <c r="O33" i="65" s="1"/>
  <c r="AY34" i="65"/>
  <c r="AQ34" i="65"/>
  <c r="AI34" i="65"/>
  <c r="AX34" i="65"/>
  <c r="AP34" i="65"/>
  <c r="AH34" i="65"/>
  <c r="AT34" i="65"/>
  <c r="AJ34" i="65"/>
  <c r="AS34" i="65"/>
  <c r="AG34" i="65"/>
  <c r="AR34" i="65"/>
  <c r="AO34" i="65"/>
  <c r="AN34" i="65"/>
  <c r="AM34" i="65"/>
  <c r="AL34" i="65"/>
  <c r="AK34" i="65"/>
  <c r="AZ34" i="65"/>
  <c r="AW34" i="65"/>
  <c r="D34" i="65"/>
  <c r="P23" i="23" s="1"/>
  <c r="T23" i="24" s="1"/>
  <c r="AV34" i="65"/>
  <c r="AU34" i="65"/>
  <c r="B35" i="65"/>
  <c r="A36" i="65"/>
  <c r="M25" i="23" s="1"/>
  <c r="P25" i="24" s="1"/>
  <c r="BB33" i="64"/>
  <c r="BA33" i="64"/>
  <c r="N33" i="64" s="1"/>
  <c r="Y32" i="64" s="1"/>
  <c r="AX34" i="64"/>
  <c r="AP34" i="64"/>
  <c r="AH34" i="64"/>
  <c r="AR34" i="64"/>
  <c r="AI34" i="64"/>
  <c r="AZ34" i="64"/>
  <c r="AQ34" i="64"/>
  <c r="AG34" i="64"/>
  <c r="AY34" i="64"/>
  <c r="AO34" i="64"/>
  <c r="AW34" i="64"/>
  <c r="AN34" i="64"/>
  <c r="AV34" i="64"/>
  <c r="AM34" i="64"/>
  <c r="AU34" i="64"/>
  <c r="AL34" i="64"/>
  <c r="D34" i="64"/>
  <c r="L23" i="23" s="1"/>
  <c r="O23" i="24" s="1"/>
  <c r="AT34" i="64"/>
  <c r="AK34" i="64"/>
  <c r="AS34" i="64"/>
  <c r="AJ34" i="64"/>
  <c r="A36" i="64"/>
  <c r="I25" i="23" s="1"/>
  <c r="K25" i="24" s="1"/>
  <c r="B35" i="64"/>
  <c r="CA33" i="64"/>
  <c r="O33" i="64" s="1"/>
  <c r="A36" i="63"/>
  <c r="E25" i="23" s="1"/>
  <c r="F25" i="24" s="1"/>
  <c r="B35" i="63"/>
  <c r="BB33" i="63"/>
  <c r="BA33" i="63"/>
  <c r="N33" i="63" s="1"/>
  <c r="Y33" i="63" s="1"/>
  <c r="AZ34" i="63"/>
  <c r="AR34" i="63"/>
  <c r="AJ34" i="63"/>
  <c r="AS34" i="63"/>
  <c r="AI34" i="63"/>
  <c r="AQ34" i="63"/>
  <c r="AH34" i="63"/>
  <c r="AX34" i="63"/>
  <c r="AO34" i="63"/>
  <c r="AV34" i="63"/>
  <c r="AG34" i="63"/>
  <c r="AU34" i="63"/>
  <c r="AT34" i="63"/>
  <c r="AP34" i="63"/>
  <c r="D34" i="63"/>
  <c r="H23" i="23" s="1"/>
  <c r="J23" i="24" s="1"/>
  <c r="AN34" i="63"/>
  <c r="AM34" i="63"/>
  <c r="AY34" i="63"/>
  <c r="AL34" i="63"/>
  <c r="AW34" i="63"/>
  <c r="AK34" i="63"/>
  <c r="Q33" i="73" l="1"/>
  <c r="Q33" i="64"/>
  <c r="FL32" i="64"/>
  <c r="FN32" i="64"/>
  <c r="FN32" i="70"/>
  <c r="FL32" i="70"/>
  <c r="FL31" i="67"/>
  <c r="FN31" i="67"/>
  <c r="CX33" i="67"/>
  <c r="CX34" i="73"/>
  <c r="P34" i="73" s="1"/>
  <c r="FN33" i="63"/>
  <c r="FL33" i="63"/>
  <c r="CX34" i="64"/>
  <c r="CL34" i="70"/>
  <c r="CF34" i="70"/>
  <c r="CO34" i="70"/>
  <c r="CW34" i="70"/>
  <c r="CG34" i="70"/>
  <c r="CP34" i="70"/>
  <c r="CH34" i="70"/>
  <c r="CQ34" i="70"/>
  <c r="CI34" i="70"/>
  <c r="CR34" i="70"/>
  <c r="CJ34" i="70"/>
  <c r="CS34" i="70"/>
  <c r="CK34" i="70"/>
  <c r="CT34" i="70"/>
  <c r="CD34" i="70"/>
  <c r="CM34" i="70"/>
  <c r="CU34" i="70"/>
  <c r="CE34" i="70"/>
  <c r="CN34" i="70"/>
  <c r="CV34" i="70"/>
  <c r="BL34" i="70"/>
  <c r="BT34" i="70"/>
  <c r="BK34" i="70"/>
  <c r="BU34" i="70"/>
  <c r="BM34" i="70"/>
  <c r="BV34" i="70"/>
  <c r="BO34" i="70"/>
  <c r="BX34" i="70"/>
  <c r="BG34" i="70"/>
  <c r="BP34" i="70"/>
  <c r="BY34" i="70"/>
  <c r="BH34" i="70"/>
  <c r="BQ34" i="70"/>
  <c r="BZ34" i="70"/>
  <c r="BI34" i="70"/>
  <c r="BR34" i="70"/>
  <c r="BJ34" i="70"/>
  <c r="BS34" i="70"/>
  <c r="BN34" i="70"/>
  <c r="BW34" i="70"/>
  <c r="CX33" i="70"/>
  <c r="CX34" i="69"/>
  <c r="AT24" i="23"/>
  <c r="AA24" i="25" s="1"/>
  <c r="CL35" i="73"/>
  <c r="CE35" i="73"/>
  <c r="CN35" i="73"/>
  <c r="CV35" i="73"/>
  <c r="CF35" i="73"/>
  <c r="CO35" i="73"/>
  <c r="CW35" i="73"/>
  <c r="CG35" i="73"/>
  <c r="CP35" i="73"/>
  <c r="CH35" i="73"/>
  <c r="CQ35" i="73"/>
  <c r="CJ35" i="73"/>
  <c r="CS35" i="73"/>
  <c r="CD35" i="73"/>
  <c r="CM35" i="73"/>
  <c r="CU35" i="73"/>
  <c r="CR35" i="73"/>
  <c r="CT35" i="73"/>
  <c r="CI35" i="73"/>
  <c r="CK35" i="73"/>
  <c r="BH35" i="73"/>
  <c r="BP35" i="73"/>
  <c r="BL35" i="73"/>
  <c r="BJ35" i="73"/>
  <c r="BT35" i="73"/>
  <c r="BM35" i="73"/>
  <c r="BV35" i="73"/>
  <c r="BN35" i="73"/>
  <c r="BW35" i="73"/>
  <c r="BO35" i="73"/>
  <c r="BX35" i="73"/>
  <c r="BQ35" i="73"/>
  <c r="BY35" i="73"/>
  <c r="BG35" i="73"/>
  <c r="BR35" i="73"/>
  <c r="BZ35" i="73"/>
  <c r="BI35" i="73"/>
  <c r="BS35" i="73"/>
  <c r="BK35" i="73"/>
  <c r="BU35" i="73"/>
  <c r="CX34" i="71"/>
  <c r="CX33" i="72"/>
  <c r="AP23" i="23"/>
  <c r="V23" i="25" s="1"/>
  <c r="CL34" i="72"/>
  <c r="CE34" i="72"/>
  <c r="CN34" i="72"/>
  <c r="CV34" i="72"/>
  <c r="CF34" i="72"/>
  <c r="CO34" i="72"/>
  <c r="CW34" i="72"/>
  <c r="CG34" i="72"/>
  <c r="CP34" i="72"/>
  <c r="CM34" i="72"/>
  <c r="CQ34" i="72"/>
  <c r="CR34" i="72"/>
  <c r="CD34" i="72"/>
  <c r="CS34" i="72"/>
  <c r="CH34" i="72"/>
  <c r="CT34" i="72"/>
  <c r="CI34" i="72"/>
  <c r="CJ34" i="72"/>
  <c r="CK34" i="72"/>
  <c r="CU34" i="72"/>
  <c r="BN34" i="72"/>
  <c r="BV34" i="72"/>
  <c r="BK34" i="72"/>
  <c r="BS34" i="72"/>
  <c r="BJ34" i="72"/>
  <c r="BU34" i="72"/>
  <c r="BL34" i="72"/>
  <c r="BW34" i="72"/>
  <c r="BM34" i="72"/>
  <c r="BX34" i="72"/>
  <c r="BO34" i="72"/>
  <c r="BY34" i="72"/>
  <c r="BP34" i="72"/>
  <c r="BZ34" i="72"/>
  <c r="BG34" i="72"/>
  <c r="BQ34" i="72"/>
  <c r="BH34" i="72"/>
  <c r="BR34" i="72"/>
  <c r="BI34" i="72"/>
  <c r="BT34" i="72"/>
  <c r="CL34" i="67"/>
  <c r="CN34" i="67"/>
  <c r="CV34" i="67"/>
  <c r="CD34" i="67"/>
  <c r="CO34" i="67"/>
  <c r="CW34" i="67"/>
  <c r="CF34" i="67"/>
  <c r="CP34" i="67"/>
  <c r="CG34" i="67"/>
  <c r="CQ34" i="67"/>
  <c r="CH34" i="67"/>
  <c r="CR34" i="67"/>
  <c r="CI34" i="67"/>
  <c r="CS34" i="67"/>
  <c r="CU34" i="67"/>
  <c r="CK34" i="67"/>
  <c r="CT34" i="67"/>
  <c r="CM34" i="67"/>
  <c r="BO34" i="67"/>
  <c r="BW34" i="67"/>
  <c r="BP34" i="67"/>
  <c r="BX34" i="67"/>
  <c r="BI34" i="67"/>
  <c r="BR34" i="67"/>
  <c r="BZ34" i="67"/>
  <c r="BJ34" i="67"/>
  <c r="BS34" i="67"/>
  <c r="BK34" i="67"/>
  <c r="BT34" i="67"/>
  <c r="BN34" i="67"/>
  <c r="BV34" i="67"/>
  <c r="BQ34" i="67"/>
  <c r="BU34" i="67"/>
  <c r="BG34" i="67"/>
  <c r="BY34" i="67"/>
  <c r="BL34" i="67"/>
  <c r="BH34" i="67"/>
  <c r="CE34" i="67"/>
  <c r="BM34" i="67"/>
  <c r="CJ34" i="67"/>
  <c r="AL24" i="23"/>
  <c r="Q24" i="25" s="1"/>
  <c r="CI35" i="71"/>
  <c r="CR35" i="71"/>
  <c r="CJ35" i="71"/>
  <c r="CS35" i="71"/>
  <c r="CK35" i="71"/>
  <c r="CT35" i="71"/>
  <c r="CE35" i="71"/>
  <c r="CO35" i="71"/>
  <c r="CW35" i="71"/>
  <c r="CF35" i="71"/>
  <c r="CP35" i="71"/>
  <c r="CH35" i="71"/>
  <c r="CD35" i="71"/>
  <c r="CM35" i="71"/>
  <c r="CN35" i="71"/>
  <c r="CQ35" i="71"/>
  <c r="CU35" i="71"/>
  <c r="CV35" i="71"/>
  <c r="BG35" i="71"/>
  <c r="BQ35" i="71"/>
  <c r="BY35" i="71"/>
  <c r="BH35" i="71"/>
  <c r="BR35" i="71"/>
  <c r="BZ35" i="71"/>
  <c r="BI35" i="71"/>
  <c r="BS35" i="71"/>
  <c r="BK35" i="71"/>
  <c r="BT35" i="71"/>
  <c r="BL35" i="71"/>
  <c r="BU35" i="71"/>
  <c r="BM35" i="71"/>
  <c r="BV35" i="71"/>
  <c r="BN35" i="71"/>
  <c r="BW35" i="71"/>
  <c r="BP35" i="71"/>
  <c r="BX35" i="71"/>
  <c r="CL35" i="71"/>
  <c r="BO35" i="71"/>
  <c r="BJ35" i="71"/>
  <c r="CG35" i="71"/>
  <c r="AD24" i="23"/>
  <c r="G24" i="25" s="1"/>
  <c r="CL35" i="69"/>
  <c r="CH35" i="69"/>
  <c r="CQ35" i="69"/>
  <c r="CI35" i="69"/>
  <c r="CR35" i="69"/>
  <c r="CJ35" i="69"/>
  <c r="CS35" i="69"/>
  <c r="CE35" i="69"/>
  <c r="CT35" i="69"/>
  <c r="CF35" i="69"/>
  <c r="CU35" i="69"/>
  <c r="CG35" i="69"/>
  <c r="CV35" i="69"/>
  <c r="CK35" i="69"/>
  <c r="CW35" i="69"/>
  <c r="CM35" i="69"/>
  <c r="CN35" i="69"/>
  <c r="CD35" i="69"/>
  <c r="CO35" i="69"/>
  <c r="CP35" i="69"/>
  <c r="BG35" i="69"/>
  <c r="BO35" i="69"/>
  <c r="BW35" i="69"/>
  <c r="BH35" i="69"/>
  <c r="BP35" i="69"/>
  <c r="BX35" i="69"/>
  <c r="BJ35" i="69"/>
  <c r="BR35" i="69"/>
  <c r="BZ35" i="69"/>
  <c r="BK35" i="69"/>
  <c r="BS35" i="69"/>
  <c r="BL35" i="69"/>
  <c r="BT35" i="69"/>
  <c r="BM35" i="69"/>
  <c r="BU35" i="69"/>
  <c r="BN35" i="69"/>
  <c r="BV35" i="69"/>
  <c r="BI35" i="69"/>
  <c r="BY35" i="69"/>
  <c r="BQ35" i="69"/>
  <c r="CL34" i="66"/>
  <c r="CG34" i="66"/>
  <c r="CP34" i="66"/>
  <c r="CH34" i="66"/>
  <c r="CQ34" i="66"/>
  <c r="CI34" i="66"/>
  <c r="CR34" i="66"/>
  <c r="CJ34" i="66"/>
  <c r="CS34" i="66"/>
  <c r="CK34" i="66"/>
  <c r="CT34" i="66"/>
  <c r="CD34" i="66"/>
  <c r="CM34" i="66"/>
  <c r="CU34" i="66"/>
  <c r="CE34" i="66"/>
  <c r="CN34" i="66"/>
  <c r="CV34" i="66"/>
  <c r="CF34" i="66"/>
  <c r="CO34" i="66"/>
  <c r="CW34" i="66"/>
  <c r="BJ34" i="66"/>
  <c r="BR34" i="66"/>
  <c r="BZ34" i="66"/>
  <c r="BK34" i="66"/>
  <c r="BS34" i="66"/>
  <c r="BL34" i="66"/>
  <c r="BT34" i="66"/>
  <c r="BM34" i="66"/>
  <c r="BU34" i="66"/>
  <c r="BN34" i="66"/>
  <c r="BV34" i="66"/>
  <c r="BG34" i="66"/>
  <c r="BO34" i="66"/>
  <c r="BW34" i="66"/>
  <c r="BH34" i="66"/>
  <c r="BP34" i="66"/>
  <c r="BX34" i="66"/>
  <c r="BI34" i="66"/>
  <c r="BQ34" i="66"/>
  <c r="BY34" i="66"/>
  <c r="F24" i="23"/>
  <c r="G24" i="24" s="1"/>
  <c r="CL35" i="63"/>
  <c r="CF35" i="63"/>
  <c r="CO35" i="63"/>
  <c r="CW35" i="63"/>
  <c r="CG35" i="63"/>
  <c r="CP35" i="63"/>
  <c r="CH35" i="63"/>
  <c r="CQ35" i="63"/>
  <c r="CI35" i="63"/>
  <c r="CR35" i="63"/>
  <c r="CJ35" i="63"/>
  <c r="CS35" i="63"/>
  <c r="CU35" i="63"/>
  <c r="CV35" i="63"/>
  <c r="CD35" i="63"/>
  <c r="CE35" i="63"/>
  <c r="CK35" i="63"/>
  <c r="CM35" i="63"/>
  <c r="CN35" i="63"/>
  <c r="CT35" i="63"/>
  <c r="BI35" i="63"/>
  <c r="BQ35" i="63"/>
  <c r="BY35" i="63"/>
  <c r="BJ35" i="63"/>
  <c r="BR35" i="63"/>
  <c r="BZ35" i="63"/>
  <c r="BK35" i="63"/>
  <c r="BS35" i="63"/>
  <c r="BL35" i="63"/>
  <c r="BT35" i="63"/>
  <c r="BU35" i="63"/>
  <c r="BV35" i="63"/>
  <c r="BG35" i="63"/>
  <c r="BW35" i="63"/>
  <c r="BH35" i="63"/>
  <c r="BX35" i="63"/>
  <c r="BM35" i="63"/>
  <c r="BN35" i="63"/>
  <c r="BO35" i="63"/>
  <c r="BP35" i="63"/>
  <c r="CX34" i="63"/>
  <c r="J24" i="23"/>
  <c r="L24" i="24" s="1"/>
  <c r="CL35" i="64"/>
  <c r="CD35" i="64"/>
  <c r="CO35" i="64"/>
  <c r="CW35" i="64"/>
  <c r="CF35" i="64"/>
  <c r="CP35" i="64"/>
  <c r="CI35" i="64"/>
  <c r="CS35" i="64"/>
  <c r="CK35" i="64"/>
  <c r="CT35" i="64"/>
  <c r="CN35" i="64"/>
  <c r="CV35" i="64"/>
  <c r="CG35" i="64"/>
  <c r="CH35" i="64"/>
  <c r="CM35" i="64"/>
  <c r="CQ35" i="64"/>
  <c r="CR35" i="64"/>
  <c r="CU35" i="64"/>
  <c r="BO35" i="64"/>
  <c r="BW35" i="64"/>
  <c r="BP35" i="64"/>
  <c r="BX35" i="64"/>
  <c r="BG35" i="64"/>
  <c r="BQ35" i="64"/>
  <c r="BY35" i="64"/>
  <c r="BI35" i="64"/>
  <c r="BR35" i="64"/>
  <c r="BZ35" i="64"/>
  <c r="BJ35" i="64"/>
  <c r="BS35" i="64"/>
  <c r="BK35" i="64"/>
  <c r="BT35" i="64"/>
  <c r="BL35" i="64"/>
  <c r="BN35" i="64"/>
  <c r="BU35" i="64"/>
  <c r="BV35" i="64"/>
  <c r="CJ35" i="64"/>
  <c r="BM35" i="64"/>
  <c r="BH35" i="64"/>
  <c r="CE35" i="64"/>
  <c r="CX34" i="65"/>
  <c r="N24" i="23"/>
  <c r="Q24" i="24" s="1"/>
  <c r="CL35" i="65"/>
  <c r="CD35" i="65"/>
  <c r="CN35" i="65"/>
  <c r="CV35" i="65"/>
  <c r="CE35" i="65"/>
  <c r="CO35" i="65"/>
  <c r="CW35" i="65"/>
  <c r="CF35" i="65"/>
  <c r="CP35" i="65"/>
  <c r="CG35" i="65"/>
  <c r="CQ35" i="65"/>
  <c r="CI35" i="65"/>
  <c r="CR35" i="65"/>
  <c r="CJ35" i="65"/>
  <c r="CS35" i="65"/>
  <c r="CK35" i="65"/>
  <c r="CM35" i="65"/>
  <c r="CT35" i="65"/>
  <c r="CU35" i="65"/>
  <c r="BL35" i="65"/>
  <c r="BT35" i="65"/>
  <c r="BM35" i="65"/>
  <c r="BU35" i="65"/>
  <c r="BN35" i="65"/>
  <c r="BV35" i="65"/>
  <c r="BO35" i="65"/>
  <c r="BW35" i="65"/>
  <c r="BG35" i="65"/>
  <c r="BP35" i="65"/>
  <c r="BX35" i="65"/>
  <c r="BH35" i="65"/>
  <c r="BQ35" i="65"/>
  <c r="BY35" i="65"/>
  <c r="BI35" i="65"/>
  <c r="BR35" i="65"/>
  <c r="BZ35" i="65"/>
  <c r="BJ35" i="65"/>
  <c r="BS35" i="65"/>
  <c r="BK35" i="65"/>
  <c r="CH35" i="65"/>
  <c r="CX33" i="66"/>
  <c r="AB23" i="23"/>
  <c r="E23" i="25" s="1"/>
  <c r="Z24" i="23"/>
  <c r="B24" i="25" s="1"/>
  <c r="CL35" i="68"/>
  <c r="CD35" i="68"/>
  <c r="CM35" i="68"/>
  <c r="CU35" i="68"/>
  <c r="CE35" i="68"/>
  <c r="CN35" i="68"/>
  <c r="CV35" i="68"/>
  <c r="CF35" i="68"/>
  <c r="CO35" i="68"/>
  <c r="CW35" i="68"/>
  <c r="CG35" i="68"/>
  <c r="CP35" i="68"/>
  <c r="CH35" i="68"/>
  <c r="CQ35" i="68"/>
  <c r="CI35" i="68"/>
  <c r="CR35" i="68"/>
  <c r="CJ35" i="68"/>
  <c r="CS35" i="68"/>
  <c r="CK35" i="68"/>
  <c r="CT35" i="68"/>
  <c r="BN35" i="68"/>
  <c r="BV35" i="68"/>
  <c r="BG35" i="68"/>
  <c r="BO35" i="68"/>
  <c r="BW35" i="68"/>
  <c r="BH35" i="68"/>
  <c r="BP35" i="68"/>
  <c r="BX35" i="68"/>
  <c r="BI35" i="68"/>
  <c r="BQ35" i="68"/>
  <c r="BY35" i="68"/>
  <c r="BJ35" i="68"/>
  <c r="BR35" i="68"/>
  <c r="BZ35" i="68"/>
  <c r="BK35" i="68"/>
  <c r="BS35" i="68"/>
  <c r="BL35" i="68"/>
  <c r="BT35" i="68"/>
  <c r="BM35" i="68"/>
  <c r="BU35" i="68"/>
  <c r="CX34" i="68"/>
  <c r="AJ22" i="23"/>
  <c r="O22" i="25"/>
  <c r="AG24" i="23"/>
  <c r="K24" i="25" s="1"/>
  <c r="B35" i="70"/>
  <c r="A36" i="70"/>
  <c r="AH23" i="23"/>
  <c r="L23" i="25" s="1"/>
  <c r="AS34" i="70"/>
  <c r="AP34" i="70"/>
  <c r="AT34" i="70"/>
  <c r="AK34" i="70"/>
  <c r="AH34" i="70"/>
  <c r="AI34" i="70"/>
  <c r="D34" i="70"/>
  <c r="AY34" i="70"/>
  <c r="AV34" i="70"/>
  <c r="AN34" i="70"/>
  <c r="AL34" i="70"/>
  <c r="AZ34" i="70"/>
  <c r="AR34" i="70"/>
  <c r="AO34" i="70"/>
  <c r="AG34" i="70"/>
  <c r="AW34" i="70"/>
  <c r="AU34" i="70"/>
  <c r="AX34" i="70"/>
  <c r="AQ34" i="70"/>
  <c r="AM34" i="70"/>
  <c r="AJ34" i="70"/>
  <c r="BB33" i="70"/>
  <c r="BA33" i="70"/>
  <c r="N33" i="70" s="1"/>
  <c r="J23" i="25"/>
  <c r="AF23" i="23"/>
  <c r="U24" i="23"/>
  <c r="Z24" i="24" s="1"/>
  <c r="B35" i="67"/>
  <c r="A36" i="67"/>
  <c r="AD23" i="25"/>
  <c r="AV23" i="23"/>
  <c r="V23" i="23"/>
  <c r="AA23" i="24" s="1"/>
  <c r="AX34" i="67"/>
  <c r="AG34" i="67"/>
  <c r="AZ34" i="67"/>
  <c r="AY34" i="67"/>
  <c r="AP34" i="67"/>
  <c r="D34" i="67"/>
  <c r="X23" i="23" s="1"/>
  <c r="AD23" i="24" s="1"/>
  <c r="AM34" i="67"/>
  <c r="AV34" i="67"/>
  <c r="AR34" i="67"/>
  <c r="AQ34" i="67"/>
  <c r="AH34" i="67"/>
  <c r="AJ34" i="67"/>
  <c r="AI34" i="67"/>
  <c r="AU34" i="67"/>
  <c r="AL34" i="67"/>
  <c r="AN34" i="67"/>
  <c r="AT34" i="67"/>
  <c r="AK34" i="67"/>
  <c r="AW34" i="67"/>
  <c r="AO34" i="67"/>
  <c r="AS34" i="67"/>
  <c r="BA33" i="67"/>
  <c r="N33" i="67" s="1"/>
  <c r="Y32" i="67" s="1"/>
  <c r="BB33" i="67"/>
  <c r="AN23" i="23"/>
  <c r="T23" i="25"/>
  <c r="Y22" i="25"/>
  <c r="AR22" i="23"/>
  <c r="BB33" i="66"/>
  <c r="BA33" i="66"/>
  <c r="N33" i="66" s="1"/>
  <c r="R23" i="23"/>
  <c r="V23" i="24" s="1"/>
  <c r="AY34" i="66"/>
  <c r="AW34" i="66"/>
  <c r="AR34" i="66"/>
  <c r="AO34" i="66"/>
  <c r="AU34" i="66"/>
  <c r="AH34" i="66"/>
  <c r="D34" i="66"/>
  <c r="T23" i="23" s="1"/>
  <c r="Y23" i="24" s="1"/>
  <c r="AM34" i="66"/>
  <c r="AS34" i="66"/>
  <c r="AZ34" i="66"/>
  <c r="AI34" i="66"/>
  <c r="AP34" i="66"/>
  <c r="AK34" i="66"/>
  <c r="AV34" i="66"/>
  <c r="AT34" i="66"/>
  <c r="AQ34" i="66"/>
  <c r="AX34" i="66"/>
  <c r="AN34" i="66"/>
  <c r="AJ34" i="66"/>
  <c r="AG34" i="66"/>
  <c r="AL34" i="66"/>
  <c r="Q24" i="23"/>
  <c r="U24" i="24" s="1"/>
  <c r="B35" i="66"/>
  <c r="A36" i="66"/>
  <c r="CA34" i="73"/>
  <c r="O34" i="73" s="1"/>
  <c r="A37" i="73"/>
  <c r="AS26" i="23" s="1"/>
  <c r="Z26" i="25" s="1"/>
  <c r="B36" i="73"/>
  <c r="AX35" i="73"/>
  <c r="AP35" i="73"/>
  <c r="AH35" i="73"/>
  <c r="AW35" i="73"/>
  <c r="AO35" i="73"/>
  <c r="AG35" i="73"/>
  <c r="AT35" i="73"/>
  <c r="AJ35" i="73"/>
  <c r="AS35" i="73"/>
  <c r="AI35" i="73"/>
  <c r="AR35" i="73"/>
  <c r="AQ35" i="73"/>
  <c r="AZ35" i="73"/>
  <c r="AN35" i="73"/>
  <c r="D35" i="73"/>
  <c r="AY35" i="73"/>
  <c r="AM35" i="73"/>
  <c r="AV35" i="73"/>
  <c r="AL35" i="73"/>
  <c r="AU35" i="73"/>
  <c r="AK35" i="73"/>
  <c r="BB34" i="73"/>
  <c r="BA34" i="73"/>
  <c r="N34" i="73" s="1"/>
  <c r="B35" i="72"/>
  <c r="A36" i="72"/>
  <c r="AO25" i="23" s="1"/>
  <c r="U25" i="25" s="1"/>
  <c r="AT34" i="72"/>
  <c r="AL34" i="72"/>
  <c r="AZ34" i="72"/>
  <c r="AR34" i="72"/>
  <c r="AJ34" i="72"/>
  <c r="AY34" i="72"/>
  <c r="AQ34" i="72"/>
  <c r="AI34" i="72"/>
  <c r="AX34" i="72"/>
  <c r="AP34" i="72"/>
  <c r="AH34" i="72"/>
  <c r="AW34" i="72"/>
  <c r="AO34" i="72"/>
  <c r="AG34" i="72"/>
  <c r="AM34" i="72"/>
  <c r="AK34" i="72"/>
  <c r="D34" i="72"/>
  <c r="AV34" i="72"/>
  <c r="AU34" i="72"/>
  <c r="AS34" i="72"/>
  <c r="AN34" i="72"/>
  <c r="BB33" i="72"/>
  <c r="BA33" i="72"/>
  <c r="N33" i="72" s="1"/>
  <c r="Y33" i="72" s="1"/>
  <c r="AX35" i="71"/>
  <c r="AP35" i="71"/>
  <c r="AH35" i="71"/>
  <c r="AW35" i="71"/>
  <c r="AO35" i="71"/>
  <c r="AG35" i="71"/>
  <c r="AV35" i="71"/>
  <c r="AN35" i="71"/>
  <c r="AT35" i="71"/>
  <c r="AL35" i="71"/>
  <c r="AZ35" i="71"/>
  <c r="AR35" i="71"/>
  <c r="AJ35" i="71"/>
  <c r="AY35" i="71"/>
  <c r="AU35" i="71"/>
  <c r="AS35" i="71"/>
  <c r="AQ35" i="71"/>
  <c r="AM35" i="71"/>
  <c r="AK35" i="71"/>
  <c r="AI35" i="71"/>
  <c r="D35" i="71"/>
  <c r="A37" i="71"/>
  <c r="AK26" i="23" s="1"/>
  <c r="P26" i="25" s="1"/>
  <c r="B36" i="71"/>
  <c r="BB34" i="71"/>
  <c r="BA34" i="71"/>
  <c r="N34" i="71" s="1"/>
  <c r="CA34" i="71"/>
  <c r="O34" i="71" s="1"/>
  <c r="AU35" i="69"/>
  <c r="AM35" i="69"/>
  <c r="AT35" i="69"/>
  <c r="AL35" i="69"/>
  <c r="AS35" i="69"/>
  <c r="AI35" i="69"/>
  <c r="AR35" i="69"/>
  <c r="AH35" i="69"/>
  <c r="AQ35" i="69"/>
  <c r="AG35" i="69"/>
  <c r="AZ35" i="69"/>
  <c r="AP35" i="69"/>
  <c r="AY35" i="69"/>
  <c r="AO35" i="69"/>
  <c r="D35" i="69"/>
  <c r="AX35" i="69"/>
  <c r="AN35" i="69"/>
  <c r="AW35" i="69"/>
  <c r="AK35" i="69"/>
  <c r="AV35" i="69"/>
  <c r="AJ35" i="69"/>
  <c r="BB34" i="69"/>
  <c r="BA34" i="69"/>
  <c r="N34" i="69" s="1"/>
  <c r="A37" i="69"/>
  <c r="AC26" i="23" s="1"/>
  <c r="F26" i="25" s="1"/>
  <c r="B36" i="69"/>
  <c r="B36" i="68"/>
  <c r="A37" i="68"/>
  <c r="Y26" i="23" s="1"/>
  <c r="A26" i="25" s="1"/>
  <c r="AZ35" i="68"/>
  <c r="AR35" i="68"/>
  <c r="AJ35" i="68"/>
  <c r="AY35" i="68"/>
  <c r="AQ35" i="68"/>
  <c r="AI35" i="68"/>
  <c r="AX35" i="68"/>
  <c r="AP35" i="68"/>
  <c r="AH35" i="68"/>
  <c r="AW35" i="68"/>
  <c r="AO35" i="68"/>
  <c r="AG35" i="68"/>
  <c r="AV35" i="68"/>
  <c r="AN35" i="68"/>
  <c r="AU35" i="68"/>
  <c r="AM35" i="68"/>
  <c r="AT35" i="68"/>
  <c r="AS35" i="68"/>
  <c r="AL35" i="68"/>
  <c r="AK35" i="68"/>
  <c r="D35" i="68"/>
  <c r="BB34" i="68"/>
  <c r="BA34" i="68"/>
  <c r="N34" i="68" s="1"/>
  <c r="BB34" i="65"/>
  <c r="BA34" i="65"/>
  <c r="N34" i="65" s="1"/>
  <c r="AT35" i="65"/>
  <c r="AL35" i="65"/>
  <c r="AS35" i="65"/>
  <c r="AK35" i="65"/>
  <c r="D35" i="65"/>
  <c r="P24" i="23" s="1"/>
  <c r="T24" i="24" s="1"/>
  <c r="AZ35" i="65"/>
  <c r="AP35" i="65"/>
  <c r="AY35" i="65"/>
  <c r="AO35" i="65"/>
  <c r="AX35" i="65"/>
  <c r="AN35" i="65"/>
  <c r="AW35" i="65"/>
  <c r="AM35" i="65"/>
  <c r="AU35" i="65"/>
  <c r="AI35" i="65"/>
  <c r="AV35" i="65"/>
  <c r="AR35" i="65"/>
  <c r="AQ35" i="65"/>
  <c r="AJ35" i="65"/>
  <c r="AH35" i="65"/>
  <c r="AG35" i="65"/>
  <c r="B36" i="65"/>
  <c r="A37" i="65"/>
  <c r="M26" i="23" s="1"/>
  <c r="P26" i="24" s="1"/>
  <c r="BB34" i="64"/>
  <c r="BA34" i="64"/>
  <c r="N34" i="64" s="1"/>
  <c r="A37" i="64"/>
  <c r="I26" i="23" s="1"/>
  <c r="K26" i="24" s="1"/>
  <c r="B36" i="64"/>
  <c r="CA34" i="64"/>
  <c r="O34" i="64" s="1"/>
  <c r="AS35" i="64"/>
  <c r="AK35" i="64"/>
  <c r="D35" i="64"/>
  <c r="L24" i="23" s="1"/>
  <c r="O24" i="24" s="1"/>
  <c r="AZ35" i="64"/>
  <c r="AR35" i="64"/>
  <c r="AJ35" i="64"/>
  <c r="AY35" i="64"/>
  <c r="AQ35" i="64"/>
  <c r="AI35" i="64"/>
  <c r="AO35" i="64"/>
  <c r="AN35" i="64"/>
  <c r="AX35" i="64"/>
  <c r="AM35" i="64"/>
  <c r="AW35" i="64"/>
  <c r="AL35" i="64"/>
  <c r="AV35" i="64"/>
  <c r="AH35" i="64"/>
  <c r="AU35" i="64"/>
  <c r="AG35" i="64"/>
  <c r="AT35" i="64"/>
  <c r="AP35" i="64"/>
  <c r="AV35" i="63"/>
  <c r="AN35" i="63"/>
  <c r="AU35" i="63"/>
  <c r="AM35" i="63"/>
  <c r="AS35" i="63"/>
  <c r="AK35" i="63"/>
  <c r="D35" i="63"/>
  <c r="H24" i="23" s="1"/>
  <c r="J24" i="24" s="1"/>
  <c r="AY35" i="63"/>
  <c r="AL35" i="63"/>
  <c r="AX35" i="63"/>
  <c r="AJ35" i="63"/>
  <c r="AW35" i="63"/>
  <c r="AI35" i="63"/>
  <c r="AT35" i="63"/>
  <c r="AH35" i="63"/>
  <c r="AO35" i="63"/>
  <c r="AG35" i="63"/>
  <c r="AZ35" i="63"/>
  <c r="AR35" i="63"/>
  <c r="AQ35" i="63"/>
  <c r="AP35" i="63"/>
  <c r="A37" i="63"/>
  <c r="E26" i="23" s="1"/>
  <c r="F26" i="24" s="1"/>
  <c r="B36" i="63"/>
  <c r="BB34" i="63"/>
  <c r="BA34" i="63"/>
  <c r="N34" i="63" s="1"/>
  <c r="Y34" i="63" s="1"/>
  <c r="Q34" i="73" l="1"/>
  <c r="FN32" i="67"/>
  <c r="FN45" i="67" s="1"/>
  <c r="FL32" i="67"/>
  <c r="FL45" i="67" s="1"/>
  <c r="FN33" i="72"/>
  <c r="FL33" i="72"/>
  <c r="FN34" i="63"/>
  <c r="FL34" i="63"/>
  <c r="CX34" i="66"/>
  <c r="CL35" i="67"/>
  <c r="CM35" i="67"/>
  <c r="CU35" i="67"/>
  <c r="CN35" i="67"/>
  <c r="CV35" i="67"/>
  <c r="CD35" i="67"/>
  <c r="CO35" i="67"/>
  <c r="CW35" i="67"/>
  <c r="CE35" i="67"/>
  <c r="CP35" i="67"/>
  <c r="CG35" i="67"/>
  <c r="CQ35" i="67"/>
  <c r="CH35" i="67"/>
  <c r="CR35" i="67"/>
  <c r="CI35" i="67"/>
  <c r="CJ35" i="67"/>
  <c r="CS35" i="67"/>
  <c r="CT35" i="67"/>
  <c r="BL35" i="67"/>
  <c r="BU35" i="67"/>
  <c r="BM35" i="67"/>
  <c r="BV35" i="67"/>
  <c r="BG35" i="67"/>
  <c r="BH35" i="67"/>
  <c r="BR35" i="67"/>
  <c r="BZ35" i="67"/>
  <c r="BK35" i="67"/>
  <c r="BT35" i="67"/>
  <c r="BW35" i="67"/>
  <c r="BX35" i="67"/>
  <c r="BY35" i="67"/>
  <c r="BJ35" i="67"/>
  <c r="BO35" i="67"/>
  <c r="BP35" i="67"/>
  <c r="BQ35" i="67"/>
  <c r="BS35" i="67"/>
  <c r="CF35" i="67"/>
  <c r="BN35" i="67"/>
  <c r="CK35" i="67"/>
  <c r="BI35" i="67"/>
  <c r="AP24" i="23"/>
  <c r="V24" i="25" s="1"/>
  <c r="CL35" i="72"/>
  <c r="CJ35" i="72"/>
  <c r="CS35" i="72"/>
  <c r="CK35" i="72"/>
  <c r="CT35" i="72"/>
  <c r="CD35" i="72"/>
  <c r="CM35" i="72"/>
  <c r="CU35" i="72"/>
  <c r="CG35" i="72"/>
  <c r="CV35" i="72"/>
  <c r="CH35" i="72"/>
  <c r="CW35" i="72"/>
  <c r="CI35" i="72"/>
  <c r="CN35" i="72"/>
  <c r="CO35" i="72"/>
  <c r="CR35" i="72"/>
  <c r="CE35" i="72"/>
  <c r="CF35" i="72"/>
  <c r="CP35" i="72"/>
  <c r="CQ35" i="72"/>
  <c r="BJ35" i="72"/>
  <c r="BR35" i="72"/>
  <c r="BZ35" i="72"/>
  <c r="BG35" i="72"/>
  <c r="BL35" i="72"/>
  <c r="BU35" i="72"/>
  <c r="BM35" i="72"/>
  <c r="BV35" i="72"/>
  <c r="BN35" i="72"/>
  <c r="BW35" i="72"/>
  <c r="BO35" i="72"/>
  <c r="BX35" i="72"/>
  <c r="BP35" i="72"/>
  <c r="BY35" i="72"/>
  <c r="BH35" i="72"/>
  <c r="BQ35" i="72"/>
  <c r="BI35" i="72"/>
  <c r="BS35" i="72"/>
  <c r="BK35" i="72"/>
  <c r="BT35" i="72"/>
  <c r="AT25" i="23"/>
  <c r="AA25" i="25" s="1"/>
  <c r="CL36" i="73"/>
  <c r="CJ36" i="73"/>
  <c r="CS36" i="73"/>
  <c r="CK36" i="73"/>
  <c r="CT36" i="73"/>
  <c r="CD36" i="73"/>
  <c r="CM36" i="73"/>
  <c r="CU36" i="73"/>
  <c r="CE36" i="73"/>
  <c r="CN36" i="73"/>
  <c r="CV36" i="73"/>
  <c r="CG36" i="73"/>
  <c r="CP36" i="73"/>
  <c r="CI36" i="73"/>
  <c r="CR36" i="73"/>
  <c r="CF36" i="73"/>
  <c r="CO36" i="73"/>
  <c r="CQ36" i="73"/>
  <c r="CW36" i="73"/>
  <c r="CH36" i="73"/>
  <c r="BH36" i="73"/>
  <c r="BP36" i="73"/>
  <c r="BX36" i="73"/>
  <c r="BJ36" i="73"/>
  <c r="BR36" i="73"/>
  <c r="BZ36" i="73"/>
  <c r="BK36" i="73"/>
  <c r="BS36" i="73"/>
  <c r="BL36" i="73"/>
  <c r="BT36" i="73"/>
  <c r="BM36" i="73"/>
  <c r="BU36" i="73"/>
  <c r="BN36" i="73"/>
  <c r="BV36" i="73"/>
  <c r="BG36" i="73"/>
  <c r="BO36" i="73"/>
  <c r="BW36" i="73"/>
  <c r="BI36" i="73"/>
  <c r="BQ36" i="73"/>
  <c r="BY36" i="73"/>
  <c r="CX34" i="70"/>
  <c r="AL25" i="23"/>
  <c r="Q25" i="25" s="1"/>
  <c r="CL36" i="71"/>
  <c r="CF36" i="71"/>
  <c r="CQ36" i="71"/>
  <c r="CG36" i="71"/>
  <c r="CR36" i="71"/>
  <c r="CI36" i="71"/>
  <c r="CS36" i="71"/>
  <c r="CN36" i="71"/>
  <c r="CV36" i="71"/>
  <c r="CD36" i="71"/>
  <c r="CO36" i="71"/>
  <c r="CW36" i="71"/>
  <c r="CK36" i="71"/>
  <c r="CP36" i="71"/>
  <c r="CT36" i="71"/>
  <c r="CU36" i="71"/>
  <c r="CE36" i="71"/>
  <c r="CJ36" i="71"/>
  <c r="BN36" i="71"/>
  <c r="BW36" i="71"/>
  <c r="BO36" i="71"/>
  <c r="BX36" i="71"/>
  <c r="BG36" i="71"/>
  <c r="BQ36" i="71"/>
  <c r="BY36" i="71"/>
  <c r="BH36" i="71"/>
  <c r="BR36" i="71"/>
  <c r="BZ36" i="71"/>
  <c r="BI36" i="71"/>
  <c r="BS36" i="71"/>
  <c r="BJ36" i="71"/>
  <c r="BT36" i="71"/>
  <c r="BL36" i="71"/>
  <c r="BU36" i="71"/>
  <c r="BM36" i="71"/>
  <c r="BV36" i="71"/>
  <c r="BP36" i="71"/>
  <c r="BK36" i="71"/>
  <c r="CH36" i="71"/>
  <c r="CM36" i="71"/>
  <c r="CX35" i="71"/>
  <c r="CL35" i="70"/>
  <c r="CN35" i="70"/>
  <c r="CV35" i="70"/>
  <c r="CD35" i="70"/>
  <c r="CO35" i="70"/>
  <c r="CW35" i="70"/>
  <c r="CF35" i="70"/>
  <c r="CP35" i="70"/>
  <c r="CG35" i="70"/>
  <c r="CQ35" i="70"/>
  <c r="CH35" i="70"/>
  <c r="CR35" i="70"/>
  <c r="CI35" i="70"/>
  <c r="CS35" i="70"/>
  <c r="CK35" i="70"/>
  <c r="CT35" i="70"/>
  <c r="CM35" i="70"/>
  <c r="CU35" i="70"/>
  <c r="BJ35" i="70"/>
  <c r="BS35" i="70"/>
  <c r="BK35" i="70"/>
  <c r="BT35" i="70"/>
  <c r="BN35" i="70"/>
  <c r="BV35" i="70"/>
  <c r="BO35" i="70"/>
  <c r="BW35" i="70"/>
  <c r="BP35" i="70"/>
  <c r="BX35" i="70"/>
  <c r="BG35" i="70"/>
  <c r="BQ35" i="70"/>
  <c r="BY35" i="70"/>
  <c r="BI35" i="70"/>
  <c r="BR35" i="70"/>
  <c r="BZ35" i="70"/>
  <c r="BL35" i="70"/>
  <c r="BU35" i="70"/>
  <c r="BM35" i="70"/>
  <c r="CJ35" i="70"/>
  <c r="CE35" i="70"/>
  <c r="BH35" i="70"/>
  <c r="CX34" i="72"/>
  <c r="AD25" i="23"/>
  <c r="G25" i="25" s="1"/>
  <c r="CL36" i="69"/>
  <c r="CE36" i="69"/>
  <c r="CN36" i="69"/>
  <c r="CV36" i="69"/>
  <c r="CF36" i="69"/>
  <c r="CO36" i="69"/>
  <c r="CW36" i="69"/>
  <c r="CG36" i="69"/>
  <c r="CP36" i="69"/>
  <c r="CK36" i="69"/>
  <c r="CM36" i="69"/>
  <c r="CQ36" i="69"/>
  <c r="CR36" i="69"/>
  <c r="CD36" i="69"/>
  <c r="CS36" i="69"/>
  <c r="CH36" i="69"/>
  <c r="CT36" i="69"/>
  <c r="CU36" i="69"/>
  <c r="CI36" i="69"/>
  <c r="CJ36" i="69"/>
  <c r="BK36" i="69"/>
  <c r="BS36" i="69"/>
  <c r="BL36" i="69"/>
  <c r="BT36" i="69"/>
  <c r="BN36" i="69"/>
  <c r="BV36" i="69"/>
  <c r="BG36" i="69"/>
  <c r="BO36" i="69"/>
  <c r="BW36" i="69"/>
  <c r="BH36" i="69"/>
  <c r="BP36" i="69"/>
  <c r="BX36" i="69"/>
  <c r="BI36" i="69"/>
  <c r="BQ36" i="69"/>
  <c r="BY36" i="69"/>
  <c r="BJ36" i="69"/>
  <c r="BR36" i="69"/>
  <c r="BZ36" i="69"/>
  <c r="BU36" i="69"/>
  <c r="BM36" i="69"/>
  <c r="CX35" i="69"/>
  <c r="CX34" i="67"/>
  <c r="CX35" i="73"/>
  <c r="P35" i="73" s="1"/>
  <c r="J25" i="23"/>
  <c r="L25" i="24" s="1"/>
  <c r="CL36" i="64"/>
  <c r="CN36" i="64"/>
  <c r="CV36" i="64"/>
  <c r="CD36" i="64"/>
  <c r="CO36" i="64"/>
  <c r="CW36" i="64"/>
  <c r="CH36" i="64"/>
  <c r="CR36" i="64"/>
  <c r="CI36" i="64"/>
  <c r="CS36" i="64"/>
  <c r="CM36" i="64"/>
  <c r="CU36" i="64"/>
  <c r="CE36" i="64"/>
  <c r="CG36" i="64"/>
  <c r="CJ36" i="64"/>
  <c r="CP36" i="64"/>
  <c r="CQ36" i="64"/>
  <c r="CT36" i="64"/>
  <c r="BL36" i="64"/>
  <c r="BU36" i="64"/>
  <c r="BM36" i="64"/>
  <c r="BV36" i="64"/>
  <c r="BO36" i="64"/>
  <c r="BW36" i="64"/>
  <c r="BP36" i="64"/>
  <c r="BX36" i="64"/>
  <c r="BG36" i="64"/>
  <c r="BQ36" i="64"/>
  <c r="BY36" i="64"/>
  <c r="BH36" i="64"/>
  <c r="BR36" i="64"/>
  <c r="BZ36" i="64"/>
  <c r="BJ36" i="64"/>
  <c r="BK36" i="64"/>
  <c r="BS36" i="64"/>
  <c r="BT36" i="64"/>
  <c r="CK36" i="64"/>
  <c r="BI36" i="64"/>
  <c r="CF36" i="64"/>
  <c r="BN36" i="64"/>
  <c r="CX35" i="63"/>
  <c r="CX35" i="65"/>
  <c r="F25" i="23"/>
  <c r="G25" i="24" s="1"/>
  <c r="CL36" i="63"/>
  <c r="CM36" i="63"/>
  <c r="CU36" i="63"/>
  <c r="CE36" i="63"/>
  <c r="CN36" i="63"/>
  <c r="CV36" i="63"/>
  <c r="CF36" i="63"/>
  <c r="CO36" i="63"/>
  <c r="CW36" i="63"/>
  <c r="CG36" i="63"/>
  <c r="CP36" i="63"/>
  <c r="CH36" i="63"/>
  <c r="CQ36" i="63"/>
  <c r="CI36" i="63"/>
  <c r="CJ36" i="63"/>
  <c r="CK36" i="63"/>
  <c r="CR36" i="63"/>
  <c r="CS36" i="63"/>
  <c r="CT36" i="63"/>
  <c r="BN36" i="63"/>
  <c r="BV36" i="63"/>
  <c r="BO36" i="63"/>
  <c r="BW36" i="63"/>
  <c r="BH36" i="63"/>
  <c r="BP36" i="63"/>
  <c r="BX36" i="63"/>
  <c r="BI36" i="63"/>
  <c r="BQ36" i="63"/>
  <c r="BY36" i="63"/>
  <c r="BR36" i="63"/>
  <c r="BS36" i="63"/>
  <c r="BT36" i="63"/>
  <c r="BU36" i="63"/>
  <c r="BJ36" i="63"/>
  <c r="BZ36" i="63"/>
  <c r="BK36" i="63"/>
  <c r="BL36" i="63"/>
  <c r="BM36" i="63"/>
  <c r="CD36" i="63"/>
  <c r="BG36" i="63"/>
  <c r="CX35" i="64"/>
  <c r="N25" i="23"/>
  <c r="Q25" i="24" s="1"/>
  <c r="CL36" i="65"/>
  <c r="CJ36" i="65"/>
  <c r="CS36" i="65"/>
  <c r="CK36" i="65"/>
  <c r="CT36" i="65"/>
  <c r="CD36" i="65"/>
  <c r="CM36" i="65"/>
  <c r="CU36" i="65"/>
  <c r="CE36" i="65"/>
  <c r="CN36" i="65"/>
  <c r="CV36" i="65"/>
  <c r="CF36" i="65"/>
  <c r="CO36" i="65"/>
  <c r="CW36" i="65"/>
  <c r="CG36" i="65"/>
  <c r="CP36" i="65"/>
  <c r="CQ36" i="65"/>
  <c r="CR36" i="65"/>
  <c r="CH36" i="65"/>
  <c r="CI36" i="65"/>
  <c r="BH36" i="65"/>
  <c r="BP36" i="65"/>
  <c r="BX36" i="65"/>
  <c r="BI36" i="65"/>
  <c r="BQ36" i="65"/>
  <c r="BY36" i="65"/>
  <c r="BJ36" i="65"/>
  <c r="BR36" i="65"/>
  <c r="BZ36" i="65"/>
  <c r="BK36" i="65"/>
  <c r="BS36" i="65"/>
  <c r="BL36" i="65"/>
  <c r="BT36" i="65"/>
  <c r="BM36" i="65"/>
  <c r="BU36" i="65"/>
  <c r="BN36" i="65"/>
  <c r="BV36" i="65"/>
  <c r="BG36" i="65"/>
  <c r="BO36" i="65"/>
  <c r="BW36" i="65"/>
  <c r="CL35" i="66"/>
  <c r="CD35" i="66"/>
  <c r="CM35" i="66"/>
  <c r="CU35" i="66"/>
  <c r="CE35" i="66"/>
  <c r="CN35" i="66"/>
  <c r="CV35" i="66"/>
  <c r="CF35" i="66"/>
  <c r="CO35" i="66"/>
  <c r="CW35" i="66"/>
  <c r="CG35" i="66"/>
  <c r="CP35" i="66"/>
  <c r="CH35" i="66"/>
  <c r="CQ35" i="66"/>
  <c r="CI35" i="66"/>
  <c r="CR35" i="66"/>
  <c r="CJ35" i="66"/>
  <c r="CS35" i="66"/>
  <c r="CK35" i="66"/>
  <c r="CT35" i="66"/>
  <c r="BN35" i="66"/>
  <c r="BV35" i="66"/>
  <c r="BG35" i="66"/>
  <c r="BO35" i="66"/>
  <c r="BW35" i="66"/>
  <c r="BH35" i="66"/>
  <c r="BP35" i="66"/>
  <c r="BX35" i="66"/>
  <c r="BI35" i="66"/>
  <c r="BQ35" i="66"/>
  <c r="BY35" i="66"/>
  <c r="BJ35" i="66"/>
  <c r="BR35" i="66"/>
  <c r="BZ35" i="66"/>
  <c r="BK35" i="66"/>
  <c r="BS35" i="66"/>
  <c r="BL35" i="66"/>
  <c r="BT35" i="66"/>
  <c r="BM35" i="66"/>
  <c r="BU35" i="66"/>
  <c r="Y45" i="67"/>
  <c r="Y34" i="68"/>
  <c r="AB24" i="23"/>
  <c r="E24" i="25" s="1"/>
  <c r="Z25" i="23"/>
  <c r="B25" i="25" s="1"/>
  <c r="CL36" i="68"/>
  <c r="CI36" i="68"/>
  <c r="CR36" i="68"/>
  <c r="CJ36" i="68"/>
  <c r="CS36" i="68"/>
  <c r="CK36" i="68"/>
  <c r="CT36" i="68"/>
  <c r="CD36" i="68"/>
  <c r="CM36" i="68"/>
  <c r="CU36" i="68"/>
  <c r="CE36" i="68"/>
  <c r="CN36" i="68"/>
  <c r="CV36" i="68"/>
  <c r="CF36" i="68"/>
  <c r="CO36" i="68"/>
  <c r="CW36" i="68"/>
  <c r="CG36" i="68"/>
  <c r="CP36" i="68"/>
  <c r="CH36" i="68"/>
  <c r="CQ36" i="68"/>
  <c r="BJ36" i="68"/>
  <c r="BR36" i="68"/>
  <c r="BZ36" i="68"/>
  <c r="BK36" i="68"/>
  <c r="BS36" i="68"/>
  <c r="BL36" i="68"/>
  <c r="BT36" i="68"/>
  <c r="BM36" i="68"/>
  <c r="BU36" i="68"/>
  <c r="BN36" i="68"/>
  <c r="BV36" i="68"/>
  <c r="BG36" i="68"/>
  <c r="BO36" i="68"/>
  <c r="BW36" i="68"/>
  <c r="BH36" i="68"/>
  <c r="BP36" i="68"/>
  <c r="BX36" i="68"/>
  <c r="BI36" i="68"/>
  <c r="BQ36" i="68"/>
  <c r="BY36" i="68"/>
  <c r="CX35" i="68"/>
  <c r="AJ23" i="23"/>
  <c r="O23" i="25"/>
  <c r="AG25" i="23"/>
  <c r="K25" i="25" s="1"/>
  <c r="B36" i="70"/>
  <c r="A37" i="70"/>
  <c r="AH24" i="23"/>
  <c r="L24" i="25" s="1"/>
  <c r="AM35" i="70"/>
  <c r="AZ35" i="70"/>
  <c r="AQ35" i="70"/>
  <c r="AS35" i="70"/>
  <c r="AR35" i="70"/>
  <c r="AI35" i="70"/>
  <c r="AV35" i="70"/>
  <c r="AK35" i="70"/>
  <c r="AJ35" i="70"/>
  <c r="AN35" i="70"/>
  <c r="D35" i="70"/>
  <c r="AT35" i="70"/>
  <c r="AW35" i="70"/>
  <c r="AL35" i="70"/>
  <c r="AX35" i="70"/>
  <c r="AO35" i="70"/>
  <c r="AP35" i="70"/>
  <c r="AG35" i="70"/>
  <c r="AU35" i="70"/>
  <c r="AY35" i="70"/>
  <c r="AH35" i="70"/>
  <c r="BA34" i="70"/>
  <c r="N34" i="70" s="1"/>
  <c r="BB34" i="70"/>
  <c r="J24" i="25"/>
  <c r="AF24" i="23"/>
  <c r="T24" i="25"/>
  <c r="AN24" i="23"/>
  <c r="AD24" i="25"/>
  <c r="AV24" i="23"/>
  <c r="BB34" i="67"/>
  <c r="BA34" i="67"/>
  <c r="N34" i="67" s="1"/>
  <c r="U25" i="23"/>
  <c r="Z25" i="24" s="1"/>
  <c r="A37" i="67"/>
  <c r="B36" i="67"/>
  <c r="V24" i="23"/>
  <c r="AA24" i="24" s="1"/>
  <c r="AS35" i="67"/>
  <c r="AT35" i="67"/>
  <c r="AK35" i="67"/>
  <c r="AZ35" i="67"/>
  <c r="AY35" i="67"/>
  <c r="AX35" i="67"/>
  <c r="AU35" i="67"/>
  <c r="AL35" i="67"/>
  <c r="D35" i="67"/>
  <c r="X24" i="23" s="1"/>
  <c r="AD24" i="24" s="1"/>
  <c r="AR35" i="67"/>
  <c r="AQ35" i="67"/>
  <c r="AM35" i="67"/>
  <c r="AJ35" i="67"/>
  <c r="AI35" i="67"/>
  <c r="AW35" i="67"/>
  <c r="AO35" i="67"/>
  <c r="AV35" i="67"/>
  <c r="AH35" i="67"/>
  <c r="AN35" i="67"/>
  <c r="AG35" i="67"/>
  <c r="AP35" i="67"/>
  <c r="CA34" i="67"/>
  <c r="O34" i="67" s="1"/>
  <c r="Y23" i="25"/>
  <c r="AR23" i="23"/>
  <c r="Q25" i="23"/>
  <c r="U25" i="24" s="1"/>
  <c r="A37" i="66"/>
  <c r="B36" i="66"/>
  <c r="R24" i="23"/>
  <c r="V24" i="24" s="1"/>
  <c r="AO35" i="66"/>
  <c r="D35" i="66"/>
  <c r="T24" i="23" s="1"/>
  <c r="Y24" i="24" s="1"/>
  <c r="AK35" i="66"/>
  <c r="AX35" i="66"/>
  <c r="AG35" i="66"/>
  <c r="AM35" i="66"/>
  <c r="AY35" i="66"/>
  <c r="AP35" i="66"/>
  <c r="AV35" i="66"/>
  <c r="AT35" i="66"/>
  <c r="AQ35" i="66"/>
  <c r="AH35" i="66"/>
  <c r="AI35" i="66"/>
  <c r="AS35" i="66"/>
  <c r="AN35" i="66"/>
  <c r="AZ35" i="66"/>
  <c r="AU35" i="66"/>
  <c r="AL35" i="66"/>
  <c r="AW35" i="66"/>
  <c r="AR35" i="66"/>
  <c r="AJ35" i="66"/>
  <c r="BB34" i="66"/>
  <c r="BA34" i="66"/>
  <c r="N34" i="66" s="1"/>
  <c r="CA35" i="73"/>
  <c r="O35" i="73" s="1"/>
  <c r="AS36" i="73"/>
  <c r="AK36" i="73"/>
  <c r="D36" i="73"/>
  <c r="AZ36" i="73"/>
  <c r="AR36" i="73"/>
  <c r="AJ36" i="73"/>
  <c r="AX36" i="73"/>
  <c r="AP36" i="73"/>
  <c r="AH36" i="73"/>
  <c r="AY36" i="73"/>
  <c r="AM36" i="73"/>
  <c r="AW36" i="73"/>
  <c r="AL36" i="73"/>
  <c r="AV36" i="73"/>
  <c r="AI36" i="73"/>
  <c r="AU36" i="73"/>
  <c r="AG36" i="73"/>
  <c r="AT36" i="73"/>
  <c r="AQ36" i="73"/>
  <c r="AO36" i="73"/>
  <c r="AN36" i="73"/>
  <c r="BB35" i="73"/>
  <c r="BA35" i="73"/>
  <c r="N35" i="73" s="1"/>
  <c r="A38" i="73"/>
  <c r="AS27" i="23" s="1"/>
  <c r="Z27" i="25" s="1"/>
  <c r="B37" i="73"/>
  <c r="BB34" i="72"/>
  <c r="BA34" i="72"/>
  <c r="N34" i="72" s="1"/>
  <c r="Y34" i="72" s="1"/>
  <c r="B36" i="72"/>
  <c r="A37" i="72"/>
  <c r="AO26" i="23" s="1"/>
  <c r="U26" i="25" s="1"/>
  <c r="AW35" i="72"/>
  <c r="AO35" i="72"/>
  <c r="AG35" i="72"/>
  <c r="AU35" i="72"/>
  <c r="AM35" i="72"/>
  <c r="AT35" i="72"/>
  <c r="AL35" i="72"/>
  <c r="AS35" i="72"/>
  <c r="AK35" i="72"/>
  <c r="D35" i="72"/>
  <c r="AZ35" i="72"/>
  <c r="AR35" i="72"/>
  <c r="AJ35" i="72"/>
  <c r="AN35" i="72"/>
  <c r="AI35" i="72"/>
  <c r="AH35" i="72"/>
  <c r="AY35" i="72"/>
  <c r="AX35" i="72"/>
  <c r="AV35" i="72"/>
  <c r="AQ35" i="72"/>
  <c r="AP35" i="72"/>
  <c r="BB35" i="71"/>
  <c r="BA35" i="71"/>
  <c r="N35" i="71" s="1"/>
  <c r="AS36" i="71"/>
  <c r="AK36" i="71"/>
  <c r="D36" i="71"/>
  <c r="AZ36" i="71"/>
  <c r="AR36" i="71"/>
  <c r="AJ36" i="71"/>
  <c r="AY36" i="71"/>
  <c r="AQ36" i="71"/>
  <c r="AI36" i="71"/>
  <c r="AW36" i="71"/>
  <c r="AO36" i="71"/>
  <c r="AG36" i="71"/>
  <c r="AU36" i="71"/>
  <c r="AM36" i="71"/>
  <c r="AT36" i="71"/>
  <c r="AP36" i="71"/>
  <c r="AN36" i="71"/>
  <c r="AL36" i="71"/>
  <c r="AH36" i="71"/>
  <c r="AX36" i="71"/>
  <c r="AV36" i="71"/>
  <c r="B37" i="71"/>
  <c r="A38" i="71"/>
  <c r="AK27" i="23" s="1"/>
  <c r="P27" i="25" s="1"/>
  <c r="B37" i="69"/>
  <c r="A38" i="69"/>
  <c r="AC27" i="23" s="1"/>
  <c r="F27" i="25" s="1"/>
  <c r="BB35" i="69"/>
  <c r="BA35" i="69"/>
  <c r="N35" i="69" s="1"/>
  <c r="Y34" i="69" s="1"/>
  <c r="AX36" i="69"/>
  <c r="AP36" i="69"/>
  <c r="AH36" i="69"/>
  <c r="AW36" i="69"/>
  <c r="AO36" i="69"/>
  <c r="AG36" i="69"/>
  <c r="AQ36" i="69"/>
  <c r="AZ36" i="69"/>
  <c r="AN36" i="69"/>
  <c r="D36" i="69"/>
  <c r="AY36" i="69"/>
  <c r="AM36" i="69"/>
  <c r="AV36" i="69"/>
  <c r="AL36" i="69"/>
  <c r="AU36" i="69"/>
  <c r="AK36" i="69"/>
  <c r="AT36" i="69"/>
  <c r="AJ36" i="69"/>
  <c r="AS36" i="69"/>
  <c r="AI36" i="69"/>
  <c r="AR36" i="69"/>
  <c r="BB35" i="68"/>
  <c r="BA35" i="68"/>
  <c r="N35" i="68" s="1"/>
  <c r="Y35" i="68" s="1"/>
  <c r="B37" i="68"/>
  <c r="A38" i="68"/>
  <c r="Y27" i="23" s="1"/>
  <c r="A27" i="25" s="1"/>
  <c r="AU36" i="68"/>
  <c r="AM36" i="68"/>
  <c r="AZ36" i="68"/>
  <c r="AR36" i="68"/>
  <c r="AJ36" i="68"/>
  <c r="AP36" i="68"/>
  <c r="AY36" i="68"/>
  <c r="AO36" i="68"/>
  <c r="AX36" i="68"/>
  <c r="AN36" i="68"/>
  <c r="D36" i="68"/>
  <c r="AW36" i="68"/>
  <c r="AL36" i="68"/>
  <c r="AV36" i="68"/>
  <c r="AK36" i="68"/>
  <c r="AT36" i="68"/>
  <c r="AI36" i="68"/>
  <c r="AS36" i="68"/>
  <c r="AH36" i="68"/>
  <c r="AQ36" i="68"/>
  <c r="AG36" i="68"/>
  <c r="BB35" i="65"/>
  <c r="BA35" i="65"/>
  <c r="N35" i="65" s="1"/>
  <c r="A38" i="65"/>
  <c r="M27" i="23" s="1"/>
  <c r="P27" i="24" s="1"/>
  <c r="B37" i="65"/>
  <c r="AU36" i="65"/>
  <c r="AM36" i="65"/>
  <c r="AZ36" i="65"/>
  <c r="AR36" i="65"/>
  <c r="AJ36" i="65"/>
  <c r="AP36" i="65"/>
  <c r="AY36" i="65"/>
  <c r="AO36" i="65"/>
  <c r="AV36" i="65"/>
  <c r="AH36" i="65"/>
  <c r="AT36" i="65"/>
  <c r="AG36" i="65"/>
  <c r="AS36" i="65"/>
  <c r="D36" i="65"/>
  <c r="P25" i="23" s="1"/>
  <c r="T25" i="24" s="1"/>
  <c r="AQ36" i="65"/>
  <c r="AL36" i="65"/>
  <c r="AX36" i="65"/>
  <c r="AK36" i="65"/>
  <c r="AW36" i="65"/>
  <c r="AI36" i="65"/>
  <c r="AN36" i="65"/>
  <c r="CA35" i="64"/>
  <c r="O35" i="64" s="1"/>
  <c r="AV36" i="64"/>
  <c r="AN36" i="64"/>
  <c r="AU36" i="64"/>
  <c r="AM36" i="64"/>
  <c r="AT36" i="64"/>
  <c r="AL36" i="64"/>
  <c r="AP36" i="64"/>
  <c r="AZ36" i="64"/>
  <c r="AO36" i="64"/>
  <c r="AY36" i="64"/>
  <c r="AK36" i="64"/>
  <c r="AX36" i="64"/>
  <c r="AJ36" i="64"/>
  <c r="AW36" i="64"/>
  <c r="AI36" i="64"/>
  <c r="AS36" i="64"/>
  <c r="AH36" i="64"/>
  <c r="AR36" i="64"/>
  <c r="AG36" i="64"/>
  <c r="AQ36" i="64"/>
  <c r="D36" i="64"/>
  <c r="L25" i="23" s="1"/>
  <c r="O25" i="24" s="1"/>
  <c r="B37" i="64"/>
  <c r="A38" i="64"/>
  <c r="I27" i="23" s="1"/>
  <c r="K27" i="24" s="1"/>
  <c r="BB35" i="64"/>
  <c r="BA35" i="64"/>
  <c r="N35" i="64" s="1"/>
  <c r="AY36" i="63"/>
  <c r="AQ36" i="63"/>
  <c r="AI36" i="63"/>
  <c r="AX36" i="63"/>
  <c r="AP36" i="63"/>
  <c r="AH36" i="63"/>
  <c r="AV36" i="63"/>
  <c r="AN36" i="63"/>
  <c r="AT36" i="63"/>
  <c r="AG36" i="63"/>
  <c r="AS36" i="63"/>
  <c r="AR36" i="63"/>
  <c r="AO36" i="63"/>
  <c r="D36" i="63"/>
  <c r="H25" i="23" s="1"/>
  <c r="J25" i="24" s="1"/>
  <c r="AM36" i="63"/>
  <c r="AZ36" i="63"/>
  <c r="AW36" i="63"/>
  <c r="AU36" i="63"/>
  <c r="AL36" i="63"/>
  <c r="AK36" i="63"/>
  <c r="AJ36" i="63"/>
  <c r="BB35" i="63"/>
  <c r="BA35" i="63"/>
  <c r="N35" i="63" s="1"/>
  <c r="B37" i="63"/>
  <c r="A38" i="63"/>
  <c r="E27" i="23" s="1"/>
  <c r="F27" i="24" s="1"/>
  <c r="Q35" i="73" l="1"/>
  <c r="FN34" i="69"/>
  <c r="FL34" i="69"/>
  <c r="FN35" i="68"/>
  <c r="FL35" i="68"/>
  <c r="FN34" i="72"/>
  <c r="FL34" i="72"/>
  <c r="FN34" i="68"/>
  <c r="FL34" i="68"/>
  <c r="CX36" i="69"/>
  <c r="CL36" i="70"/>
  <c r="CM36" i="70"/>
  <c r="CU36" i="70"/>
  <c r="CN36" i="70"/>
  <c r="CV36" i="70"/>
  <c r="CD36" i="70"/>
  <c r="CO36" i="70"/>
  <c r="CW36" i="70"/>
  <c r="CE36" i="70"/>
  <c r="CP36" i="70"/>
  <c r="CG36" i="70"/>
  <c r="CQ36" i="70"/>
  <c r="CH36" i="70"/>
  <c r="CR36" i="70"/>
  <c r="CI36" i="70"/>
  <c r="CS36" i="70"/>
  <c r="CJ36" i="70"/>
  <c r="CT36" i="70"/>
  <c r="BG36" i="70"/>
  <c r="BQ36" i="70"/>
  <c r="BY36" i="70"/>
  <c r="BH36" i="70"/>
  <c r="BR36" i="70"/>
  <c r="BZ36" i="70"/>
  <c r="BK36" i="70"/>
  <c r="BT36" i="70"/>
  <c r="BL36" i="70"/>
  <c r="BU36" i="70"/>
  <c r="BM36" i="70"/>
  <c r="BV36" i="70"/>
  <c r="BO36" i="70"/>
  <c r="BW36" i="70"/>
  <c r="BP36" i="70"/>
  <c r="BX36" i="70"/>
  <c r="BJ36" i="70"/>
  <c r="BS36" i="70"/>
  <c r="CK36" i="70"/>
  <c r="CF36" i="70"/>
  <c r="BN36" i="70"/>
  <c r="BI36" i="70"/>
  <c r="CX36" i="73"/>
  <c r="P36" i="73" s="1"/>
  <c r="AL26" i="23"/>
  <c r="Q26" i="25" s="1"/>
  <c r="CL37" i="71"/>
  <c r="CE37" i="71"/>
  <c r="CN37" i="71"/>
  <c r="CV37" i="71"/>
  <c r="CF37" i="71"/>
  <c r="CO37" i="71"/>
  <c r="CW37" i="71"/>
  <c r="CG37" i="71"/>
  <c r="CP37" i="71"/>
  <c r="CJ37" i="71"/>
  <c r="CS37" i="71"/>
  <c r="CK37" i="71"/>
  <c r="CT37" i="71"/>
  <c r="CQ37" i="71"/>
  <c r="CR37" i="71"/>
  <c r="CU37" i="71"/>
  <c r="CD37" i="71"/>
  <c r="CH37" i="71"/>
  <c r="CI37" i="71"/>
  <c r="CM37" i="71"/>
  <c r="BK37" i="71"/>
  <c r="BS37" i="71"/>
  <c r="BL37" i="71"/>
  <c r="BT37" i="71"/>
  <c r="BM37" i="71"/>
  <c r="BU37" i="71"/>
  <c r="BN37" i="71"/>
  <c r="BV37" i="71"/>
  <c r="BG37" i="71"/>
  <c r="BO37" i="71"/>
  <c r="BW37" i="71"/>
  <c r="BH37" i="71"/>
  <c r="BP37" i="71"/>
  <c r="BX37" i="71"/>
  <c r="BI37" i="71"/>
  <c r="BQ37" i="71"/>
  <c r="BY37" i="71"/>
  <c r="BJ37" i="71"/>
  <c r="BR37" i="71"/>
  <c r="BZ37" i="71"/>
  <c r="AD26" i="23"/>
  <c r="G26" i="25" s="1"/>
  <c r="CL37" i="69"/>
  <c r="CK37" i="69"/>
  <c r="CT37" i="69"/>
  <c r="CM37" i="69"/>
  <c r="CU37" i="69"/>
  <c r="CE37" i="69"/>
  <c r="CN37" i="69"/>
  <c r="CV37" i="69"/>
  <c r="CG37" i="69"/>
  <c r="CS37" i="69"/>
  <c r="CH37" i="69"/>
  <c r="CW37" i="69"/>
  <c r="CI37" i="69"/>
  <c r="CJ37" i="69"/>
  <c r="CO37" i="69"/>
  <c r="CP37" i="69"/>
  <c r="CF37" i="69"/>
  <c r="CQ37" i="69"/>
  <c r="CR37" i="69"/>
  <c r="BH37" i="69"/>
  <c r="BQ37" i="69"/>
  <c r="BY37" i="69"/>
  <c r="BI37" i="69"/>
  <c r="BR37" i="69"/>
  <c r="BZ37" i="69"/>
  <c r="BK37" i="69"/>
  <c r="BT37" i="69"/>
  <c r="BM37" i="69"/>
  <c r="BU37" i="69"/>
  <c r="BN37" i="69"/>
  <c r="BV37" i="69"/>
  <c r="BO37" i="69"/>
  <c r="BW37" i="69"/>
  <c r="BP37" i="69"/>
  <c r="BX37" i="69"/>
  <c r="BJ37" i="69"/>
  <c r="BS37" i="69"/>
  <c r="BL37" i="69"/>
  <c r="BG37" i="69"/>
  <c r="CD37" i="69"/>
  <c r="AP25" i="23"/>
  <c r="V25" i="25" s="1"/>
  <c r="CL36" i="72"/>
  <c r="CH36" i="72"/>
  <c r="CQ36" i="72"/>
  <c r="CI36" i="72"/>
  <c r="CR36" i="72"/>
  <c r="CN36" i="72"/>
  <c r="CO36" i="72"/>
  <c r="CE36" i="72"/>
  <c r="CP36" i="72"/>
  <c r="CF36" i="72"/>
  <c r="CS36" i="72"/>
  <c r="CG36" i="72"/>
  <c r="CT36" i="72"/>
  <c r="CJ36" i="72"/>
  <c r="CK36" i="72"/>
  <c r="CM36" i="72"/>
  <c r="CU36" i="72"/>
  <c r="CV36" i="72"/>
  <c r="CW36" i="72"/>
  <c r="BP36" i="72"/>
  <c r="BX36" i="72"/>
  <c r="BK36" i="72"/>
  <c r="BU36" i="72"/>
  <c r="BM36" i="72"/>
  <c r="BV36" i="72"/>
  <c r="BN36" i="72"/>
  <c r="BW36" i="72"/>
  <c r="BO36" i="72"/>
  <c r="BY36" i="72"/>
  <c r="BQ36" i="72"/>
  <c r="BZ36" i="72"/>
  <c r="BH36" i="72"/>
  <c r="BR36" i="72"/>
  <c r="BI36" i="72"/>
  <c r="BS36" i="72"/>
  <c r="BJ36" i="72"/>
  <c r="BT36" i="72"/>
  <c r="BL36" i="72"/>
  <c r="BG36" i="72"/>
  <c r="CD36" i="72"/>
  <c r="CX35" i="72"/>
  <c r="CX36" i="71"/>
  <c r="CX35" i="67"/>
  <c r="AT26" i="23"/>
  <c r="AA26" i="25" s="1"/>
  <c r="CL37" i="73"/>
  <c r="CG37" i="73"/>
  <c r="CP37" i="73"/>
  <c r="CH37" i="73"/>
  <c r="CQ37" i="73"/>
  <c r="CI37" i="73"/>
  <c r="CR37" i="73"/>
  <c r="CJ37" i="73"/>
  <c r="CS37" i="73"/>
  <c r="CD37" i="73"/>
  <c r="CM37" i="73"/>
  <c r="CU37" i="73"/>
  <c r="CF37" i="73"/>
  <c r="CO37" i="73"/>
  <c r="CW37" i="73"/>
  <c r="CK37" i="73"/>
  <c r="CN37" i="73"/>
  <c r="CT37" i="73"/>
  <c r="CE37" i="73"/>
  <c r="CV37" i="73"/>
  <c r="BL37" i="73"/>
  <c r="BT37" i="73"/>
  <c r="BN37" i="73"/>
  <c r="BV37" i="73"/>
  <c r="BG37" i="73"/>
  <c r="BO37" i="73"/>
  <c r="BW37" i="73"/>
  <c r="BH37" i="73"/>
  <c r="BP37" i="73"/>
  <c r="BX37" i="73"/>
  <c r="BI37" i="73"/>
  <c r="BQ37" i="73"/>
  <c r="BY37" i="73"/>
  <c r="BJ37" i="73"/>
  <c r="BR37" i="73"/>
  <c r="BZ37" i="73"/>
  <c r="BK37" i="73"/>
  <c r="BS37" i="73"/>
  <c r="BM37" i="73"/>
  <c r="BU37" i="73"/>
  <c r="CJ36" i="67"/>
  <c r="CS36" i="67"/>
  <c r="CK36" i="67"/>
  <c r="CT36" i="67"/>
  <c r="CM36" i="67"/>
  <c r="CU36" i="67"/>
  <c r="CD36" i="67"/>
  <c r="CN36" i="67"/>
  <c r="CV36" i="67"/>
  <c r="CE36" i="67"/>
  <c r="CO36" i="67"/>
  <c r="CW36" i="67"/>
  <c r="CF36" i="67"/>
  <c r="CP36" i="67"/>
  <c r="CR36" i="67"/>
  <c r="CH36" i="67"/>
  <c r="CI36" i="67"/>
  <c r="CQ36" i="67"/>
  <c r="BI36" i="67"/>
  <c r="BS36" i="67"/>
  <c r="BK36" i="67"/>
  <c r="BT36" i="67"/>
  <c r="BP36" i="67"/>
  <c r="BX36" i="67"/>
  <c r="BH36" i="67"/>
  <c r="BR36" i="67"/>
  <c r="BU36" i="67"/>
  <c r="BN36" i="67"/>
  <c r="BV36" i="67"/>
  <c r="BG36" i="67"/>
  <c r="BW36" i="67"/>
  <c r="BL36" i="67"/>
  <c r="BY36" i="67"/>
  <c r="BM36" i="67"/>
  <c r="BZ36" i="67"/>
  <c r="BQ36" i="67"/>
  <c r="BO36" i="67"/>
  <c r="BJ36" i="67"/>
  <c r="CL36" i="67"/>
  <c r="CG36" i="67"/>
  <c r="CX35" i="70"/>
  <c r="CX35" i="66"/>
  <c r="CX36" i="64"/>
  <c r="J26" i="23"/>
  <c r="L26" i="24" s="1"/>
  <c r="CK37" i="64"/>
  <c r="CT37" i="64"/>
  <c r="CM37" i="64"/>
  <c r="CU37" i="64"/>
  <c r="CF37" i="64"/>
  <c r="CP37" i="64"/>
  <c r="CH37" i="64"/>
  <c r="CQ37" i="64"/>
  <c r="CJ37" i="64"/>
  <c r="CS37" i="64"/>
  <c r="CI37" i="64"/>
  <c r="CN37" i="64"/>
  <c r="CO37" i="64"/>
  <c r="CR37" i="64"/>
  <c r="CV37" i="64"/>
  <c r="CW37" i="64"/>
  <c r="CD37" i="64"/>
  <c r="CE37" i="64"/>
  <c r="BI37" i="64"/>
  <c r="BS37" i="64"/>
  <c r="BK37" i="64"/>
  <c r="BT37" i="64"/>
  <c r="BL37" i="64"/>
  <c r="BU37" i="64"/>
  <c r="BM37" i="64"/>
  <c r="BV37" i="64"/>
  <c r="BN37" i="64"/>
  <c r="BW37" i="64"/>
  <c r="BP37" i="64"/>
  <c r="BX37" i="64"/>
  <c r="BG37" i="64"/>
  <c r="BH37" i="64"/>
  <c r="BQ37" i="64"/>
  <c r="BR37" i="64"/>
  <c r="BY37" i="64"/>
  <c r="BZ37" i="64"/>
  <c r="CL37" i="64"/>
  <c r="BJ37" i="64"/>
  <c r="CG37" i="64"/>
  <c r="BO37" i="64"/>
  <c r="CL36" i="66"/>
  <c r="CI36" i="66"/>
  <c r="CR36" i="66"/>
  <c r="CJ36" i="66"/>
  <c r="CS36" i="66"/>
  <c r="CK36" i="66"/>
  <c r="CT36" i="66"/>
  <c r="CD36" i="66"/>
  <c r="CM36" i="66"/>
  <c r="CU36" i="66"/>
  <c r="CE36" i="66"/>
  <c r="CN36" i="66"/>
  <c r="CV36" i="66"/>
  <c r="CF36" i="66"/>
  <c r="CO36" i="66"/>
  <c r="CW36" i="66"/>
  <c r="CG36" i="66"/>
  <c r="CP36" i="66"/>
  <c r="CH36" i="66"/>
  <c r="CQ36" i="66"/>
  <c r="BJ36" i="66"/>
  <c r="BR36" i="66"/>
  <c r="BZ36" i="66"/>
  <c r="BK36" i="66"/>
  <c r="BS36" i="66"/>
  <c r="BL36" i="66"/>
  <c r="BT36" i="66"/>
  <c r="BM36" i="66"/>
  <c r="BU36" i="66"/>
  <c r="BN36" i="66"/>
  <c r="BV36" i="66"/>
  <c r="BG36" i="66"/>
  <c r="BO36" i="66"/>
  <c r="BW36" i="66"/>
  <c r="BH36" i="66"/>
  <c r="BP36" i="66"/>
  <c r="BX36" i="66"/>
  <c r="BI36" i="66"/>
  <c r="BQ36" i="66"/>
  <c r="BY36" i="66"/>
  <c r="CX36" i="65"/>
  <c r="CX36" i="63"/>
  <c r="N26" i="23"/>
  <c r="Q26" i="24" s="1"/>
  <c r="CL37" i="65"/>
  <c r="CG37" i="65"/>
  <c r="CP37" i="65"/>
  <c r="CH37" i="65"/>
  <c r="CQ37" i="65"/>
  <c r="CI37" i="65"/>
  <c r="CR37" i="65"/>
  <c r="CJ37" i="65"/>
  <c r="CS37" i="65"/>
  <c r="CK37" i="65"/>
  <c r="CT37" i="65"/>
  <c r="CD37" i="65"/>
  <c r="CM37" i="65"/>
  <c r="CU37" i="65"/>
  <c r="CE37" i="65"/>
  <c r="CF37" i="65"/>
  <c r="CN37" i="65"/>
  <c r="CO37" i="65"/>
  <c r="CV37" i="65"/>
  <c r="CW37" i="65"/>
  <c r="BL37" i="65"/>
  <c r="BT37" i="65"/>
  <c r="BM37" i="65"/>
  <c r="BU37" i="65"/>
  <c r="BN37" i="65"/>
  <c r="BV37" i="65"/>
  <c r="BG37" i="65"/>
  <c r="BO37" i="65"/>
  <c r="BW37" i="65"/>
  <c r="BH37" i="65"/>
  <c r="BP37" i="65"/>
  <c r="BX37" i="65"/>
  <c r="BI37" i="65"/>
  <c r="BQ37" i="65"/>
  <c r="BY37" i="65"/>
  <c r="BJ37" i="65"/>
  <c r="BR37" i="65"/>
  <c r="BZ37" i="65"/>
  <c r="BK37" i="65"/>
  <c r="BS37" i="65"/>
  <c r="F26" i="23"/>
  <c r="G26" i="24" s="1"/>
  <c r="CL37" i="63"/>
  <c r="CJ37" i="63"/>
  <c r="CS37" i="63"/>
  <c r="CK37" i="63"/>
  <c r="CT37" i="63"/>
  <c r="CM37" i="63"/>
  <c r="CU37" i="63"/>
  <c r="CD37" i="63"/>
  <c r="CN37" i="63"/>
  <c r="CV37" i="63"/>
  <c r="CF37" i="63"/>
  <c r="CO37" i="63"/>
  <c r="CW37" i="63"/>
  <c r="CG37" i="63"/>
  <c r="CH37" i="63"/>
  <c r="CI37" i="63"/>
  <c r="CP37" i="63"/>
  <c r="CQ37" i="63"/>
  <c r="CR37" i="63"/>
  <c r="BK37" i="63"/>
  <c r="BS37" i="63"/>
  <c r="BL37" i="63"/>
  <c r="BT37" i="63"/>
  <c r="BM37" i="63"/>
  <c r="BU37" i="63"/>
  <c r="BN37" i="63"/>
  <c r="BV37" i="63"/>
  <c r="BO37" i="63"/>
  <c r="BP37" i="63"/>
  <c r="BJ37" i="63"/>
  <c r="BQ37" i="63"/>
  <c r="BR37" i="63"/>
  <c r="BW37" i="63"/>
  <c r="BG37" i="63"/>
  <c r="BX37" i="63"/>
  <c r="BZ37" i="63"/>
  <c r="BI37" i="63"/>
  <c r="BY37" i="63"/>
  <c r="CE37" i="63"/>
  <c r="BH37" i="63"/>
  <c r="AB25" i="23"/>
  <c r="E25" i="25" s="1"/>
  <c r="Z26" i="23"/>
  <c r="B26" i="25" s="1"/>
  <c r="CL37" i="68"/>
  <c r="CG37" i="68"/>
  <c r="CP37" i="68"/>
  <c r="CH37" i="68"/>
  <c r="CQ37" i="68"/>
  <c r="CI37" i="68"/>
  <c r="CR37" i="68"/>
  <c r="CJ37" i="68"/>
  <c r="CS37" i="68"/>
  <c r="CK37" i="68"/>
  <c r="CT37" i="68"/>
  <c r="CM37" i="68"/>
  <c r="CU37" i="68"/>
  <c r="CE37" i="68"/>
  <c r="CN37" i="68"/>
  <c r="CV37" i="68"/>
  <c r="CF37" i="68"/>
  <c r="CO37" i="68"/>
  <c r="CW37" i="68"/>
  <c r="BP37" i="68"/>
  <c r="BX37" i="68"/>
  <c r="BH37" i="68"/>
  <c r="BQ37" i="68"/>
  <c r="BY37" i="68"/>
  <c r="BI37" i="68"/>
  <c r="BR37" i="68"/>
  <c r="BZ37" i="68"/>
  <c r="BJ37" i="68"/>
  <c r="BS37" i="68"/>
  <c r="BK37" i="68"/>
  <c r="BT37" i="68"/>
  <c r="BM37" i="68"/>
  <c r="BU37" i="68"/>
  <c r="BN37" i="68"/>
  <c r="BV37" i="68"/>
  <c r="BO37" i="68"/>
  <c r="BW37" i="68"/>
  <c r="BL37" i="68"/>
  <c r="CD37" i="68"/>
  <c r="BG37" i="68"/>
  <c r="CX36" i="68"/>
  <c r="CA35" i="70"/>
  <c r="O35" i="70" s="1"/>
  <c r="AJ24" i="23"/>
  <c r="O24" i="25"/>
  <c r="AG26" i="23"/>
  <c r="K26" i="25" s="1"/>
  <c r="A38" i="70"/>
  <c r="B37" i="70"/>
  <c r="AH25" i="23"/>
  <c r="L25" i="25" s="1"/>
  <c r="AG36" i="70"/>
  <c r="AY36" i="70"/>
  <c r="AO36" i="70"/>
  <c r="AW36" i="70"/>
  <c r="AS36" i="70"/>
  <c r="AL36" i="70"/>
  <c r="AU36" i="70"/>
  <c r="AZ36" i="70"/>
  <c r="AH36" i="70"/>
  <c r="AT36" i="70"/>
  <c r="AM36" i="70"/>
  <c r="AR36" i="70"/>
  <c r="AP36" i="70"/>
  <c r="AX36" i="70"/>
  <c r="AI36" i="70"/>
  <c r="AJ36" i="70"/>
  <c r="AN36" i="70"/>
  <c r="D36" i="70"/>
  <c r="AV36" i="70"/>
  <c r="AQ36" i="70"/>
  <c r="AK36" i="70"/>
  <c r="BB35" i="70"/>
  <c r="BA35" i="70"/>
  <c r="N35" i="70" s="1"/>
  <c r="AF25" i="23"/>
  <c r="J25" i="25"/>
  <c r="T25" i="25"/>
  <c r="AN25" i="23"/>
  <c r="AD25" i="25"/>
  <c r="AV25" i="23"/>
  <c r="V25" i="23"/>
  <c r="AA25" i="24" s="1"/>
  <c r="AW36" i="67"/>
  <c r="AJ36" i="67"/>
  <c r="AO36" i="67"/>
  <c r="AT36" i="67"/>
  <c r="AG36" i="67"/>
  <c r="AL36" i="67"/>
  <c r="AX36" i="67"/>
  <c r="AU36" i="67"/>
  <c r="AS36" i="67"/>
  <c r="AP36" i="67"/>
  <c r="AM36" i="67"/>
  <c r="AK36" i="67"/>
  <c r="AY36" i="67"/>
  <c r="AH36" i="67"/>
  <c r="D36" i="67"/>
  <c r="X25" i="23" s="1"/>
  <c r="AD25" i="24" s="1"/>
  <c r="AQ36" i="67"/>
  <c r="AV36" i="67"/>
  <c r="AZ36" i="67"/>
  <c r="AI36" i="67"/>
  <c r="AN36" i="67"/>
  <c r="AR36" i="67"/>
  <c r="CA35" i="67"/>
  <c r="O35" i="67" s="1"/>
  <c r="U26" i="23"/>
  <c r="Z26" i="24" s="1"/>
  <c r="B37" i="67"/>
  <c r="A38" i="67"/>
  <c r="Y24" i="25"/>
  <c r="AR24" i="23"/>
  <c r="BB35" i="67"/>
  <c r="BA35" i="67"/>
  <c r="N35" i="67" s="1"/>
  <c r="CA35" i="66"/>
  <c r="O35" i="66" s="1"/>
  <c r="R25" i="23"/>
  <c r="V25" i="24" s="1"/>
  <c r="AK36" i="66"/>
  <c r="AR36" i="66"/>
  <c r="AM36" i="66"/>
  <c r="AH36" i="66"/>
  <c r="AI36" i="66"/>
  <c r="D36" i="66"/>
  <c r="T25" i="23" s="1"/>
  <c r="Y25" i="24" s="1"/>
  <c r="AJ36" i="66"/>
  <c r="AQ36" i="66"/>
  <c r="AT36" i="66"/>
  <c r="AL36" i="66"/>
  <c r="AY36" i="66"/>
  <c r="AW36" i="66"/>
  <c r="AU36" i="66"/>
  <c r="AN36" i="66"/>
  <c r="AP36" i="66"/>
  <c r="AG36" i="66"/>
  <c r="AV36" i="66"/>
  <c r="AS36" i="66"/>
  <c r="AZ36" i="66"/>
  <c r="AX36" i="66"/>
  <c r="AO36" i="66"/>
  <c r="Q26" i="23"/>
  <c r="U26" i="24" s="1"/>
  <c r="B37" i="66"/>
  <c r="A38" i="66"/>
  <c r="BA35" i="66"/>
  <c r="N35" i="66" s="1"/>
  <c r="Y34" i="66" s="1"/>
  <c r="BB35" i="66"/>
  <c r="AU37" i="73"/>
  <c r="AM37" i="73"/>
  <c r="AT37" i="73"/>
  <c r="AL37" i="73"/>
  <c r="AZ37" i="73"/>
  <c r="AR37" i="73"/>
  <c r="AJ37" i="73"/>
  <c r="AY37" i="73"/>
  <c r="AN37" i="73"/>
  <c r="AX37" i="73"/>
  <c r="AK37" i="73"/>
  <c r="AV37" i="73"/>
  <c r="AH37" i="73"/>
  <c r="AQ37" i="73"/>
  <c r="AO37" i="73"/>
  <c r="D37" i="73"/>
  <c r="AW37" i="73"/>
  <c r="AS37" i="73"/>
  <c r="AP37" i="73"/>
  <c r="AI37" i="73"/>
  <c r="AG37" i="73"/>
  <c r="CA36" i="73"/>
  <c r="O36" i="73" s="1"/>
  <c r="A39" i="73"/>
  <c r="AS28" i="23" s="1"/>
  <c r="Z28" i="25" s="1"/>
  <c r="B38" i="73"/>
  <c r="BB36" i="73"/>
  <c r="BA36" i="73"/>
  <c r="N36" i="73" s="1"/>
  <c r="A38" i="72"/>
  <c r="AO27" i="23" s="1"/>
  <c r="U27" i="25" s="1"/>
  <c r="B37" i="72"/>
  <c r="AU36" i="72"/>
  <c r="AM36" i="72"/>
  <c r="AT36" i="72"/>
  <c r="AL36" i="72"/>
  <c r="AZ36" i="72"/>
  <c r="AR36" i="72"/>
  <c r="AJ36" i="72"/>
  <c r="AO36" i="72"/>
  <c r="D36" i="72"/>
  <c r="AX36" i="72"/>
  <c r="AK36" i="72"/>
  <c r="AW36" i="72"/>
  <c r="AI36" i="72"/>
  <c r="AV36" i="72"/>
  <c r="AH36" i="72"/>
  <c r="AS36" i="72"/>
  <c r="AG36" i="72"/>
  <c r="AY36" i="72"/>
  <c r="AQ36" i="72"/>
  <c r="AP36" i="72"/>
  <c r="AN36" i="72"/>
  <c r="BB35" i="72"/>
  <c r="BA35" i="72"/>
  <c r="N35" i="72" s="1"/>
  <c r="A39" i="71"/>
  <c r="AK28" i="23" s="1"/>
  <c r="P28" i="25" s="1"/>
  <c r="B38" i="71"/>
  <c r="AU37" i="71"/>
  <c r="AM37" i="71"/>
  <c r="AT37" i="71"/>
  <c r="AL37" i="71"/>
  <c r="AZ37" i="71"/>
  <c r="AR37" i="71"/>
  <c r="AJ37" i="71"/>
  <c r="AY37" i="71"/>
  <c r="AN37" i="71"/>
  <c r="AX37" i="71"/>
  <c r="AK37" i="71"/>
  <c r="AW37" i="71"/>
  <c r="AI37" i="71"/>
  <c r="AS37" i="71"/>
  <c r="AG37" i="71"/>
  <c r="AP37" i="71"/>
  <c r="AV37" i="71"/>
  <c r="AQ37" i="71"/>
  <c r="AO37" i="71"/>
  <c r="AH37" i="71"/>
  <c r="D37" i="71"/>
  <c r="BB36" i="71"/>
  <c r="BA36" i="71"/>
  <c r="N36" i="71" s="1"/>
  <c r="BB36" i="69"/>
  <c r="BA36" i="69"/>
  <c r="N36" i="69" s="1"/>
  <c r="A39" i="69"/>
  <c r="AC28" i="23" s="1"/>
  <c r="F28" i="25" s="1"/>
  <c r="B38" i="69"/>
  <c r="AU37" i="69"/>
  <c r="AM37" i="69"/>
  <c r="AZ37" i="69"/>
  <c r="AR37" i="69"/>
  <c r="AJ37" i="69"/>
  <c r="AV37" i="69"/>
  <c r="AK37" i="69"/>
  <c r="AT37" i="69"/>
  <c r="AI37" i="69"/>
  <c r="AQ37" i="69"/>
  <c r="AP37" i="69"/>
  <c r="D37" i="69"/>
  <c r="AO37" i="69"/>
  <c r="AN37" i="69"/>
  <c r="AY37" i="69"/>
  <c r="AL37" i="69"/>
  <c r="AX37" i="69"/>
  <c r="AH37" i="69"/>
  <c r="AW37" i="69"/>
  <c r="AG37" i="69"/>
  <c r="AS37" i="69"/>
  <c r="BB36" i="68"/>
  <c r="BA36" i="68"/>
  <c r="N36" i="68" s="1"/>
  <c r="B38" i="68"/>
  <c r="A39" i="68"/>
  <c r="Y28" i="23" s="1"/>
  <c r="A28" i="25" s="1"/>
  <c r="AX37" i="68"/>
  <c r="AP37" i="68"/>
  <c r="AH37" i="68"/>
  <c r="AW37" i="68"/>
  <c r="AO37" i="68"/>
  <c r="AG37" i="68"/>
  <c r="AU37" i="68"/>
  <c r="AM37" i="68"/>
  <c r="AQ37" i="68"/>
  <c r="AN37" i="68"/>
  <c r="AZ37" i="68"/>
  <c r="AL37" i="68"/>
  <c r="AY37" i="68"/>
  <c r="AK37" i="68"/>
  <c r="AV37" i="68"/>
  <c r="AJ37" i="68"/>
  <c r="AT37" i="68"/>
  <c r="AI37" i="68"/>
  <c r="AS37" i="68"/>
  <c r="AR37" i="68"/>
  <c r="D37" i="68"/>
  <c r="AX37" i="65"/>
  <c r="AP37" i="65"/>
  <c r="AH37" i="65"/>
  <c r="AW37" i="65"/>
  <c r="AO37" i="65"/>
  <c r="AG37" i="65"/>
  <c r="AU37" i="65"/>
  <c r="AM37" i="65"/>
  <c r="AY37" i="65"/>
  <c r="AK37" i="65"/>
  <c r="AV37" i="65"/>
  <c r="AJ37" i="65"/>
  <c r="AI37" i="65"/>
  <c r="AZ37" i="65"/>
  <c r="AT37" i="65"/>
  <c r="D37" i="65"/>
  <c r="P26" i="23" s="1"/>
  <c r="T26" i="24" s="1"/>
  <c r="AS37" i="65"/>
  <c r="AR37" i="65"/>
  <c r="AQ37" i="65"/>
  <c r="AN37" i="65"/>
  <c r="AL37" i="65"/>
  <c r="BB36" i="65"/>
  <c r="BA36" i="65"/>
  <c r="N36" i="65" s="1"/>
  <c r="B38" i="65"/>
  <c r="A39" i="65"/>
  <c r="M28" i="23" s="1"/>
  <c r="P28" i="24" s="1"/>
  <c r="CA36" i="64"/>
  <c r="O36" i="64" s="1"/>
  <c r="BB36" i="64"/>
  <c r="BA36" i="64"/>
  <c r="N36" i="64" s="1"/>
  <c r="AU37" i="64"/>
  <c r="AM37" i="64"/>
  <c r="AV37" i="64"/>
  <c r="AL37" i="64"/>
  <c r="D37" i="64"/>
  <c r="L26" i="23" s="1"/>
  <c r="O26" i="24" s="1"/>
  <c r="AT37" i="64"/>
  <c r="AK37" i="64"/>
  <c r="AS37" i="64"/>
  <c r="AJ37" i="64"/>
  <c r="AZ37" i="64"/>
  <c r="AQ37" i="64"/>
  <c r="AH37" i="64"/>
  <c r="AP37" i="64"/>
  <c r="AO37" i="64"/>
  <c r="AN37" i="64"/>
  <c r="AI37" i="64"/>
  <c r="AY37" i="64"/>
  <c r="AG37" i="64"/>
  <c r="AX37" i="64"/>
  <c r="AW37" i="64"/>
  <c r="AR37" i="64"/>
  <c r="A39" i="64"/>
  <c r="I28" i="23" s="1"/>
  <c r="K28" i="24" s="1"/>
  <c r="B38" i="64"/>
  <c r="A39" i="63"/>
  <c r="E28" i="23" s="1"/>
  <c r="F28" i="24" s="1"/>
  <c r="B38" i="63"/>
  <c r="AU37" i="63"/>
  <c r="AM37" i="63"/>
  <c r="AZ37" i="63"/>
  <c r="AR37" i="63"/>
  <c r="AJ37" i="63"/>
  <c r="AV37" i="63"/>
  <c r="AK37" i="63"/>
  <c r="AT37" i="63"/>
  <c r="AI37" i="63"/>
  <c r="AQ37" i="63"/>
  <c r="AG37" i="63"/>
  <c r="AY37" i="63"/>
  <c r="AH37" i="63"/>
  <c r="AX37" i="63"/>
  <c r="AW37" i="63"/>
  <c r="D37" i="63"/>
  <c r="H26" i="23" s="1"/>
  <c r="J26" i="24" s="1"/>
  <c r="AS37" i="63"/>
  <c r="AP37" i="63"/>
  <c r="AO37" i="63"/>
  <c r="AN37" i="63"/>
  <c r="AL37" i="63"/>
  <c r="BB36" i="63"/>
  <c r="BA36" i="63"/>
  <c r="N36" i="63" s="1"/>
  <c r="Q36" i="73" l="1"/>
  <c r="FN34" i="66"/>
  <c r="FN45" i="66" s="1"/>
  <c r="FL34" i="66"/>
  <c r="FL45" i="66" s="1"/>
  <c r="CX36" i="72"/>
  <c r="AL27" i="23"/>
  <c r="Q27" i="25" s="1"/>
  <c r="CL38" i="71"/>
  <c r="CJ38" i="71"/>
  <c r="CS38" i="71"/>
  <c r="CK38" i="71"/>
  <c r="CT38" i="71"/>
  <c r="CD38" i="71"/>
  <c r="CM38" i="71"/>
  <c r="CU38" i="71"/>
  <c r="CG38" i="71"/>
  <c r="CP38" i="71"/>
  <c r="CH38" i="71"/>
  <c r="CQ38" i="71"/>
  <c r="CR38" i="71"/>
  <c r="CV38" i="71"/>
  <c r="CW38" i="71"/>
  <c r="CE38" i="71"/>
  <c r="CF38" i="71"/>
  <c r="CI38" i="71"/>
  <c r="CN38" i="71"/>
  <c r="CO38" i="71"/>
  <c r="BG38" i="71"/>
  <c r="BO38" i="71"/>
  <c r="BW38" i="71"/>
  <c r="BH38" i="71"/>
  <c r="BP38" i="71"/>
  <c r="BX38" i="71"/>
  <c r="BI38" i="71"/>
  <c r="BQ38" i="71"/>
  <c r="BY38" i="71"/>
  <c r="BJ38" i="71"/>
  <c r="BR38" i="71"/>
  <c r="BZ38" i="71"/>
  <c r="BK38" i="71"/>
  <c r="BS38" i="71"/>
  <c r="BL38" i="71"/>
  <c r="BT38" i="71"/>
  <c r="BM38" i="71"/>
  <c r="BU38" i="71"/>
  <c r="BN38" i="71"/>
  <c r="BV38" i="71"/>
  <c r="CL37" i="67"/>
  <c r="CG37" i="67"/>
  <c r="CR37" i="67"/>
  <c r="CI37" i="67"/>
  <c r="CS37" i="67"/>
  <c r="CJ37" i="67"/>
  <c r="CT37" i="67"/>
  <c r="CK37" i="67"/>
  <c r="CU37" i="67"/>
  <c r="CN37" i="67"/>
  <c r="CV37" i="67"/>
  <c r="CD37" i="67"/>
  <c r="CO37" i="67"/>
  <c r="CW37" i="67"/>
  <c r="CE37" i="67"/>
  <c r="CF37" i="67"/>
  <c r="CP37" i="67"/>
  <c r="CQ37" i="67"/>
  <c r="BG37" i="67"/>
  <c r="BQ37" i="67"/>
  <c r="BH37" i="67"/>
  <c r="BM37" i="67"/>
  <c r="BL37" i="67"/>
  <c r="BW37" i="67"/>
  <c r="BN37" i="67"/>
  <c r="BX37" i="67"/>
  <c r="BI37" i="67"/>
  <c r="BU37" i="67"/>
  <c r="BJ37" i="67"/>
  <c r="BO37" i="67"/>
  <c r="BY37" i="67"/>
  <c r="BR37" i="67"/>
  <c r="BZ37" i="67"/>
  <c r="BS37" i="67"/>
  <c r="BV37" i="67"/>
  <c r="BT37" i="67"/>
  <c r="CM37" i="67"/>
  <c r="BP37" i="67"/>
  <c r="BK37" i="67"/>
  <c r="CH37" i="67"/>
  <c r="AP26" i="23"/>
  <c r="V26" i="25" s="1"/>
  <c r="CL37" i="72"/>
  <c r="CF37" i="72"/>
  <c r="CP37" i="72"/>
  <c r="CG37" i="72"/>
  <c r="CQ37" i="72"/>
  <c r="CD37" i="72"/>
  <c r="CS37" i="72"/>
  <c r="CH37" i="72"/>
  <c r="CT37" i="72"/>
  <c r="CI37" i="72"/>
  <c r="CU37" i="72"/>
  <c r="CK37" i="72"/>
  <c r="CV37" i="72"/>
  <c r="CM37" i="72"/>
  <c r="CW37" i="72"/>
  <c r="CO37" i="72"/>
  <c r="CR37" i="72"/>
  <c r="CN37" i="72"/>
  <c r="BN37" i="72"/>
  <c r="BV37" i="72"/>
  <c r="BK37" i="72"/>
  <c r="BU37" i="72"/>
  <c r="BL37" i="72"/>
  <c r="BW37" i="72"/>
  <c r="BO37" i="72"/>
  <c r="BX37" i="72"/>
  <c r="BP37" i="72"/>
  <c r="BY37" i="72"/>
  <c r="BQ37" i="72"/>
  <c r="BZ37" i="72"/>
  <c r="BG37" i="72"/>
  <c r="BR37" i="72"/>
  <c r="BI37" i="72"/>
  <c r="BS37" i="72"/>
  <c r="BJ37" i="72"/>
  <c r="BT37" i="72"/>
  <c r="CE37" i="72"/>
  <c r="BM37" i="72"/>
  <c r="BH37" i="72"/>
  <c r="CJ37" i="72"/>
  <c r="CX36" i="67"/>
  <c r="CX36" i="70"/>
  <c r="AD27" i="23"/>
  <c r="G27" i="25" s="1"/>
  <c r="CL38" i="69"/>
  <c r="CI38" i="69"/>
  <c r="CS38" i="69"/>
  <c r="CK38" i="69"/>
  <c r="CT38" i="69"/>
  <c r="CM38" i="69"/>
  <c r="CU38" i="69"/>
  <c r="CP38" i="69"/>
  <c r="CQ38" i="69"/>
  <c r="CD38" i="69"/>
  <c r="CR38" i="69"/>
  <c r="CF38" i="69"/>
  <c r="CV38" i="69"/>
  <c r="CG38" i="69"/>
  <c r="CW38" i="69"/>
  <c r="CH38" i="69"/>
  <c r="CN38" i="69"/>
  <c r="CO38" i="69"/>
  <c r="BO38" i="69"/>
  <c r="BW38" i="69"/>
  <c r="BP38" i="69"/>
  <c r="BX38" i="69"/>
  <c r="BI38" i="69"/>
  <c r="BR38" i="69"/>
  <c r="BZ38" i="69"/>
  <c r="BJ38" i="69"/>
  <c r="BS38" i="69"/>
  <c r="BK38" i="69"/>
  <c r="BT38" i="69"/>
  <c r="BL38" i="69"/>
  <c r="BU38" i="69"/>
  <c r="BN38" i="69"/>
  <c r="BV38" i="69"/>
  <c r="BG38" i="69"/>
  <c r="BQ38" i="69"/>
  <c r="BY38" i="69"/>
  <c r="CJ38" i="69"/>
  <c r="BH38" i="69"/>
  <c r="CE38" i="69"/>
  <c r="BM38" i="69"/>
  <c r="AT27" i="23"/>
  <c r="AA27" i="25" s="1"/>
  <c r="CL38" i="73"/>
  <c r="CD38" i="73"/>
  <c r="CM38" i="73"/>
  <c r="CU38" i="73"/>
  <c r="CE38" i="73"/>
  <c r="CN38" i="73"/>
  <c r="CV38" i="73"/>
  <c r="CF38" i="73"/>
  <c r="CO38" i="73"/>
  <c r="CW38" i="73"/>
  <c r="CG38" i="73"/>
  <c r="CP38" i="73"/>
  <c r="CI38" i="73"/>
  <c r="CR38" i="73"/>
  <c r="CK38" i="73"/>
  <c r="CT38" i="73"/>
  <c r="CS38" i="73"/>
  <c r="CQ38" i="73"/>
  <c r="CH38" i="73"/>
  <c r="CJ38" i="73"/>
  <c r="BH38" i="73"/>
  <c r="BP38" i="73"/>
  <c r="BX38" i="73"/>
  <c r="BJ38" i="73"/>
  <c r="BR38" i="73"/>
  <c r="BZ38" i="73"/>
  <c r="BK38" i="73"/>
  <c r="BS38" i="73"/>
  <c r="BL38" i="73"/>
  <c r="BT38" i="73"/>
  <c r="BM38" i="73"/>
  <c r="BU38" i="73"/>
  <c r="BN38" i="73"/>
  <c r="BV38" i="73"/>
  <c r="BG38" i="73"/>
  <c r="BO38" i="73"/>
  <c r="BW38" i="73"/>
  <c r="BI38" i="73"/>
  <c r="BQ38" i="73"/>
  <c r="BY38" i="73"/>
  <c r="CX37" i="69"/>
  <c r="CX37" i="71"/>
  <c r="CX37" i="73"/>
  <c r="P37" i="73" s="1"/>
  <c r="CJ37" i="70"/>
  <c r="CS37" i="70"/>
  <c r="CK37" i="70"/>
  <c r="CT37" i="70"/>
  <c r="CM37" i="70"/>
  <c r="CU37" i="70"/>
  <c r="CD37" i="70"/>
  <c r="CN37" i="70"/>
  <c r="CV37" i="70"/>
  <c r="CE37" i="70"/>
  <c r="CO37" i="70"/>
  <c r="CW37" i="70"/>
  <c r="CF37" i="70"/>
  <c r="CP37" i="70"/>
  <c r="CH37" i="70"/>
  <c r="CQ37" i="70"/>
  <c r="CI37" i="70"/>
  <c r="CR37" i="70"/>
  <c r="BN37" i="70"/>
  <c r="BW37" i="70"/>
  <c r="BP37" i="70"/>
  <c r="BX37" i="70"/>
  <c r="BH37" i="70"/>
  <c r="BR37" i="70"/>
  <c r="BZ37" i="70"/>
  <c r="BI37" i="70"/>
  <c r="BS37" i="70"/>
  <c r="BK37" i="70"/>
  <c r="BT37" i="70"/>
  <c r="BL37" i="70"/>
  <c r="BU37" i="70"/>
  <c r="BM37" i="70"/>
  <c r="BV37" i="70"/>
  <c r="BG37" i="70"/>
  <c r="BQ37" i="70"/>
  <c r="BY37" i="70"/>
  <c r="CL37" i="70"/>
  <c r="BO37" i="70"/>
  <c r="BJ37" i="70"/>
  <c r="CG37" i="70"/>
  <c r="N27" i="23"/>
  <c r="Q27" i="24" s="1"/>
  <c r="CL38" i="65"/>
  <c r="CE38" i="65"/>
  <c r="CN38" i="65"/>
  <c r="CV38" i="65"/>
  <c r="CF38" i="65"/>
  <c r="CO38" i="65"/>
  <c r="CW38" i="65"/>
  <c r="CG38" i="65"/>
  <c r="CP38" i="65"/>
  <c r="CH38" i="65"/>
  <c r="CQ38" i="65"/>
  <c r="CI38" i="65"/>
  <c r="CR38" i="65"/>
  <c r="CJ38" i="65"/>
  <c r="CS38" i="65"/>
  <c r="CK38" i="65"/>
  <c r="CM38" i="65"/>
  <c r="CT38" i="65"/>
  <c r="CU38" i="65"/>
  <c r="BI38" i="65"/>
  <c r="BQ38" i="65"/>
  <c r="BY38" i="65"/>
  <c r="BJ38" i="65"/>
  <c r="BR38" i="65"/>
  <c r="BZ38" i="65"/>
  <c r="BK38" i="65"/>
  <c r="BS38" i="65"/>
  <c r="BL38" i="65"/>
  <c r="BT38" i="65"/>
  <c r="BM38" i="65"/>
  <c r="BU38" i="65"/>
  <c r="BN38" i="65"/>
  <c r="BV38" i="65"/>
  <c r="BO38" i="65"/>
  <c r="BW38" i="65"/>
  <c r="BH38" i="65"/>
  <c r="BP38" i="65"/>
  <c r="BX38" i="65"/>
  <c r="BG38" i="65"/>
  <c r="CD38" i="65"/>
  <c r="CX37" i="63"/>
  <c r="F27" i="23"/>
  <c r="G27" i="24" s="1"/>
  <c r="CL38" i="63"/>
  <c r="CH38" i="63"/>
  <c r="CR38" i="63"/>
  <c r="CI38" i="63"/>
  <c r="CS38" i="63"/>
  <c r="CJ38" i="63"/>
  <c r="CT38" i="63"/>
  <c r="CM38" i="63"/>
  <c r="CU38" i="63"/>
  <c r="CN38" i="63"/>
  <c r="CV38" i="63"/>
  <c r="CG38" i="63"/>
  <c r="CO38" i="63"/>
  <c r="CP38" i="63"/>
  <c r="CQ38" i="63"/>
  <c r="CW38" i="63"/>
  <c r="CD38" i="63"/>
  <c r="CE38" i="63"/>
  <c r="BG38" i="63"/>
  <c r="BQ38" i="63"/>
  <c r="BY38" i="63"/>
  <c r="BH38" i="63"/>
  <c r="BR38" i="63"/>
  <c r="BZ38" i="63"/>
  <c r="BJ38" i="63"/>
  <c r="BS38" i="63"/>
  <c r="BK38" i="63"/>
  <c r="BT38" i="63"/>
  <c r="BL38" i="63"/>
  <c r="BM38" i="63"/>
  <c r="BO38" i="63"/>
  <c r="BP38" i="63"/>
  <c r="BU38" i="63"/>
  <c r="BV38" i="63"/>
  <c r="BW38" i="63"/>
  <c r="BX38" i="63"/>
  <c r="CK38" i="63"/>
  <c r="CF38" i="63"/>
  <c r="BI38" i="63"/>
  <c r="BN38" i="63"/>
  <c r="CL37" i="66"/>
  <c r="CF37" i="66"/>
  <c r="CO37" i="66"/>
  <c r="CW37" i="66"/>
  <c r="CG37" i="66"/>
  <c r="CP37" i="66"/>
  <c r="CH37" i="66"/>
  <c r="CQ37" i="66"/>
  <c r="CI37" i="66"/>
  <c r="CR37" i="66"/>
  <c r="CJ37" i="66"/>
  <c r="CS37" i="66"/>
  <c r="CK37" i="66"/>
  <c r="CT37" i="66"/>
  <c r="CD37" i="66"/>
  <c r="CM37" i="66"/>
  <c r="CU37" i="66"/>
  <c r="CE37" i="66"/>
  <c r="CN37" i="66"/>
  <c r="CV37" i="66"/>
  <c r="BN37" i="66"/>
  <c r="BV37" i="66"/>
  <c r="BG37" i="66"/>
  <c r="BO37" i="66"/>
  <c r="BW37" i="66"/>
  <c r="BH37" i="66"/>
  <c r="BP37" i="66"/>
  <c r="BX37" i="66"/>
  <c r="BI37" i="66"/>
  <c r="BQ37" i="66"/>
  <c r="BY37" i="66"/>
  <c r="BJ37" i="66"/>
  <c r="BR37" i="66"/>
  <c r="BZ37" i="66"/>
  <c r="BK37" i="66"/>
  <c r="BS37" i="66"/>
  <c r="BL37" i="66"/>
  <c r="BT37" i="66"/>
  <c r="BM37" i="66"/>
  <c r="BU37" i="66"/>
  <c r="CX37" i="64"/>
  <c r="J27" i="23"/>
  <c r="L27" i="24" s="1"/>
  <c r="CL38" i="64"/>
  <c r="CI38" i="64"/>
  <c r="CS38" i="64"/>
  <c r="CJ38" i="64"/>
  <c r="CT38" i="64"/>
  <c r="CD38" i="64"/>
  <c r="CO38" i="64"/>
  <c r="CW38" i="64"/>
  <c r="CE38" i="64"/>
  <c r="CP38" i="64"/>
  <c r="CG38" i="64"/>
  <c r="CR38" i="64"/>
  <c r="CN38" i="64"/>
  <c r="CQ38" i="64"/>
  <c r="CU38" i="64"/>
  <c r="CV38" i="64"/>
  <c r="CF38" i="64"/>
  <c r="CK38" i="64"/>
  <c r="BG38" i="64"/>
  <c r="BQ38" i="64"/>
  <c r="BY38" i="64"/>
  <c r="BH38" i="64"/>
  <c r="BR38" i="64"/>
  <c r="BZ38" i="64"/>
  <c r="BI38" i="64"/>
  <c r="BS38" i="64"/>
  <c r="BJ38" i="64"/>
  <c r="BT38" i="64"/>
  <c r="BL38" i="64"/>
  <c r="BU38" i="64"/>
  <c r="BM38" i="64"/>
  <c r="BV38" i="64"/>
  <c r="BW38" i="64"/>
  <c r="BX38" i="64"/>
  <c r="BN38" i="64"/>
  <c r="BO38" i="64"/>
  <c r="BK38" i="64"/>
  <c r="CM38" i="64"/>
  <c r="BP38" i="64"/>
  <c r="CH38" i="64"/>
  <c r="CX36" i="66"/>
  <c r="CX37" i="65"/>
  <c r="AB26" i="23"/>
  <c r="E26" i="25" s="1"/>
  <c r="CX37" i="68"/>
  <c r="Z27" i="23"/>
  <c r="B27" i="25" s="1"/>
  <c r="CL38" i="68"/>
  <c r="CD38" i="68"/>
  <c r="CO38" i="68"/>
  <c r="CW38" i="68"/>
  <c r="CF38" i="68"/>
  <c r="CP38" i="68"/>
  <c r="CG38" i="68"/>
  <c r="CQ38" i="68"/>
  <c r="CH38" i="68"/>
  <c r="CR38" i="68"/>
  <c r="CI38" i="68"/>
  <c r="CS38" i="68"/>
  <c r="CK38" i="68"/>
  <c r="CT38" i="68"/>
  <c r="CM38" i="68"/>
  <c r="CU38" i="68"/>
  <c r="CN38" i="68"/>
  <c r="CV38" i="68"/>
  <c r="BN38" i="68"/>
  <c r="BV38" i="68"/>
  <c r="BO38" i="68"/>
  <c r="BW38" i="68"/>
  <c r="BP38" i="68"/>
  <c r="BX38" i="68"/>
  <c r="BG38" i="68"/>
  <c r="BQ38" i="68"/>
  <c r="BY38" i="68"/>
  <c r="BI38" i="68"/>
  <c r="BR38" i="68"/>
  <c r="BZ38" i="68"/>
  <c r="BJ38" i="68"/>
  <c r="BS38" i="68"/>
  <c r="BK38" i="68"/>
  <c r="BT38" i="68"/>
  <c r="BL38" i="68"/>
  <c r="BU38" i="68"/>
  <c r="CE38" i="68"/>
  <c r="BM38" i="68"/>
  <c r="CJ38" i="68"/>
  <c r="BH38" i="68"/>
  <c r="Y45" i="66"/>
  <c r="AH26" i="23"/>
  <c r="L26" i="25" s="1"/>
  <c r="AW37" i="70"/>
  <c r="AK37" i="70"/>
  <c r="AO37" i="70"/>
  <c r="AS37" i="70"/>
  <c r="AG37" i="70"/>
  <c r="AV37" i="70"/>
  <c r="AX37" i="70"/>
  <c r="AQ37" i="70"/>
  <c r="AZ37" i="70"/>
  <c r="AJ37" i="70"/>
  <c r="AP37" i="70"/>
  <c r="AL37" i="70"/>
  <c r="AH37" i="70"/>
  <c r="AU37" i="70"/>
  <c r="AR37" i="70"/>
  <c r="AT37" i="70"/>
  <c r="AM37" i="70"/>
  <c r="D37" i="70"/>
  <c r="AI37" i="70"/>
  <c r="AN37" i="70"/>
  <c r="AY37" i="70"/>
  <c r="AG27" i="23"/>
  <c r="K27" i="25" s="1"/>
  <c r="B38" i="70"/>
  <c r="A39" i="70"/>
  <c r="CA36" i="70"/>
  <c r="O36" i="70" s="1"/>
  <c r="BB36" i="70"/>
  <c r="BA36" i="70"/>
  <c r="N36" i="70" s="1"/>
  <c r="O25" i="25"/>
  <c r="AJ25" i="23"/>
  <c r="AD26" i="25"/>
  <c r="AV26" i="23"/>
  <c r="Y25" i="25"/>
  <c r="AR25" i="23"/>
  <c r="T26" i="25"/>
  <c r="AN26" i="23"/>
  <c r="U27" i="23"/>
  <c r="Z27" i="24" s="1"/>
  <c r="A39" i="67"/>
  <c r="B38" i="67"/>
  <c r="V26" i="23"/>
  <c r="AA26" i="24" s="1"/>
  <c r="AQ37" i="67"/>
  <c r="AX37" i="67"/>
  <c r="D37" i="67"/>
  <c r="X26" i="23" s="1"/>
  <c r="AD26" i="24" s="1"/>
  <c r="AU37" i="67"/>
  <c r="AW37" i="67"/>
  <c r="AG37" i="67"/>
  <c r="AN37" i="67"/>
  <c r="AM37" i="67"/>
  <c r="AL37" i="67"/>
  <c r="AT37" i="67"/>
  <c r="AZ37" i="67"/>
  <c r="AI37" i="67"/>
  <c r="AR37" i="67"/>
  <c r="AP37" i="67"/>
  <c r="AY37" i="67"/>
  <c r="AO37" i="67"/>
  <c r="AJ37" i="67"/>
  <c r="AV37" i="67"/>
  <c r="AS37" i="67"/>
  <c r="AK37" i="67"/>
  <c r="AH37" i="67"/>
  <c r="J26" i="25"/>
  <c r="AF26" i="23"/>
  <c r="BB36" i="67"/>
  <c r="BA36" i="67"/>
  <c r="N36" i="67" s="1"/>
  <c r="BB36" i="66"/>
  <c r="BA36" i="66"/>
  <c r="N36" i="66" s="1"/>
  <c r="CA36" i="66"/>
  <c r="O36" i="66" s="1"/>
  <c r="Q27" i="23"/>
  <c r="U27" i="24" s="1"/>
  <c r="B38" i="66"/>
  <c r="A39" i="66"/>
  <c r="R26" i="23"/>
  <c r="V26" i="24" s="1"/>
  <c r="AQ37" i="66"/>
  <c r="AY37" i="66"/>
  <c r="AO37" i="66"/>
  <c r="AW37" i="66"/>
  <c r="AV37" i="66"/>
  <c r="AS37" i="66"/>
  <c r="AL37" i="66"/>
  <c r="AP37" i="66"/>
  <c r="AU37" i="66"/>
  <c r="AZ37" i="66"/>
  <c r="AH37" i="66"/>
  <c r="AM37" i="66"/>
  <c r="AR37" i="66"/>
  <c r="AX37" i="66"/>
  <c r="AG37" i="66"/>
  <c r="AT37" i="66"/>
  <c r="AK37" i="66"/>
  <c r="AJ37" i="66"/>
  <c r="AN37" i="66"/>
  <c r="D37" i="66"/>
  <c r="T26" i="23" s="1"/>
  <c r="Y26" i="24" s="1"/>
  <c r="AI37" i="66"/>
  <c r="AX38" i="73"/>
  <c r="AP38" i="73"/>
  <c r="AH38" i="73"/>
  <c r="AW38" i="73"/>
  <c r="AO38" i="73"/>
  <c r="AG38" i="73"/>
  <c r="AU38" i="73"/>
  <c r="AM38" i="73"/>
  <c r="AY38" i="73"/>
  <c r="AK38" i="73"/>
  <c r="AV38" i="73"/>
  <c r="AJ38" i="73"/>
  <c r="AT38" i="73"/>
  <c r="AI38" i="73"/>
  <c r="AS38" i="73"/>
  <c r="AQ38" i="73"/>
  <c r="AN38" i="73"/>
  <c r="AZ38" i="73"/>
  <c r="AL38" i="73"/>
  <c r="AR38" i="73"/>
  <c r="D38" i="73"/>
  <c r="B39" i="73"/>
  <c r="A40" i="73"/>
  <c r="AS29" i="23" s="1"/>
  <c r="Z29" i="25" s="1"/>
  <c r="BB37" i="73"/>
  <c r="BA37" i="73"/>
  <c r="N37" i="73" s="1"/>
  <c r="CA37" i="73"/>
  <c r="O37" i="73" s="1"/>
  <c r="AX37" i="72"/>
  <c r="AP37" i="72"/>
  <c r="AH37" i="72"/>
  <c r="AW37" i="72"/>
  <c r="AO37" i="72"/>
  <c r="AG37" i="72"/>
  <c r="AU37" i="72"/>
  <c r="AM37" i="72"/>
  <c r="AZ37" i="72"/>
  <c r="AL37" i="72"/>
  <c r="AV37" i="72"/>
  <c r="AJ37" i="72"/>
  <c r="AT37" i="72"/>
  <c r="AI37" i="72"/>
  <c r="AS37" i="72"/>
  <c r="AR37" i="72"/>
  <c r="D37" i="72"/>
  <c r="AK37" i="72"/>
  <c r="AY37" i="72"/>
  <c r="AQ37" i="72"/>
  <c r="AN37" i="72"/>
  <c r="BB36" i="72"/>
  <c r="BA36" i="72"/>
  <c r="N36" i="72" s="1"/>
  <c r="B38" i="72"/>
  <c r="A39" i="72"/>
  <c r="AO28" i="23" s="1"/>
  <c r="U28" i="25" s="1"/>
  <c r="BB37" i="71"/>
  <c r="BA37" i="71"/>
  <c r="N37" i="71" s="1"/>
  <c r="Y36" i="71" s="1"/>
  <c r="AX38" i="71"/>
  <c r="AP38" i="71"/>
  <c r="AH38" i="71"/>
  <c r="AW38" i="71"/>
  <c r="AO38" i="71"/>
  <c r="AG38" i="71"/>
  <c r="AU38" i="71"/>
  <c r="AM38" i="71"/>
  <c r="AY38" i="71"/>
  <c r="AK38" i="71"/>
  <c r="AV38" i="71"/>
  <c r="AJ38" i="71"/>
  <c r="AT38" i="71"/>
  <c r="AI38" i="71"/>
  <c r="AR38" i="71"/>
  <c r="D38" i="71"/>
  <c r="AQ38" i="71"/>
  <c r="AN38" i="71"/>
  <c r="AZ38" i="71"/>
  <c r="AS38" i="71"/>
  <c r="AL38" i="71"/>
  <c r="B39" i="71"/>
  <c r="A40" i="71"/>
  <c r="AK29" i="23" s="1"/>
  <c r="P29" i="25" s="1"/>
  <c r="AX38" i="69"/>
  <c r="AP38" i="69"/>
  <c r="AH38" i="69"/>
  <c r="AW38" i="69"/>
  <c r="AO38" i="69"/>
  <c r="AG38" i="69"/>
  <c r="AU38" i="69"/>
  <c r="AM38" i="69"/>
  <c r="AZ38" i="69"/>
  <c r="AL38" i="69"/>
  <c r="AV38" i="69"/>
  <c r="AJ38" i="69"/>
  <c r="AT38" i="69"/>
  <c r="AI38" i="69"/>
  <c r="AN38" i="69"/>
  <c r="AK38" i="69"/>
  <c r="D38" i="69"/>
  <c r="AY38" i="69"/>
  <c r="AS38" i="69"/>
  <c r="AR38" i="69"/>
  <c r="AQ38" i="69"/>
  <c r="BB37" i="69"/>
  <c r="BA37" i="69"/>
  <c r="N37" i="69" s="1"/>
  <c r="Y36" i="69" s="1"/>
  <c r="B39" i="69"/>
  <c r="A40" i="69"/>
  <c r="AC29" i="23" s="1"/>
  <c r="F29" i="25" s="1"/>
  <c r="A40" i="68"/>
  <c r="Y29" i="23" s="1"/>
  <c r="A29" i="25" s="1"/>
  <c r="B39" i="68"/>
  <c r="BB37" i="68"/>
  <c r="BA37" i="68"/>
  <c r="N37" i="68" s="1"/>
  <c r="AS38" i="68"/>
  <c r="AK38" i="68"/>
  <c r="D38" i="68"/>
  <c r="AZ38" i="68"/>
  <c r="AR38" i="68"/>
  <c r="AJ38" i="68"/>
  <c r="AX38" i="68"/>
  <c r="AP38" i="68"/>
  <c r="AH38" i="68"/>
  <c r="AV38" i="68"/>
  <c r="AI38" i="68"/>
  <c r="AU38" i="68"/>
  <c r="AG38" i="68"/>
  <c r="AT38" i="68"/>
  <c r="AQ38" i="68"/>
  <c r="AO38" i="68"/>
  <c r="AN38" i="68"/>
  <c r="AY38" i="68"/>
  <c r="AM38" i="68"/>
  <c r="AW38" i="68"/>
  <c r="AL38" i="68"/>
  <c r="BB37" i="65"/>
  <c r="BA37" i="65"/>
  <c r="N37" i="65" s="1"/>
  <c r="A40" i="65"/>
  <c r="M29" i="23" s="1"/>
  <c r="P29" i="24" s="1"/>
  <c r="B39" i="65"/>
  <c r="AS38" i="65"/>
  <c r="AK38" i="65"/>
  <c r="D38" i="65"/>
  <c r="P27" i="23" s="1"/>
  <c r="T27" i="24" s="1"/>
  <c r="AZ38" i="65"/>
  <c r="AR38" i="65"/>
  <c r="AJ38" i="65"/>
  <c r="AX38" i="65"/>
  <c r="AP38" i="65"/>
  <c r="AH38" i="65"/>
  <c r="AQ38" i="65"/>
  <c r="AO38" i="65"/>
  <c r="AW38" i="65"/>
  <c r="AG38" i="65"/>
  <c r="AV38" i="65"/>
  <c r="AU38" i="65"/>
  <c r="AT38" i="65"/>
  <c r="AN38" i="65"/>
  <c r="AM38" i="65"/>
  <c r="AL38" i="65"/>
  <c r="AY38" i="65"/>
  <c r="AI38" i="65"/>
  <c r="A40" i="64"/>
  <c r="I29" i="23" s="1"/>
  <c r="K29" i="24" s="1"/>
  <c r="B39" i="64"/>
  <c r="AX38" i="64"/>
  <c r="AP38" i="64"/>
  <c r="AH38" i="64"/>
  <c r="AZ38" i="64"/>
  <c r="AQ38" i="64"/>
  <c r="AG38" i="64"/>
  <c r="AY38" i="64"/>
  <c r="AO38" i="64"/>
  <c r="AW38" i="64"/>
  <c r="AN38" i="64"/>
  <c r="AU38" i="64"/>
  <c r="AL38" i="64"/>
  <c r="D38" i="64"/>
  <c r="L27" i="23" s="1"/>
  <c r="O27" i="24" s="1"/>
  <c r="AI38" i="64"/>
  <c r="AV38" i="64"/>
  <c r="AT38" i="64"/>
  <c r="AS38" i="64"/>
  <c r="AR38" i="64"/>
  <c r="AM38" i="64"/>
  <c r="AK38" i="64"/>
  <c r="AJ38" i="64"/>
  <c r="BB37" i="64"/>
  <c r="BA37" i="64"/>
  <c r="N37" i="64" s="1"/>
  <c r="CA37" i="63"/>
  <c r="O37" i="63" s="1"/>
  <c r="AX38" i="63"/>
  <c r="AP38" i="63"/>
  <c r="AH38" i="63"/>
  <c r="AU38" i="63"/>
  <c r="AM38" i="63"/>
  <c r="AR38" i="63"/>
  <c r="AG38" i="63"/>
  <c r="AQ38" i="63"/>
  <c r="AY38" i="63"/>
  <c r="AN38" i="63"/>
  <c r="D38" i="63"/>
  <c r="H27" i="23" s="1"/>
  <c r="J27" i="24" s="1"/>
  <c r="AL38" i="63"/>
  <c r="AK38" i="63"/>
  <c r="AZ38" i="63"/>
  <c r="AJ38" i="63"/>
  <c r="AW38" i="63"/>
  <c r="AI38" i="63"/>
  <c r="AV38" i="63"/>
  <c r="AT38" i="63"/>
  <c r="AS38" i="63"/>
  <c r="AO38" i="63"/>
  <c r="BB37" i="63"/>
  <c r="BA37" i="63"/>
  <c r="N37" i="63" s="1"/>
  <c r="Y37" i="63" s="1"/>
  <c r="B39" i="63"/>
  <c r="A40" i="63"/>
  <c r="E29" i="23" s="1"/>
  <c r="F29" i="24" s="1"/>
  <c r="FL36" i="69" l="1"/>
  <c r="FL45" i="69" s="1"/>
  <c r="FN36" i="69"/>
  <c r="FN45" i="69" s="1"/>
  <c r="Y45" i="69"/>
  <c r="Q37" i="73"/>
  <c r="FN36" i="71"/>
  <c r="FN45" i="71" s="1"/>
  <c r="FL36" i="71"/>
  <c r="FL45" i="71" s="1"/>
  <c r="Y45" i="71"/>
  <c r="FN37" i="63"/>
  <c r="FL37" i="63"/>
  <c r="CX37" i="67"/>
  <c r="AL28" i="23"/>
  <c r="Q28" i="25" s="1"/>
  <c r="CL39" i="71"/>
  <c r="CH39" i="71"/>
  <c r="CQ39" i="71"/>
  <c r="CI39" i="71"/>
  <c r="CR39" i="71"/>
  <c r="CJ39" i="71"/>
  <c r="CS39" i="71"/>
  <c r="CE39" i="71"/>
  <c r="CN39" i="71"/>
  <c r="CV39" i="71"/>
  <c r="CF39" i="71"/>
  <c r="CO39" i="71"/>
  <c r="CU39" i="71"/>
  <c r="CW39" i="71"/>
  <c r="CG39" i="71"/>
  <c r="CK39" i="71"/>
  <c r="CM39" i="71"/>
  <c r="CP39" i="71"/>
  <c r="CT39" i="71"/>
  <c r="BM39" i="71"/>
  <c r="BU39" i="71"/>
  <c r="BN39" i="71"/>
  <c r="BV39" i="71"/>
  <c r="BO39" i="71"/>
  <c r="BW39" i="71"/>
  <c r="BP39" i="71"/>
  <c r="BX39" i="71"/>
  <c r="BH39" i="71"/>
  <c r="BQ39" i="71"/>
  <c r="BY39" i="71"/>
  <c r="BI39" i="71"/>
  <c r="BR39" i="71"/>
  <c r="BZ39" i="71"/>
  <c r="BJ39" i="71"/>
  <c r="BS39" i="71"/>
  <c r="BK39" i="71"/>
  <c r="BT39" i="71"/>
  <c r="BL39" i="71"/>
  <c r="CD39" i="71"/>
  <c r="BG39" i="71"/>
  <c r="CX37" i="70"/>
  <c r="CX38" i="73"/>
  <c r="P38" i="73" s="1"/>
  <c r="CX37" i="72"/>
  <c r="AP27" i="23"/>
  <c r="V27" i="25" s="1"/>
  <c r="CL38" i="72"/>
  <c r="CD38" i="72"/>
  <c r="CO38" i="72"/>
  <c r="CW38" i="72"/>
  <c r="CE38" i="72"/>
  <c r="CP38" i="72"/>
  <c r="CJ38" i="72"/>
  <c r="CV38" i="72"/>
  <c r="CM38" i="72"/>
  <c r="CN38" i="72"/>
  <c r="CQ38" i="72"/>
  <c r="CR38" i="72"/>
  <c r="CG38" i="72"/>
  <c r="CH38" i="72"/>
  <c r="CI38" i="72"/>
  <c r="CS38" i="72"/>
  <c r="CT38" i="72"/>
  <c r="CU38" i="72"/>
  <c r="BK38" i="72"/>
  <c r="BT38" i="72"/>
  <c r="BL38" i="72"/>
  <c r="BV38" i="72"/>
  <c r="BM38" i="72"/>
  <c r="BW38" i="72"/>
  <c r="BO38" i="72"/>
  <c r="BX38" i="72"/>
  <c r="BP38" i="72"/>
  <c r="BY38" i="72"/>
  <c r="BQ38" i="72"/>
  <c r="BZ38" i="72"/>
  <c r="BG38" i="72"/>
  <c r="BR38" i="72"/>
  <c r="BH38" i="72"/>
  <c r="BS38" i="72"/>
  <c r="BJ38" i="72"/>
  <c r="BU38" i="72"/>
  <c r="BI38" i="72"/>
  <c r="CF38" i="72"/>
  <c r="CK38" i="72"/>
  <c r="BN38" i="72"/>
  <c r="CX38" i="69"/>
  <c r="CX38" i="71"/>
  <c r="CL38" i="70"/>
  <c r="CG38" i="70"/>
  <c r="CR38" i="70"/>
  <c r="CI38" i="70"/>
  <c r="CS38" i="70"/>
  <c r="CJ38" i="70"/>
  <c r="CT38" i="70"/>
  <c r="CK38" i="70"/>
  <c r="CU38" i="70"/>
  <c r="CN38" i="70"/>
  <c r="CV38" i="70"/>
  <c r="CD38" i="70"/>
  <c r="CO38" i="70"/>
  <c r="CW38" i="70"/>
  <c r="CE38" i="70"/>
  <c r="CP38" i="70"/>
  <c r="CF38" i="70"/>
  <c r="CQ38" i="70"/>
  <c r="BL38" i="70"/>
  <c r="BU38" i="70"/>
  <c r="BM38" i="70"/>
  <c r="BV38" i="70"/>
  <c r="BO38" i="70"/>
  <c r="BX38" i="70"/>
  <c r="BG38" i="70"/>
  <c r="BQ38" i="70"/>
  <c r="BY38" i="70"/>
  <c r="BH38" i="70"/>
  <c r="BR38" i="70"/>
  <c r="BZ38" i="70"/>
  <c r="BI38" i="70"/>
  <c r="BS38" i="70"/>
  <c r="BJ38" i="70"/>
  <c r="BT38" i="70"/>
  <c r="BW38" i="70"/>
  <c r="BN38" i="70"/>
  <c r="CM38" i="70"/>
  <c r="BP38" i="70"/>
  <c r="BK38" i="70"/>
  <c r="CH38" i="70"/>
  <c r="AT28" i="23"/>
  <c r="AA28" i="25" s="1"/>
  <c r="CL39" i="73"/>
  <c r="CI39" i="73"/>
  <c r="CR39" i="73"/>
  <c r="CJ39" i="73"/>
  <c r="CS39" i="73"/>
  <c r="CK39" i="73"/>
  <c r="CT39" i="73"/>
  <c r="CD39" i="73"/>
  <c r="CM39" i="73"/>
  <c r="CU39" i="73"/>
  <c r="CF39" i="73"/>
  <c r="CO39" i="73"/>
  <c r="CW39" i="73"/>
  <c r="CH39" i="73"/>
  <c r="CQ39" i="73"/>
  <c r="CE39" i="73"/>
  <c r="CG39" i="73"/>
  <c r="CN39" i="73"/>
  <c r="CP39" i="73"/>
  <c r="CV39" i="73"/>
  <c r="BL39" i="73"/>
  <c r="BT39" i="73"/>
  <c r="BN39" i="73"/>
  <c r="BV39" i="73"/>
  <c r="BG39" i="73"/>
  <c r="BO39" i="73"/>
  <c r="BW39" i="73"/>
  <c r="BH39" i="73"/>
  <c r="BP39" i="73"/>
  <c r="BX39" i="73"/>
  <c r="BI39" i="73"/>
  <c r="BQ39" i="73"/>
  <c r="BY39" i="73"/>
  <c r="BJ39" i="73"/>
  <c r="BR39" i="73"/>
  <c r="BZ39" i="73"/>
  <c r="BK39" i="73"/>
  <c r="BS39" i="73"/>
  <c r="BM39" i="73"/>
  <c r="BU39" i="73"/>
  <c r="CL38" i="67"/>
  <c r="CF38" i="67"/>
  <c r="CO38" i="67"/>
  <c r="CW38" i="67"/>
  <c r="CG38" i="67"/>
  <c r="CP38" i="67"/>
  <c r="CH38" i="67"/>
  <c r="CQ38" i="67"/>
  <c r="CI38" i="67"/>
  <c r="CK38" i="67"/>
  <c r="CM38" i="67"/>
  <c r="CN38" i="67"/>
  <c r="CR38" i="67"/>
  <c r="CS38" i="67"/>
  <c r="CJ38" i="67"/>
  <c r="CU38" i="67"/>
  <c r="CV38" i="67"/>
  <c r="CD38" i="67"/>
  <c r="CE38" i="67"/>
  <c r="CT38" i="67"/>
  <c r="BK38" i="67"/>
  <c r="BS38" i="67"/>
  <c r="BQ38" i="67"/>
  <c r="BJ38" i="67"/>
  <c r="BL38" i="67"/>
  <c r="BT38" i="67"/>
  <c r="BI38" i="67"/>
  <c r="BY38" i="67"/>
  <c r="BM38" i="67"/>
  <c r="BU38" i="67"/>
  <c r="BN38" i="67"/>
  <c r="BV38" i="67"/>
  <c r="BG38" i="67"/>
  <c r="BO38" i="67"/>
  <c r="BW38" i="67"/>
  <c r="BH38" i="67"/>
  <c r="BP38" i="67"/>
  <c r="BX38" i="67"/>
  <c r="BZ38" i="67"/>
  <c r="BR38" i="67"/>
  <c r="AD28" i="23"/>
  <c r="G28" i="25" s="1"/>
  <c r="CL39" i="69"/>
  <c r="CH39" i="69"/>
  <c r="CR39" i="69"/>
  <c r="CI39" i="69"/>
  <c r="CS39" i="69"/>
  <c r="CJ39" i="69"/>
  <c r="CT39" i="69"/>
  <c r="CM39" i="69"/>
  <c r="CN39" i="69"/>
  <c r="CO39" i="69"/>
  <c r="CP39" i="69"/>
  <c r="CQ39" i="69"/>
  <c r="CD39" i="69"/>
  <c r="CU39" i="69"/>
  <c r="CV39" i="69"/>
  <c r="CW39" i="69"/>
  <c r="CE39" i="69"/>
  <c r="CG39" i="69"/>
  <c r="BL39" i="69"/>
  <c r="BU39" i="69"/>
  <c r="BM39" i="69"/>
  <c r="BV39" i="69"/>
  <c r="BP39" i="69"/>
  <c r="BX39" i="69"/>
  <c r="BG39" i="69"/>
  <c r="BQ39" i="69"/>
  <c r="BY39" i="69"/>
  <c r="BH39" i="69"/>
  <c r="BR39" i="69"/>
  <c r="BZ39" i="69"/>
  <c r="BJ39" i="69"/>
  <c r="BS39" i="69"/>
  <c r="BK39" i="69"/>
  <c r="BT39" i="69"/>
  <c r="BO39" i="69"/>
  <c r="BW39" i="69"/>
  <c r="CK39" i="69"/>
  <c r="CF39" i="69"/>
  <c r="BI39" i="69"/>
  <c r="BN39" i="69"/>
  <c r="N28" i="23"/>
  <c r="Q28" i="24" s="1"/>
  <c r="CL39" i="65"/>
  <c r="CK39" i="65"/>
  <c r="CT39" i="65"/>
  <c r="CM39" i="65"/>
  <c r="CU39" i="65"/>
  <c r="CD39" i="65"/>
  <c r="CN39" i="65"/>
  <c r="CV39" i="65"/>
  <c r="CF39" i="65"/>
  <c r="CO39" i="65"/>
  <c r="CW39" i="65"/>
  <c r="CG39" i="65"/>
  <c r="CP39" i="65"/>
  <c r="CH39" i="65"/>
  <c r="CQ39" i="65"/>
  <c r="CI39" i="65"/>
  <c r="CJ39" i="65"/>
  <c r="CR39" i="65"/>
  <c r="CS39" i="65"/>
  <c r="BN39" i="65"/>
  <c r="BV39" i="65"/>
  <c r="BO39" i="65"/>
  <c r="BW39" i="65"/>
  <c r="BG39" i="65"/>
  <c r="BP39" i="65"/>
  <c r="BX39" i="65"/>
  <c r="BI39" i="65"/>
  <c r="BQ39" i="65"/>
  <c r="BY39" i="65"/>
  <c r="BJ39" i="65"/>
  <c r="BR39" i="65"/>
  <c r="BZ39" i="65"/>
  <c r="BK39" i="65"/>
  <c r="BS39" i="65"/>
  <c r="BL39" i="65"/>
  <c r="BT39" i="65"/>
  <c r="BM39" i="65"/>
  <c r="BU39" i="65"/>
  <c r="CE39" i="65"/>
  <c r="BH39" i="65"/>
  <c r="J28" i="23"/>
  <c r="L28" i="24" s="1"/>
  <c r="CL39" i="64"/>
  <c r="CG39" i="64"/>
  <c r="CP39" i="64"/>
  <c r="CH39" i="64"/>
  <c r="CQ39" i="64"/>
  <c r="CK39" i="64"/>
  <c r="CT39" i="64"/>
  <c r="CD39" i="64"/>
  <c r="CM39" i="64"/>
  <c r="CU39" i="64"/>
  <c r="CF39" i="64"/>
  <c r="CO39" i="64"/>
  <c r="CW39" i="64"/>
  <c r="CR39" i="64"/>
  <c r="CS39" i="64"/>
  <c r="CV39" i="64"/>
  <c r="CE39" i="64"/>
  <c r="CI39" i="64"/>
  <c r="CJ39" i="64"/>
  <c r="CN39" i="64"/>
  <c r="BM39" i="64"/>
  <c r="BU39" i="64"/>
  <c r="BN39" i="64"/>
  <c r="BV39" i="64"/>
  <c r="BG39" i="64"/>
  <c r="BO39" i="64"/>
  <c r="BW39" i="64"/>
  <c r="BH39" i="64"/>
  <c r="BP39" i="64"/>
  <c r="BX39" i="64"/>
  <c r="BI39" i="64"/>
  <c r="BQ39" i="64"/>
  <c r="BY39" i="64"/>
  <c r="BJ39" i="64"/>
  <c r="BR39" i="64"/>
  <c r="BZ39" i="64"/>
  <c r="BK39" i="64"/>
  <c r="BL39" i="64"/>
  <c r="BS39" i="64"/>
  <c r="BT39" i="64"/>
  <c r="CX38" i="63"/>
  <c r="F28" i="23"/>
  <c r="G28" i="24" s="1"/>
  <c r="CL39" i="63"/>
  <c r="CF39" i="63"/>
  <c r="CP39" i="63"/>
  <c r="CH39" i="63"/>
  <c r="CQ39" i="63"/>
  <c r="CI39" i="63"/>
  <c r="CR39" i="63"/>
  <c r="CJ39" i="63"/>
  <c r="CS39" i="63"/>
  <c r="CK39" i="63"/>
  <c r="CT39" i="63"/>
  <c r="CN39" i="63"/>
  <c r="CO39" i="63"/>
  <c r="CU39" i="63"/>
  <c r="CV39" i="63"/>
  <c r="CW39" i="63"/>
  <c r="CD39" i="63"/>
  <c r="CE39" i="63"/>
  <c r="CM39" i="63"/>
  <c r="BN39" i="63"/>
  <c r="BV39" i="63"/>
  <c r="BO39" i="63"/>
  <c r="BW39" i="63"/>
  <c r="BG39" i="63"/>
  <c r="BP39" i="63"/>
  <c r="BX39" i="63"/>
  <c r="BH39" i="63"/>
  <c r="BQ39" i="63"/>
  <c r="BY39" i="63"/>
  <c r="BI39" i="63"/>
  <c r="BZ39" i="63"/>
  <c r="BK39" i="63"/>
  <c r="BL39" i="63"/>
  <c r="BM39" i="63"/>
  <c r="BR39" i="63"/>
  <c r="BS39" i="63"/>
  <c r="BT39" i="63"/>
  <c r="BU39" i="63"/>
  <c r="BJ39" i="63"/>
  <c r="CG39" i="63"/>
  <c r="CL38" i="66"/>
  <c r="CK38" i="66"/>
  <c r="CT38" i="66"/>
  <c r="CD38" i="66"/>
  <c r="CM38" i="66"/>
  <c r="CU38" i="66"/>
  <c r="CE38" i="66"/>
  <c r="CN38" i="66"/>
  <c r="CV38" i="66"/>
  <c r="CF38" i="66"/>
  <c r="CO38" i="66"/>
  <c r="CW38" i="66"/>
  <c r="CG38" i="66"/>
  <c r="CP38" i="66"/>
  <c r="CH38" i="66"/>
  <c r="CQ38" i="66"/>
  <c r="CI38" i="66"/>
  <c r="CR38" i="66"/>
  <c r="CJ38" i="66"/>
  <c r="CS38" i="66"/>
  <c r="BJ38" i="66"/>
  <c r="BR38" i="66"/>
  <c r="BZ38" i="66"/>
  <c r="BK38" i="66"/>
  <c r="BS38" i="66"/>
  <c r="BL38" i="66"/>
  <c r="BT38" i="66"/>
  <c r="BM38" i="66"/>
  <c r="BU38" i="66"/>
  <c r="BN38" i="66"/>
  <c r="BV38" i="66"/>
  <c r="BG38" i="66"/>
  <c r="BO38" i="66"/>
  <c r="BW38" i="66"/>
  <c r="BH38" i="66"/>
  <c r="BP38" i="66"/>
  <c r="BX38" i="66"/>
  <c r="BI38" i="66"/>
  <c r="BQ38" i="66"/>
  <c r="BY38" i="66"/>
  <c r="CX38" i="64"/>
  <c r="CX37" i="66"/>
  <c r="CX38" i="65"/>
  <c r="AB27" i="23"/>
  <c r="E27" i="25" s="1"/>
  <c r="CX38" i="68"/>
  <c r="Z28" i="23"/>
  <c r="B28" i="25" s="1"/>
  <c r="CL39" i="68"/>
  <c r="CN39" i="68"/>
  <c r="CV39" i="68"/>
  <c r="CD39" i="68"/>
  <c r="CO39" i="68"/>
  <c r="CW39" i="68"/>
  <c r="CE39" i="68"/>
  <c r="CP39" i="68"/>
  <c r="CG39" i="68"/>
  <c r="CQ39" i="68"/>
  <c r="CH39" i="68"/>
  <c r="CR39" i="68"/>
  <c r="CI39" i="68"/>
  <c r="CS39" i="68"/>
  <c r="CJ39" i="68"/>
  <c r="CT39" i="68"/>
  <c r="CM39" i="68"/>
  <c r="CU39" i="68"/>
  <c r="BK39" i="68"/>
  <c r="BT39" i="68"/>
  <c r="BL39" i="68"/>
  <c r="BU39" i="68"/>
  <c r="BM39" i="68"/>
  <c r="BV39" i="68"/>
  <c r="BO39" i="68"/>
  <c r="BW39" i="68"/>
  <c r="BP39" i="68"/>
  <c r="BX39" i="68"/>
  <c r="BG39" i="68"/>
  <c r="BQ39" i="68"/>
  <c r="BY39" i="68"/>
  <c r="BH39" i="68"/>
  <c r="BR39" i="68"/>
  <c r="BZ39" i="68"/>
  <c r="BJ39" i="68"/>
  <c r="BS39" i="68"/>
  <c r="BI39" i="68"/>
  <c r="CF39" i="68"/>
  <c r="CK39" i="68"/>
  <c r="BN39" i="68"/>
  <c r="AH27" i="23"/>
  <c r="L27" i="25" s="1"/>
  <c r="AV38" i="70"/>
  <c r="AX38" i="70"/>
  <c r="AI38" i="70"/>
  <c r="AQ38" i="70"/>
  <c r="AP38" i="70"/>
  <c r="AW38" i="70"/>
  <c r="AS38" i="70"/>
  <c r="AZ38" i="70"/>
  <c r="AH38" i="70"/>
  <c r="AL38" i="70"/>
  <c r="AO38" i="70"/>
  <c r="AK38" i="70"/>
  <c r="AR38" i="70"/>
  <c r="AU38" i="70"/>
  <c r="D38" i="70"/>
  <c r="AJ38" i="70"/>
  <c r="AY38" i="70"/>
  <c r="AG38" i="70"/>
  <c r="AM38" i="70"/>
  <c r="AT38" i="70"/>
  <c r="AN38" i="70"/>
  <c r="AJ26" i="23"/>
  <c r="O26" i="25"/>
  <c r="AG28" i="23"/>
  <c r="K28" i="25" s="1"/>
  <c r="A40" i="70"/>
  <c r="B39" i="70"/>
  <c r="BB37" i="70"/>
  <c r="BA37" i="70"/>
  <c r="N37" i="70" s="1"/>
  <c r="BA37" i="67"/>
  <c r="N37" i="67" s="1"/>
  <c r="BB37" i="67"/>
  <c r="AV27" i="23"/>
  <c r="AD27" i="25"/>
  <c r="AN27" i="23"/>
  <c r="T27" i="25"/>
  <c r="Y26" i="25"/>
  <c r="AR26" i="23"/>
  <c r="V27" i="23"/>
  <c r="AA27" i="24" s="1"/>
  <c r="AP38" i="67"/>
  <c r="AY38" i="67"/>
  <c r="AH38" i="67"/>
  <c r="AU38" i="67"/>
  <c r="AS38" i="67"/>
  <c r="AK38" i="67"/>
  <c r="AM38" i="67"/>
  <c r="AZ38" i="67"/>
  <c r="AQ38" i="67"/>
  <c r="AL38" i="67"/>
  <c r="AW38" i="67"/>
  <c r="AT38" i="67"/>
  <c r="AR38" i="67"/>
  <c r="AN38" i="67"/>
  <c r="AJ38" i="67"/>
  <c r="AO38" i="67"/>
  <c r="AI38" i="67"/>
  <c r="D38" i="67"/>
  <c r="X27" i="23" s="1"/>
  <c r="AD27" i="24" s="1"/>
  <c r="AV38" i="67"/>
  <c r="AX38" i="67"/>
  <c r="AG38" i="67"/>
  <c r="U28" i="23"/>
  <c r="Z28" i="24" s="1"/>
  <c r="B39" i="67"/>
  <c r="A40" i="67"/>
  <c r="J27" i="25"/>
  <c r="AF27" i="23"/>
  <c r="Q28" i="23"/>
  <c r="U28" i="24" s="1"/>
  <c r="B39" i="66"/>
  <c r="A40" i="66"/>
  <c r="CA37" i="66"/>
  <c r="O37" i="66" s="1"/>
  <c r="R27" i="23"/>
  <c r="V27" i="24" s="1"/>
  <c r="AP38" i="66"/>
  <c r="AL38" i="66"/>
  <c r="AR38" i="66"/>
  <c r="D38" i="66"/>
  <c r="T27" i="23" s="1"/>
  <c r="Y27" i="24" s="1"/>
  <c r="AH38" i="66"/>
  <c r="AQ38" i="66"/>
  <c r="AU38" i="66"/>
  <c r="AN38" i="66"/>
  <c r="AJ38" i="66"/>
  <c r="AV38" i="66"/>
  <c r="AM38" i="66"/>
  <c r="AW38" i="66"/>
  <c r="AY38" i="66"/>
  <c r="AT38" i="66"/>
  <c r="AI38" i="66"/>
  <c r="AO38" i="66"/>
  <c r="AS38" i="66"/>
  <c r="AK38" i="66"/>
  <c r="AX38" i="66"/>
  <c r="AG38" i="66"/>
  <c r="AZ38" i="66"/>
  <c r="BB37" i="66"/>
  <c r="BA37" i="66"/>
  <c r="N37" i="66" s="1"/>
  <c r="CA38" i="73"/>
  <c r="O38" i="73" s="1"/>
  <c r="BB38" i="73"/>
  <c r="BA38" i="73"/>
  <c r="N38" i="73" s="1"/>
  <c r="A41" i="73"/>
  <c r="AS30" i="23" s="1"/>
  <c r="Z30" i="25" s="1"/>
  <c r="B40" i="73"/>
  <c r="AS39" i="73"/>
  <c r="AK39" i="73"/>
  <c r="D39" i="73"/>
  <c r="AZ39" i="73"/>
  <c r="AR39" i="73"/>
  <c r="AJ39" i="73"/>
  <c r="AX39" i="73"/>
  <c r="AP39" i="73"/>
  <c r="AH39" i="73"/>
  <c r="AQ39" i="73"/>
  <c r="AO39" i="73"/>
  <c r="AN39" i="73"/>
  <c r="AY39" i="73"/>
  <c r="AM39" i="73"/>
  <c r="AV39" i="73"/>
  <c r="AI39" i="73"/>
  <c r="AU39" i="73"/>
  <c r="AG39" i="73"/>
  <c r="AT39" i="73"/>
  <c r="AW39" i="73"/>
  <c r="AL39" i="73"/>
  <c r="A40" i="72"/>
  <c r="AO29" i="23" s="1"/>
  <c r="U29" i="25" s="1"/>
  <c r="B39" i="72"/>
  <c r="BB37" i="72"/>
  <c r="BA37" i="72"/>
  <c r="N37" i="72" s="1"/>
  <c r="AS38" i="72"/>
  <c r="AK38" i="72"/>
  <c r="D38" i="72"/>
  <c r="AZ38" i="72"/>
  <c r="AR38" i="72"/>
  <c r="AJ38" i="72"/>
  <c r="AX38" i="72"/>
  <c r="AP38" i="72"/>
  <c r="AH38" i="72"/>
  <c r="AT38" i="72"/>
  <c r="AO38" i="72"/>
  <c r="AN38" i="72"/>
  <c r="AY38" i="72"/>
  <c r="AM38" i="72"/>
  <c r="AW38" i="72"/>
  <c r="AL38" i="72"/>
  <c r="AV38" i="72"/>
  <c r="AU38" i="72"/>
  <c r="AQ38" i="72"/>
  <c r="AI38" i="72"/>
  <c r="AG38" i="72"/>
  <c r="CA37" i="72"/>
  <c r="O37" i="72" s="1"/>
  <c r="A41" i="71"/>
  <c r="AK30" i="23" s="1"/>
  <c r="P30" i="25" s="1"/>
  <c r="B40" i="71"/>
  <c r="AS39" i="71"/>
  <c r="AK39" i="71"/>
  <c r="D39" i="71"/>
  <c r="AZ39" i="71"/>
  <c r="AR39" i="71"/>
  <c r="AJ39" i="71"/>
  <c r="AX39" i="71"/>
  <c r="AP39" i="71"/>
  <c r="AH39" i="71"/>
  <c r="AQ39" i="71"/>
  <c r="AO39" i="71"/>
  <c r="AN39" i="71"/>
  <c r="AY39" i="71"/>
  <c r="AM39" i="71"/>
  <c r="AW39" i="71"/>
  <c r="AL39" i="71"/>
  <c r="AV39" i="71"/>
  <c r="AI39" i="71"/>
  <c r="AU39" i="71"/>
  <c r="AG39" i="71"/>
  <c r="AT39" i="71"/>
  <c r="BB38" i="71"/>
  <c r="BA38" i="71"/>
  <c r="N38" i="71" s="1"/>
  <c r="A41" i="69"/>
  <c r="AC30" i="23" s="1"/>
  <c r="F30" i="25" s="1"/>
  <c r="B40" i="69"/>
  <c r="AS39" i="69"/>
  <c r="AK39" i="69"/>
  <c r="D39" i="69"/>
  <c r="AZ39" i="69"/>
  <c r="AR39" i="69"/>
  <c r="AJ39" i="69"/>
  <c r="AX39" i="69"/>
  <c r="AP39" i="69"/>
  <c r="AH39" i="69"/>
  <c r="AT39" i="69"/>
  <c r="AO39" i="69"/>
  <c r="AN39" i="69"/>
  <c r="AY39" i="69"/>
  <c r="AM39" i="69"/>
  <c r="AW39" i="69"/>
  <c r="AL39" i="69"/>
  <c r="AQ39" i="69"/>
  <c r="AI39" i="69"/>
  <c r="AG39" i="69"/>
  <c r="AV39" i="69"/>
  <c r="AU39" i="69"/>
  <c r="BB38" i="69"/>
  <c r="BA38" i="69"/>
  <c r="N38" i="69" s="1"/>
  <c r="CA38" i="69"/>
  <c r="O38" i="69" s="1"/>
  <c r="CA38" i="68"/>
  <c r="O38" i="68" s="1"/>
  <c r="AV39" i="68"/>
  <c r="AN39" i="68"/>
  <c r="AU39" i="68"/>
  <c r="AM39" i="68"/>
  <c r="AS39" i="68"/>
  <c r="AK39" i="68"/>
  <c r="D39" i="68"/>
  <c r="AT39" i="68"/>
  <c r="AH39" i="68"/>
  <c r="AR39" i="68"/>
  <c r="AG39" i="68"/>
  <c r="AQ39" i="68"/>
  <c r="AP39" i="68"/>
  <c r="AZ39" i="68"/>
  <c r="AO39" i="68"/>
  <c r="AY39" i="68"/>
  <c r="AL39" i="68"/>
  <c r="AX39" i="68"/>
  <c r="AJ39" i="68"/>
  <c r="AW39" i="68"/>
  <c r="AI39" i="68"/>
  <c r="BB38" i="68"/>
  <c r="BA38" i="68"/>
  <c r="N38" i="68" s="1"/>
  <c r="A41" i="68"/>
  <c r="B40" i="68"/>
  <c r="BB38" i="65"/>
  <c r="BA38" i="65"/>
  <c r="N38" i="65" s="1"/>
  <c r="AV39" i="65"/>
  <c r="AN39" i="65"/>
  <c r="AU39" i="65"/>
  <c r="AM39" i="65"/>
  <c r="AS39" i="65"/>
  <c r="AK39" i="65"/>
  <c r="D39" i="65"/>
  <c r="P28" i="23" s="1"/>
  <c r="T28" i="24" s="1"/>
  <c r="AP39" i="65"/>
  <c r="AZ39" i="65"/>
  <c r="AO39" i="65"/>
  <c r="AT39" i="65"/>
  <c r="AY39" i="65"/>
  <c r="AH39" i="65"/>
  <c r="AX39" i="65"/>
  <c r="AG39" i="65"/>
  <c r="AW39" i="65"/>
  <c r="AR39" i="65"/>
  <c r="AQ39" i="65"/>
  <c r="AL39" i="65"/>
  <c r="AJ39" i="65"/>
  <c r="AI39" i="65"/>
  <c r="A41" i="65"/>
  <c r="M30" i="23" s="1"/>
  <c r="P30" i="24" s="1"/>
  <c r="B40" i="65"/>
  <c r="BB38" i="64"/>
  <c r="BA38" i="64"/>
  <c r="N38" i="64" s="1"/>
  <c r="AS39" i="64"/>
  <c r="AK39" i="64"/>
  <c r="D39" i="64"/>
  <c r="L28" i="23" s="1"/>
  <c r="O28" i="24" s="1"/>
  <c r="AX39" i="64"/>
  <c r="AP39" i="64"/>
  <c r="AH39" i="64"/>
  <c r="AZ39" i="64"/>
  <c r="AO39" i="64"/>
  <c r="AY39" i="64"/>
  <c r="AN39" i="64"/>
  <c r="AW39" i="64"/>
  <c r="AM39" i="64"/>
  <c r="AV39" i="64"/>
  <c r="AL39" i="64"/>
  <c r="AT39" i="64"/>
  <c r="AI39" i="64"/>
  <c r="AR39" i="64"/>
  <c r="AG39" i="64"/>
  <c r="AQ39" i="64"/>
  <c r="AU39" i="64"/>
  <c r="AJ39" i="64"/>
  <c r="A41" i="64"/>
  <c r="I30" i="23" s="1"/>
  <c r="K30" i="24" s="1"/>
  <c r="B40" i="64"/>
  <c r="A41" i="63"/>
  <c r="E30" i="23" s="1"/>
  <c r="F30" i="24" s="1"/>
  <c r="B40" i="63"/>
  <c r="AS39" i="63"/>
  <c r="AK39" i="63"/>
  <c r="D39" i="63"/>
  <c r="H28" i="23" s="1"/>
  <c r="J28" i="24" s="1"/>
  <c r="AZ39" i="63"/>
  <c r="AR39" i="63"/>
  <c r="AJ39" i="63"/>
  <c r="AX39" i="63"/>
  <c r="AP39" i="63"/>
  <c r="AH39" i="63"/>
  <c r="AN39" i="63"/>
  <c r="AY39" i="63"/>
  <c r="AM39" i="63"/>
  <c r="AV39" i="63"/>
  <c r="AI39" i="63"/>
  <c r="AT39" i="63"/>
  <c r="AQ39" i="63"/>
  <c r="AO39" i="63"/>
  <c r="AL39" i="63"/>
  <c r="AG39" i="63"/>
  <c r="AW39" i="63"/>
  <c r="AU39" i="63"/>
  <c r="CA38" i="63"/>
  <c r="O38" i="63" s="1"/>
  <c r="BB38" i="63"/>
  <c r="BA38" i="63"/>
  <c r="N38" i="63" s="1"/>
  <c r="Q38" i="73" l="1"/>
  <c r="AP28" i="23"/>
  <c r="V28" i="25" s="1"/>
  <c r="CM39" i="72"/>
  <c r="CU39" i="72"/>
  <c r="CD39" i="72"/>
  <c r="CN39" i="72"/>
  <c r="CV39" i="72"/>
  <c r="CP39" i="72"/>
  <c r="CE39" i="72"/>
  <c r="CQ39" i="72"/>
  <c r="CF39" i="72"/>
  <c r="CR39" i="72"/>
  <c r="CH39" i="72"/>
  <c r="CS39" i="72"/>
  <c r="CI39" i="72"/>
  <c r="CT39" i="72"/>
  <c r="CJ39" i="72"/>
  <c r="CK39" i="72"/>
  <c r="CO39" i="72"/>
  <c r="CW39" i="72"/>
  <c r="BH39" i="72"/>
  <c r="BR39" i="72"/>
  <c r="BZ39" i="72"/>
  <c r="BL39" i="72"/>
  <c r="BV39" i="72"/>
  <c r="BM39" i="72"/>
  <c r="BW39" i="72"/>
  <c r="BN39" i="72"/>
  <c r="BX39" i="72"/>
  <c r="BP39" i="72"/>
  <c r="BY39" i="72"/>
  <c r="BQ39" i="72"/>
  <c r="BG39" i="72"/>
  <c r="BS39" i="72"/>
  <c r="BI39" i="72"/>
  <c r="BT39" i="72"/>
  <c r="BK39" i="72"/>
  <c r="BU39" i="72"/>
  <c r="CL39" i="72"/>
  <c r="BJ39" i="72"/>
  <c r="BO39" i="72"/>
  <c r="CG39" i="72"/>
  <c r="CX39" i="73"/>
  <c r="P39" i="73" s="1"/>
  <c r="CX39" i="71"/>
  <c r="CX38" i="72"/>
  <c r="CX39" i="69"/>
  <c r="CL39" i="67"/>
  <c r="CK39" i="67"/>
  <c r="CT39" i="67"/>
  <c r="CE39" i="67"/>
  <c r="CN39" i="67"/>
  <c r="CV39" i="67"/>
  <c r="CD39" i="67"/>
  <c r="CP39" i="67"/>
  <c r="CF39" i="67"/>
  <c r="CQ39" i="67"/>
  <c r="CG39" i="67"/>
  <c r="CR39" i="67"/>
  <c r="CH39" i="67"/>
  <c r="CS39" i="67"/>
  <c r="CI39" i="67"/>
  <c r="CU39" i="67"/>
  <c r="CJ39" i="67"/>
  <c r="CM39" i="67"/>
  <c r="CO39" i="67"/>
  <c r="CW39" i="67"/>
  <c r="BG39" i="67"/>
  <c r="BO39" i="67"/>
  <c r="BW39" i="67"/>
  <c r="BP39" i="67"/>
  <c r="BH39" i="67"/>
  <c r="BX39" i="67"/>
  <c r="BM39" i="67"/>
  <c r="BI39" i="67"/>
  <c r="BQ39" i="67"/>
  <c r="BY39" i="67"/>
  <c r="BK39" i="67"/>
  <c r="BJ39" i="67"/>
  <c r="BR39" i="67"/>
  <c r="BZ39" i="67"/>
  <c r="BS39" i="67"/>
  <c r="BU39" i="67"/>
  <c r="BL39" i="67"/>
  <c r="BT39" i="67"/>
  <c r="BN39" i="67"/>
  <c r="BV39" i="67"/>
  <c r="CX38" i="70"/>
  <c r="AD29" i="23"/>
  <c r="G29" i="25" s="1"/>
  <c r="CF40" i="69"/>
  <c r="CP40" i="69"/>
  <c r="CH40" i="69"/>
  <c r="CQ40" i="69"/>
  <c r="CI40" i="69"/>
  <c r="CR40" i="69"/>
  <c r="CD40" i="69"/>
  <c r="CT40" i="69"/>
  <c r="CE40" i="69"/>
  <c r="CU40" i="69"/>
  <c r="CJ40" i="69"/>
  <c r="CV40" i="69"/>
  <c r="CK40" i="69"/>
  <c r="CW40" i="69"/>
  <c r="CM40" i="69"/>
  <c r="CN40" i="69"/>
  <c r="CO40" i="69"/>
  <c r="CS40" i="69"/>
  <c r="BI40" i="69"/>
  <c r="BS40" i="69"/>
  <c r="BK40" i="69"/>
  <c r="BT40" i="69"/>
  <c r="BM40" i="69"/>
  <c r="BV40" i="69"/>
  <c r="BN40" i="69"/>
  <c r="BW40" i="69"/>
  <c r="BP40" i="69"/>
  <c r="BX40" i="69"/>
  <c r="BG40" i="69"/>
  <c r="BQ40" i="69"/>
  <c r="BY40" i="69"/>
  <c r="BH40" i="69"/>
  <c r="BR40" i="69"/>
  <c r="BZ40" i="69"/>
  <c r="BL40" i="69"/>
  <c r="BU40" i="69"/>
  <c r="CL40" i="69"/>
  <c r="BO40" i="69"/>
  <c r="BJ40" i="69"/>
  <c r="CG40" i="69"/>
  <c r="AL29" i="23"/>
  <c r="Q29" i="25" s="1"/>
  <c r="CL40" i="71"/>
  <c r="CF40" i="71"/>
  <c r="CP40" i="71"/>
  <c r="CG40" i="71"/>
  <c r="CQ40" i="71"/>
  <c r="CH40" i="71"/>
  <c r="CR40" i="71"/>
  <c r="CM40" i="71"/>
  <c r="CU40" i="71"/>
  <c r="CT40" i="71"/>
  <c r="CV40" i="71"/>
  <c r="CD40" i="71"/>
  <c r="CW40" i="71"/>
  <c r="CI40" i="71"/>
  <c r="CK40" i="71"/>
  <c r="CN40" i="71"/>
  <c r="CO40" i="71"/>
  <c r="CS40" i="71"/>
  <c r="BJ40" i="71"/>
  <c r="BS40" i="71"/>
  <c r="BK40" i="71"/>
  <c r="BT40" i="71"/>
  <c r="BL40" i="71"/>
  <c r="BU40" i="71"/>
  <c r="BN40" i="71"/>
  <c r="BV40" i="71"/>
  <c r="BO40" i="71"/>
  <c r="BW40" i="71"/>
  <c r="BP40" i="71"/>
  <c r="BX40" i="71"/>
  <c r="BG40" i="71"/>
  <c r="BQ40" i="71"/>
  <c r="BY40" i="71"/>
  <c r="BI40" i="71"/>
  <c r="BR40" i="71"/>
  <c r="BZ40" i="71"/>
  <c r="BM40" i="71"/>
  <c r="CJ40" i="71"/>
  <c r="CE40" i="71"/>
  <c r="BH40" i="71"/>
  <c r="CX38" i="67"/>
  <c r="AT29" i="23"/>
  <c r="AA29" i="25" s="1"/>
  <c r="CL40" i="73"/>
  <c r="CF40" i="73"/>
  <c r="CO40" i="73"/>
  <c r="CW40" i="73"/>
  <c r="CG40" i="73"/>
  <c r="CP40" i="73"/>
  <c r="CH40" i="73"/>
  <c r="CQ40" i="73"/>
  <c r="CI40" i="73"/>
  <c r="CR40" i="73"/>
  <c r="CK40" i="73"/>
  <c r="CT40" i="73"/>
  <c r="CE40" i="73"/>
  <c r="CN40" i="73"/>
  <c r="CV40" i="73"/>
  <c r="CS40" i="73"/>
  <c r="CU40" i="73"/>
  <c r="CD40" i="73"/>
  <c r="CJ40" i="73"/>
  <c r="CM40" i="73"/>
  <c r="BH40" i="73"/>
  <c r="BP40" i="73"/>
  <c r="BX40" i="73"/>
  <c r="BJ40" i="73"/>
  <c r="BR40" i="73"/>
  <c r="BZ40" i="73"/>
  <c r="BK40" i="73"/>
  <c r="BS40" i="73"/>
  <c r="BL40" i="73"/>
  <c r="BT40" i="73"/>
  <c r="BM40" i="73"/>
  <c r="BU40" i="73"/>
  <c r="BN40" i="73"/>
  <c r="BV40" i="73"/>
  <c r="BG40" i="73"/>
  <c r="BO40" i="73"/>
  <c r="BW40" i="73"/>
  <c r="BI40" i="73"/>
  <c r="BQ40" i="73"/>
  <c r="BY40" i="73"/>
  <c r="CL39" i="70"/>
  <c r="CF39" i="70"/>
  <c r="CO39" i="70"/>
  <c r="CW39" i="70"/>
  <c r="CG39" i="70"/>
  <c r="CP39" i="70"/>
  <c r="CH39" i="70"/>
  <c r="CQ39" i="70"/>
  <c r="CI39" i="70"/>
  <c r="CR39" i="70"/>
  <c r="CJ39" i="70"/>
  <c r="CS39" i="70"/>
  <c r="CK39" i="70"/>
  <c r="CT39" i="70"/>
  <c r="CD39" i="70"/>
  <c r="CM39" i="70"/>
  <c r="CU39" i="70"/>
  <c r="CE39" i="70"/>
  <c r="CN39" i="70"/>
  <c r="CV39" i="70"/>
  <c r="BI39" i="70"/>
  <c r="BQ39" i="70"/>
  <c r="BY39" i="70"/>
  <c r="BJ39" i="70"/>
  <c r="BR39" i="70"/>
  <c r="BZ39" i="70"/>
  <c r="BL39" i="70"/>
  <c r="BT39" i="70"/>
  <c r="BM39" i="70"/>
  <c r="BU39" i="70"/>
  <c r="BN39" i="70"/>
  <c r="BV39" i="70"/>
  <c r="BG39" i="70"/>
  <c r="BO39" i="70"/>
  <c r="BW39" i="70"/>
  <c r="BH39" i="70"/>
  <c r="BP39" i="70"/>
  <c r="BX39" i="70"/>
  <c r="BK39" i="70"/>
  <c r="BS39" i="70"/>
  <c r="CX38" i="66"/>
  <c r="CL39" i="66"/>
  <c r="CH39" i="66"/>
  <c r="CQ39" i="66"/>
  <c r="CI39" i="66"/>
  <c r="CR39" i="66"/>
  <c r="CJ39" i="66"/>
  <c r="CS39" i="66"/>
  <c r="CK39" i="66"/>
  <c r="CT39" i="66"/>
  <c r="CD39" i="66"/>
  <c r="CM39" i="66"/>
  <c r="CU39" i="66"/>
  <c r="CE39" i="66"/>
  <c r="CN39" i="66"/>
  <c r="CV39" i="66"/>
  <c r="CF39" i="66"/>
  <c r="CO39" i="66"/>
  <c r="CW39" i="66"/>
  <c r="CG39" i="66"/>
  <c r="CP39" i="66"/>
  <c r="BN39" i="66"/>
  <c r="BV39" i="66"/>
  <c r="BG39" i="66"/>
  <c r="BO39" i="66"/>
  <c r="BW39" i="66"/>
  <c r="BH39" i="66"/>
  <c r="BP39" i="66"/>
  <c r="BX39" i="66"/>
  <c r="BI39" i="66"/>
  <c r="BQ39" i="66"/>
  <c r="BY39" i="66"/>
  <c r="BJ39" i="66"/>
  <c r="BR39" i="66"/>
  <c r="BZ39" i="66"/>
  <c r="BK39" i="66"/>
  <c r="BS39" i="66"/>
  <c r="BL39" i="66"/>
  <c r="BT39" i="66"/>
  <c r="BM39" i="66"/>
  <c r="BU39" i="66"/>
  <c r="CX39" i="65"/>
  <c r="J29" i="23"/>
  <c r="L29" i="24" s="1"/>
  <c r="CL40" i="64"/>
  <c r="CD40" i="64"/>
  <c r="CM40" i="64"/>
  <c r="CU40" i="64"/>
  <c r="CE40" i="64"/>
  <c r="CN40" i="64"/>
  <c r="CV40" i="64"/>
  <c r="CH40" i="64"/>
  <c r="CQ40" i="64"/>
  <c r="CI40" i="64"/>
  <c r="CR40" i="64"/>
  <c r="CK40" i="64"/>
  <c r="CT40" i="64"/>
  <c r="CS40" i="64"/>
  <c r="CW40" i="64"/>
  <c r="CF40" i="64"/>
  <c r="CG40" i="64"/>
  <c r="CP40" i="64"/>
  <c r="CJ40" i="64"/>
  <c r="CO40" i="64"/>
  <c r="BI40" i="64"/>
  <c r="BQ40" i="64"/>
  <c r="BY40" i="64"/>
  <c r="BJ40" i="64"/>
  <c r="BR40" i="64"/>
  <c r="BZ40" i="64"/>
  <c r="BK40" i="64"/>
  <c r="BS40" i="64"/>
  <c r="BL40" i="64"/>
  <c r="BT40" i="64"/>
  <c r="BM40" i="64"/>
  <c r="BU40" i="64"/>
  <c r="BN40" i="64"/>
  <c r="BV40" i="64"/>
  <c r="BO40" i="64"/>
  <c r="BP40" i="64"/>
  <c r="BW40" i="64"/>
  <c r="BX40" i="64"/>
  <c r="BG40" i="64"/>
  <c r="BH40" i="64"/>
  <c r="N29" i="23"/>
  <c r="Q29" i="24" s="1"/>
  <c r="CL40" i="65"/>
  <c r="CI40" i="65"/>
  <c r="CS40" i="65"/>
  <c r="CJ40" i="65"/>
  <c r="CT40" i="65"/>
  <c r="CM40" i="65"/>
  <c r="CU40" i="65"/>
  <c r="CN40" i="65"/>
  <c r="CV40" i="65"/>
  <c r="CD40" i="65"/>
  <c r="CO40" i="65"/>
  <c r="CW40" i="65"/>
  <c r="CE40" i="65"/>
  <c r="CP40" i="65"/>
  <c r="CG40" i="65"/>
  <c r="CH40" i="65"/>
  <c r="CQ40" i="65"/>
  <c r="CR40" i="65"/>
  <c r="BK40" i="65"/>
  <c r="BT40" i="65"/>
  <c r="BL40" i="65"/>
  <c r="BU40" i="65"/>
  <c r="BM40" i="65"/>
  <c r="BV40" i="65"/>
  <c r="BO40" i="65"/>
  <c r="BW40" i="65"/>
  <c r="BP40" i="65"/>
  <c r="BX40" i="65"/>
  <c r="BG40" i="65"/>
  <c r="BQ40" i="65"/>
  <c r="BY40" i="65"/>
  <c r="BH40" i="65"/>
  <c r="BR40" i="65"/>
  <c r="BZ40" i="65"/>
  <c r="BJ40" i="65"/>
  <c r="BS40" i="65"/>
  <c r="CK40" i="65"/>
  <c r="CF40" i="65"/>
  <c r="BN40" i="65"/>
  <c r="BI40" i="65"/>
  <c r="CX39" i="63"/>
  <c r="F29" i="23"/>
  <c r="G29" i="24" s="1"/>
  <c r="CL40" i="63"/>
  <c r="CD40" i="63"/>
  <c r="CN40" i="63"/>
  <c r="CV40" i="63"/>
  <c r="CE40" i="63"/>
  <c r="CO40" i="63"/>
  <c r="CW40" i="63"/>
  <c r="CF40" i="63"/>
  <c r="CP40" i="63"/>
  <c r="CG40" i="63"/>
  <c r="CQ40" i="63"/>
  <c r="CI40" i="63"/>
  <c r="CR40" i="63"/>
  <c r="CS40" i="63"/>
  <c r="CT40" i="63"/>
  <c r="CU40" i="63"/>
  <c r="CJ40" i="63"/>
  <c r="CK40" i="63"/>
  <c r="CM40" i="63"/>
  <c r="BJ40" i="63"/>
  <c r="BS40" i="63"/>
  <c r="BL40" i="63"/>
  <c r="BT40" i="63"/>
  <c r="BM40" i="63"/>
  <c r="BU40" i="63"/>
  <c r="BN40" i="63"/>
  <c r="BV40" i="63"/>
  <c r="BW40" i="63"/>
  <c r="BR40" i="63"/>
  <c r="BG40" i="63"/>
  <c r="BX40" i="63"/>
  <c r="BH40" i="63"/>
  <c r="BY40" i="63"/>
  <c r="BI40" i="63"/>
  <c r="BZ40" i="63"/>
  <c r="BO40" i="63"/>
  <c r="BP40" i="63"/>
  <c r="BQ40" i="63"/>
  <c r="CH40" i="63"/>
  <c r="BK40" i="63"/>
  <c r="CX39" i="64"/>
  <c r="AB28" i="23"/>
  <c r="E28" i="25" s="1"/>
  <c r="CX39" i="68"/>
  <c r="Z29" i="23"/>
  <c r="B29" i="25" s="1"/>
  <c r="CK40" i="68"/>
  <c r="CT40" i="68"/>
  <c r="CM40" i="68"/>
  <c r="CU40" i="68"/>
  <c r="CD40" i="68"/>
  <c r="CN40" i="68"/>
  <c r="CV40" i="68"/>
  <c r="CE40" i="68"/>
  <c r="CO40" i="68"/>
  <c r="CW40" i="68"/>
  <c r="CF40" i="68"/>
  <c r="CP40" i="68"/>
  <c r="CH40" i="68"/>
  <c r="CQ40" i="68"/>
  <c r="CI40" i="68"/>
  <c r="CR40" i="68"/>
  <c r="CJ40" i="68"/>
  <c r="CS40" i="68"/>
  <c r="BH40" i="68"/>
  <c r="BR40" i="68"/>
  <c r="BZ40" i="68"/>
  <c r="BI40" i="68"/>
  <c r="BS40" i="68"/>
  <c r="BK40" i="68"/>
  <c r="BT40" i="68"/>
  <c r="BL40" i="68"/>
  <c r="BU40" i="68"/>
  <c r="BM40" i="68"/>
  <c r="BV40" i="68"/>
  <c r="BN40" i="68"/>
  <c r="BW40" i="68"/>
  <c r="BP40" i="68"/>
  <c r="BX40" i="68"/>
  <c r="BG40" i="68"/>
  <c r="BQ40" i="68"/>
  <c r="BY40" i="68"/>
  <c r="BO40" i="68"/>
  <c r="CG40" i="68"/>
  <c r="CL40" i="68"/>
  <c r="BJ40" i="68"/>
  <c r="AH42" i="68"/>
  <c r="AP42" i="68"/>
  <c r="AX42" i="68"/>
  <c r="AY42" i="68"/>
  <c r="AK42" i="68"/>
  <c r="AU42" i="68"/>
  <c r="AV42" i="68"/>
  <c r="AG42" i="68"/>
  <c r="AI42" i="68"/>
  <c r="AQ42" i="68"/>
  <c r="AS42" i="68"/>
  <c r="AO42" i="68"/>
  <c r="D42" i="68"/>
  <c r="AJ42" i="68"/>
  <c r="AR42" i="68"/>
  <c r="AZ42" i="68"/>
  <c r="AM42" i="68"/>
  <c r="AW42" i="68"/>
  <c r="AL42" i="68"/>
  <c r="AT42" i="68"/>
  <c r="AN42" i="68"/>
  <c r="O27" i="25"/>
  <c r="AJ27" i="23"/>
  <c r="AH28" i="23"/>
  <c r="L28" i="25" s="1"/>
  <c r="AN39" i="70"/>
  <c r="AS39" i="70"/>
  <c r="AJ39" i="70"/>
  <c r="AH39" i="70"/>
  <c r="AK39" i="70"/>
  <c r="AP39" i="70"/>
  <c r="AU39" i="70"/>
  <c r="D39" i="70"/>
  <c r="AR39" i="70"/>
  <c r="AY39" i="70"/>
  <c r="AM39" i="70"/>
  <c r="AW39" i="70"/>
  <c r="AG39" i="70"/>
  <c r="AL39" i="70"/>
  <c r="AI39" i="70"/>
  <c r="AZ39" i="70"/>
  <c r="AQ39" i="70"/>
  <c r="AO39" i="70"/>
  <c r="AV39" i="70"/>
  <c r="AX39" i="70"/>
  <c r="AT39" i="70"/>
  <c r="AG29" i="23"/>
  <c r="K29" i="25" s="1"/>
  <c r="A41" i="70"/>
  <c r="B40" i="70"/>
  <c r="BB38" i="70"/>
  <c r="BA38" i="70"/>
  <c r="N38" i="70" s="1"/>
  <c r="Y30" i="23"/>
  <c r="A30" i="25" s="1"/>
  <c r="AV28" i="23"/>
  <c r="AD28" i="25"/>
  <c r="U29" i="23"/>
  <c r="Z29" i="24" s="1"/>
  <c r="A41" i="67"/>
  <c r="B40" i="67"/>
  <c r="V28" i="23"/>
  <c r="AA28" i="24" s="1"/>
  <c r="AJ39" i="67"/>
  <c r="AW39" i="67"/>
  <c r="AO39" i="67"/>
  <c r="AN39" i="67"/>
  <c r="AL39" i="67"/>
  <c r="AU39" i="67"/>
  <c r="AQ39" i="67"/>
  <c r="AG39" i="67"/>
  <c r="AS39" i="67"/>
  <c r="AX39" i="67"/>
  <c r="AY39" i="67"/>
  <c r="AV39" i="67"/>
  <c r="AT39" i="67"/>
  <c r="AK39" i="67"/>
  <c r="AZ39" i="67"/>
  <c r="AP39" i="67"/>
  <c r="AM39" i="67"/>
  <c r="AI39" i="67"/>
  <c r="D39" i="67"/>
  <c r="X28" i="23" s="1"/>
  <c r="AD28" i="24" s="1"/>
  <c r="AR39" i="67"/>
  <c r="AH39" i="67"/>
  <c r="J28" i="25"/>
  <c r="AF28" i="23"/>
  <c r="BB38" i="67"/>
  <c r="BA38" i="67"/>
  <c r="N38" i="67" s="1"/>
  <c r="Y27" i="25"/>
  <c r="AR27" i="23"/>
  <c r="T28" i="25"/>
  <c r="AN28" i="23"/>
  <c r="BB38" i="66"/>
  <c r="BA38" i="66"/>
  <c r="N38" i="66" s="1"/>
  <c r="CA38" i="66"/>
  <c r="O38" i="66" s="1"/>
  <c r="Q29" i="23"/>
  <c r="U29" i="24" s="1"/>
  <c r="A41" i="66"/>
  <c r="B40" i="66"/>
  <c r="R28" i="23"/>
  <c r="V28" i="24" s="1"/>
  <c r="AN39" i="66"/>
  <c r="AL39" i="66"/>
  <c r="AY39" i="66"/>
  <c r="AT39" i="66"/>
  <c r="AM39" i="66"/>
  <c r="AW39" i="66"/>
  <c r="AV39" i="66"/>
  <c r="AS39" i="66"/>
  <c r="AX39" i="66"/>
  <c r="AQ39" i="66"/>
  <c r="AK39" i="66"/>
  <c r="AZ39" i="66"/>
  <c r="AP39" i="66"/>
  <c r="AI39" i="66"/>
  <c r="D39" i="66"/>
  <c r="T28" i="23" s="1"/>
  <c r="Y28" i="24" s="1"/>
  <c r="AR39" i="66"/>
  <c r="AH39" i="66"/>
  <c r="AU39" i="66"/>
  <c r="AO39" i="66"/>
  <c r="AG39" i="66"/>
  <c r="AJ39" i="66"/>
  <c r="AP40" i="68"/>
  <c r="AX40" i="68"/>
  <c r="AW40" i="68"/>
  <c r="AI40" i="68"/>
  <c r="AQ40" i="68"/>
  <c r="AY40" i="68"/>
  <c r="AT40" i="68"/>
  <c r="AJ40" i="68"/>
  <c r="AR40" i="68"/>
  <c r="AZ40" i="68"/>
  <c r="AK40" i="68"/>
  <c r="AS40" i="68"/>
  <c r="AL40" i="68"/>
  <c r="AM40" i="68"/>
  <c r="AV40" i="68"/>
  <c r="AO40" i="68"/>
  <c r="AU40" i="68"/>
  <c r="AN40" i="68"/>
  <c r="BB39" i="73"/>
  <c r="BA39" i="73"/>
  <c r="N39" i="73" s="1"/>
  <c r="AV40" i="73"/>
  <c r="AN40" i="73"/>
  <c r="AU40" i="73"/>
  <c r="AM40" i="73"/>
  <c r="AS40" i="73"/>
  <c r="AK40" i="73"/>
  <c r="D40" i="73"/>
  <c r="AP40" i="73"/>
  <c r="AZ40" i="73"/>
  <c r="AO40" i="73"/>
  <c r="AY40" i="73"/>
  <c r="AL40" i="73"/>
  <c r="AX40" i="73"/>
  <c r="AJ40" i="73"/>
  <c r="AT40" i="73"/>
  <c r="AH40" i="73"/>
  <c r="AR40" i="73"/>
  <c r="AG40" i="73"/>
  <c r="AQ40" i="73"/>
  <c r="AW40" i="73"/>
  <c r="AI40" i="73"/>
  <c r="A42" i="73"/>
  <c r="AS31" i="23" s="1"/>
  <c r="Z31" i="25" s="1"/>
  <c r="B41" i="73"/>
  <c r="CA39" i="73"/>
  <c r="O39" i="73" s="1"/>
  <c r="BB38" i="72"/>
  <c r="BA38" i="72"/>
  <c r="N38" i="72" s="1"/>
  <c r="CA38" i="72"/>
  <c r="O38" i="72" s="1"/>
  <c r="AV39" i="72"/>
  <c r="AN39" i="72"/>
  <c r="AU39" i="72"/>
  <c r="AM39" i="72"/>
  <c r="AS39" i="72"/>
  <c r="AK39" i="72"/>
  <c r="D39" i="72"/>
  <c r="AQ39" i="72"/>
  <c r="AZ39" i="72"/>
  <c r="AO39" i="72"/>
  <c r="AY39" i="72"/>
  <c r="AL39" i="72"/>
  <c r="AX39" i="72"/>
  <c r="AJ39" i="72"/>
  <c r="AW39" i="72"/>
  <c r="AI39" i="72"/>
  <c r="AG39" i="72"/>
  <c r="AT39" i="72"/>
  <c r="AR39" i="72"/>
  <c r="AP39" i="72"/>
  <c r="AH39" i="72"/>
  <c r="A41" i="72"/>
  <c r="AO30" i="23" s="1"/>
  <c r="U30" i="25" s="1"/>
  <c r="B40" i="72"/>
  <c r="BB39" i="71"/>
  <c r="BA39" i="71"/>
  <c r="N39" i="71" s="1"/>
  <c r="AV40" i="71"/>
  <c r="AN40" i="71"/>
  <c r="AU40" i="71"/>
  <c r="AM40" i="71"/>
  <c r="AS40" i="71"/>
  <c r="AK40" i="71"/>
  <c r="D40" i="71"/>
  <c r="AY40" i="71"/>
  <c r="AQ40" i="71"/>
  <c r="AI40" i="71"/>
  <c r="AT40" i="71"/>
  <c r="AR40" i="71"/>
  <c r="AP40" i="71"/>
  <c r="AO40" i="71"/>
  <c r="AL40" i="71"/>
  <c r="AZ40" i="71"/>
  <c r="AJ40" i="71"/>
  <c r="AX40" i="71"/>
  <c r="AH40" i="71"/>
  <c r="AG40" i="71"/>
  <c r="AW40" i="71"/>
  <c r="A42" i="71"/>
  <c r="AK31" i="23" s="1"/>
  <c r="P31" i="25" s="1"/>
  <c r="B41" i="71"/>
  <c r="BB39" i="69"/>
  <c r="BA39" i="69"/>
  <c r="N39" i="69" s="1"/>
  <c r="CA39" i="69"/>
  <c r="O39" i="69" s="1"/>
  <c r="AV40" i="69"/>
  <c r="AN40" i="69"/>
  <c r="AU40" i="69"/>
  <c r="AM40" i="69"/>
  <c r="AS40" i="69"/>
  <c r="AK40" i="69"/>
  <c r="D40" i="69"/>
  <c r="AQ40" i="69"/>
  <c r="AZ40" i="69"/>
  <c r="AO40" i="69"/>
  <c r="AY40" i="69"/>
  <c r="AL40" i="69"/>
  <c r="AX40" i="69"/>
  <c r="AJ40" i="69"/>
  <c r="AW40" i="69"/>
  <c r="AI40" i="69"/>
  <c r="AT40" i="69"/>
  <c r="AR40" i="69"/>
  <c r="AP40" i="69"/>
  <c r="AH40" i="69"/>
  <c r="AG40" i="69"/>
  <c r="A42" i="69"/>
  <c r="AC31" i="23" s="1"/>
  <c r="F31" i="25" s="1"/>
  <c r="B41" i="69"/>
  <c r="AH40" i="68"/>
  <c r="D40" i="68"/>
  <c r="AG40" i="68"/>
  <c r="B41" i="68"/>
  <c r="CA39" i="68"/>
  <c r="O39" i="68" s="1"/>
  <c r="BB39" i="68"/>
  <c r="BA39" i="68"/>
  <c r="N39" i="68" s="1"/>
  <c r="CA39" i="65"/>
  <c r="O39" i="65" s="1"/>
  <c r="AY40" i="65"/>
  <c r="AQ40" i="65"/>
  <c r="AI40" i="65"/>
  <c r="AX40" i="65"/>
  <c r="AP40" i="65"/>
  <c r="AH40" i="65"/>
  <c r="AV40" i="65"/>
  <c r="AN40" i="65"/>
  <c r="AW40" i="65"/>
  <c r="AK40" i="65"/>
  <c r="AU40" i="65"/>
  <c r="AJ40" i="65"/>
  <c r="AO40" i="65"/>
  <c r="D40" i="65"/>
  <c r="P29" i="23" s="1"/>
  <c r="T29" i="24" s="1"/>
  <c r="AM40" i="65"/>
  <c r="AZ40" i="65"/>
  <c r="AT40" i="65"/>
  <c r="AS40" i="65"/>
  <c r="AR40" i="65"/>
  <c r="AL40" i="65"/>
  <c r="AG40" i="65"/>
  <c r="A42" i="65"/>
  <c r="M31" i="23" s="1"/>
  <c r="P31" i="24" s="1"/>
  <c r="B41" i="65"/>
  <c r="BB39" i="65"/>
  <c r="BA39" i="65"/>
  <c r="N39" i="65" s="1"/>
  <c r="A42" i="64"/>
  <c r="I31" i="23" s="1"/>
  <c r="K31" i="24" s="1"/>
  <c r="B41" i="64"/>
  <c r="BB39" i="64"/>
  <c r="BA39" i="64"/>
  <c r="N39" i="64" s="1"/>
  <c r="Y38" i="64" s="1"/>
  <c r="AV40" i="64"/>
  <c r="AN40" i="64"/>
  <c r="AU40" i="64"/>
  <c r="AS40" i="64"/>
  <c r="AK40" i="64"/>
  <c r="D40" i="64"/>
  <c r="L29" i="23" s="1"/>
  <c r="O29" i="24" s="1"/>
  <c r="AX40" i="64"/>
  <c r="AL40" i="64"/>
  <c r="AW40" i="64"/>
  <c r="AJ40" i="64"/>
  <c r="AT40" i="64"/>
  <c r="AI40" i="64"/>
  <c r="AR40" i="64"/>
  <c r="AH40" i="64"/>
  <c r="AP40" i="64"/>
  <c r="AZ40" i="64"/>
  <c r="AO40" i="64"/>
  <c r="AY40" i="64"/>
  <c r="AM40" i="64"/>
  <c r="AQ40" i="64"/>
  <c r="AG40" i="64"/>
  <c r="BB39" i="63"/>
  <c r="BA39" i="63"/>
  <c r="N39" i="63" s="1"/>
  <c r="Y39" i="63" s="1"/>
  <c r="AV40" i="63"/>
  <c r="AN40" i="63"/>
  <c r="AU40" i="63"/>
  <c r="AM40" i="63"/>
  <c r="AS40" i="63"/>
  <c r="AK40" i="63"/>
  <c r="D40" i="63"/>
  <c r="H29" i="23" s="1"/>
  <c r="J29" i="24" s="1"/>
  <c r="AY40" i="63"/>
  <c r="AL40" i="63"/>
  <c r="AX40" i="63"/>
  <c r="AJ40" i="63"/>
  <c r="AT40" i="63"/>
  <c r="AH40" i="63"/>
  <c r="AR40" i="63"/>
  <c r="AG40" i="63"/>
  <c r="AP40" i="63"/>
  <c r="AO40" i="63"/>
  <c r="AI40" i="63"/>
  <c r="AZ40" i="63"/>
  <c r="AW40" i="63"/>
  <c r="AQ40" i="63"/>
  <c r="A42" i="63"/>
  <c r="E31" i="23" s="1"/>
  <c r="F31" i="24" s="1"/>
  <c r="B41" i="63"/>
  <c r="Q39" i="73" l="1"/>
  <c r="FN38" i="64"/>
  <c r="FL38" i="64"/>
  <c r="FN39" i="63"/>
  <c r="FL39" i="63"/>
  <c r="AD30" i="23"/>
  <c r="G30" i="25" s="1"/>
  <c r="CL41" i="69"/>
  <c r="CD41" i="69"/>
  <c r="CO41" i="69"/>
  <c r="CW41" i="69"/>
  <c r="CE41" i="69"/>
  <c r="CP41" i="69"/>
  <c r="CF41" i="69"/>
  <c r="CQ41" i="69"/>
  <c r="CN41" i="69"/>
  <c r="CR41" i="69"/>
  <c r="CS41" i="69"/>
  <c r="CT41" i="69"/>
  <c r="CG41" i="69"/>
  <c r="CU41" i="69"/>
  <c r="CI41" i="69"/>
  <c r="CV41" i="69"/>
  <c r="CJ41" i="69"/>
  <c r="CK41" i="69"/>
  <c r="BG41" i="69"/>
  <c r="BQ41" i="69"/>
  <c r="BY41" i="69"/>
  <c r="BH41" i="69"/>
  <c r="BR41" i="69"/>
  <c r="BZ41" i="69"/>
  <c r="BJ41" i="69"/>
  <c r="BT41" i="69"/>
  <c r="BL41" i="69"/>
  <c r="BU41" i="69"/>
  <c r="BM41" i="69"/>
  <c r="BV41" i="69"/>
  <c r="BN41" i="69"/>
  <c r="BW41" i="69"/>
  <c r="BO41" i="69"/>
  <c r="BX41" i="69"/>
  <c r="BI41" i="69"/>
  <c r="BS41" i="69"/>
  <c r="BP41" i="69"/>
  <c r="CH41" i="69"/>
  <c r="CM41" i="69"/>
  <c r="BK41" i="69"/>
  <c r="AP29" i="23"/>
  <c r="V29" i="25" s="1"/>
  <c r="CL40" i="72"/>
  <c r="CJ40" i="72"/>
  <c r="CS40" i="72"/>
  <c r="CK40" i="72"/>
  <c r="CT40" i="72"/>
  <c r="CF40" i="72"/>
  <c r="CR40" i="72"/>
  <c r="CG40" i="72"/>
  <c r="CU40" i="72"/>
  <c r="CI40" i="72"/>
  <c r="CV40" i="72"/>
  <c r="CM40" i="72"/>
  <c r="CW40" i="72"/>
  <c r="CN40" i="72"/>
  <c r="CQ40" i="72"/>
  <c r="CD40" i="72"/>
  <c r="CE40" i="72"/>
  <c r="CO40" i="72"/>
  <c r="CP40" i="72"/>
  <c r="BO40" i="72"/>
  <c r="BW40" i="72"/>
  <c r="BL40" i="72"/>
  <c r="BU40" i="72"/>
  <c r="BM40" i="72"/>
  <c r="BV40" i="72"/>
  <c r="BN40" i="72"/>
  <c r="BX40" i="72"/>
  <c r="BP40" i="72"/>
  <c r="BY40" i="72"/>
  <c r="BG40" i="72"/>
  <c r="BQ40" i="72"/>
  <c r="BZ40" i="72"/>
  <c r="BH40" i="72"/>
  <c r="BR40" i="72"/>
  <c r="BI40" i="72"/>
  <c r="BS40" i="72"/>
  <c r="BJ40" i="72"/>
  <c r="BT40" i="72"/>
  <c r="BK40" i="72"/>
  <c r="CH40" i="72"/>
  <c r="CX40" i="69"/>
  <c r="AL30" i="23"/>
  <c r="Q30" i="25" s="1"/>
  <c r="CL41" i="71"/>
  <c r="CD41" i="71"/>
  <c r="CO41" i="71"/>
  <c r="CW41" i="71"/>
  <c r="CE41" i="71"/>
  <c r="CP41" i="71"/>
  <c r="CG41" i="71"/>
  <c r="CQ41" i="71"/>
  <c r="CJ41" i="71"/>
  <c r="CT41" i="71"/>
  <c r="CS41" i="71"/>
  <c r="CU41" i="71"/>
  <c r="CV41" i="71"/>
  <c r="CH41" i="71"/>
  <c r="CI41" i="71"/>
  <c r="CM41" i="71"/>
  <c r="CN41" i="71"/>
  <c r="CR41" i="71"/>
  <c r="BG41" i="71"/>
  <c r="BQ41" i="71"/>
  <c r="BY41" i="71"/>
  <c r="BH41" i="71"/>
  <c r="BR41" i="71"/>
  <c r="BZ41" i="71"/>
  <c r="BJ41" i="71"/>
  <c r="BS41" i="71"/>
  <c r="BK41" i="71"/>
  <c r="BT41" i="71"/>
  <c r="BL41" i="71"/>
  <c r="BU41" i="71"/>
  <c r="BO41" i="71"/>
  <c r="BW41" i="71"/>
  <c r="BP41" i="71"/>
  <c r="BX41" i="71"/>
  <c r="BM41" i="71"/>
  <c r="BV41" i="71"/>
  <c r="CK41" i="71"/>
  <c r="BN41" i="71"/>
  <c r="CF41" i="71"/>
  <c r="BI41" i="71"/>
  <c r="CL40" i="67"/>
  <c r="CI40" i="67"/>
  <c r="CR40" i="67"/>
  <c r="CK40" i="67"/>
  <c r="CT40" i="67"/>
  <c r="CG40" i="67"/>
  <c r="CS40" i="67"/>
  <c r="CH40" i="67"/>
  <c r="CU40" i="67"/>
  <c r="CJ40" i="67"/>
  <c r="CV40" i="67"/>
  <c r="CM40" i="67"/>
  <c r="CW40" i="67"/>
  <c r="CN40" i="67"/>
  <c r="CE40" i="67"/>
  <c r="CO40" i="67"/>
  <c r="CP40" i="67"/>
  <c r="CQ40" i="67"/>
  <c r="CF40" i="67"/>
  <c r="BM40" i="67"/>
  <c r="BU40" i="67"/>
  <c r="BY40" i="67"/>
  <c r="BS40" i="67"/>
  <c r="BN40" i="67"/>
  <c r="BV40" i="67"/>
  <c r="BQ40" i="67"/>
  <c r="BJ40" i="67"/>
  <c r="BO40" i="67"/>
  <c r="BW40" i="67"/>
  <c r="BP40" i="67"/>
  <c r="BX40" i="67"/>
  <c r="BH40" i="67"/>
  <c r="BI40" i="67"/>
  <c r="BR40" i="67"/>
  <c r="BZ40" i="67"/>
  <c r="BK40" i="67"/>
  <c r="BT40" i="67"/>
  <c r="BL40" i="67"/>
  <c r="BG40" i="67"/>
  <c r="CD40" i="67"/>
  <c r="CL40" i="70"/>
  <c r="CK40" i="70"/>
  <c r="CT40" i="70"/>
  <c r="CD40" i="70"/>
  <c r="CM40" i="70"/>
  <c r="CU40" i="70"/>
  <c r="CE40" i="70"/>
  <c r="CN40" i="70"/>
  <c r="CV40" i="70"/>
  <c r="CF40" i="70"/>
  <c r="CO40" i="70"/>
  <c r="CW40" i="70"/>
  <c r="CG40" i="70"/>
  <c r="CP40" i="70"/>
  <c r="CH40" i="70"/>
  <c r="CQ40" i="70"/>
  <c r="CI40" i="70"/>
  <c r="CR40" i="70"/>
  <c r="CJ40" i="70"/>
  <c r="CS40" i="70"/>
  <c r="BM40" i="70"/>
  <c r="BU40" i="70"/>
  <c r="BN40" i="70"/>
  <c r="BV40" i="70"/>
  <c r="BH40" i="70"/>
  <c r="BP40" i="70"/>
  <c r="BX40" i="70"/>
  <c r="BI40" i="70"/>
  <c r="BQ40" i="70"/>
  <c r="BY40" i="70"/>
  <c r="BJ40" i="70"/>
  <c r="BR40" i="70"/>
  <c r="BZ40" i="70"/>
  <c r="BK40" i="70"/>
  <c r="BS40" i="70"/>
  <c r="BL40" i="70"/>
  <c r="BT40" i="70"/>
  <c r="BG40" i="70"/>
  <c r="BO40" i="70"/>
  <c r="BW40" i="70"/>
  <c r="CX40" i="73"/>
  <c r="P40" i="73" s="1"/>
  <c r="CX40" i="71"/>
  <c r="CX39" i="67"/>
  <c r="CX39" i="72"/>
  <c r="AT30" i="23"/>
  <c r="AA30" i="25" s="1"/>
  <c r="CL41" i="73"/>
  <c r="CK41" i="73"/>
  <c r="CT41" i="73"/>
  <c r="CD41" i="73"/>
  <c r="CM41" i="73"/>
  <c r="CE41" i="73"/>
  <c r="CN41" i="73"/>
  <c r="CF41" i="73"/>
  <c r="CO41" i="73"/>
  <c r="CW41" i="73"/>
  <c r="CH41" i="73"/>
  <c r="CQ41" i="73"/>
  <c r="CJ41" i="73"/>
  <c r="CS41" i="73"/>
  <c r="CG41" i="73"/>
  <c r="CR41" i="73"/>
  <c r="CU41" i="73"/>
  <c r="CV41" i="73"/>
  <c r="CI41" i="73"/>
  <c r="CP41" i="73"/>
  <c r="BL41" i="73"/>
  <c r="BT41" i="73"/>
  <c r="BN41" i="73"/>
  <c r="BV41" i="73"/>
  <c r="BG41" i="73"/>
  <c r="BO41" i="73"/>
  <c r="BW41" i="73"/>
  <c r="BH41" i="73"/>
  <c r="BP41" i="73"/>
  <c r="BX41" i="73"/>
  <c r="BI41" i="73"/>
  <c r="BQ41" i="73"/>
  <c r="BY41" i="73"/>
  <c r="BJ41" i="73"/>
  <c r="BR41" i="73"/>
  <c r="BZ41" i="73"/>
  <c r="BK41" i="73"/>
  <c r="BS41" i="73"/>
  <c r="BM41" i="73"/>
  <c r="BU41" i="73"/>
  <c r="CX39" i="70"/>
  <c r="CX40" i="63"/>
  <c r="N30" i="23"/>
  <c r="Q30" i="24" s="1"/>
  <c r="CL41" i="65"/>
  <c r="CH41" i="65"/>
  <c r="CQ41" i="65"/>
  <c r="CI41" i="65"/>
  <c r="CR41" i="65"/>
  <c r="CJ41" i="65"/>
  <c r="CS41" i="65"/>
  <c r="CK41" i="65"/>
  <c r="CT41" i="65"/>
  <c r="CM41" i="65"/>
  <c r="CU41" i="65"/>
  <c r="CD41" i="65"/>
  <c r="CN41" i="65"/>
  <c r="CV41" i="65"/>
  <c r="CW41" i="65"/>
  <c r="CE41" i="65"/>
  <c r="CF41" i="65"/>
  <c r="CO41" i="65"/>
  <c r="CP41" i="65"/>
  <c r="BH41" i="65"/>
  <c r="BQ41" i="65"/>
  <c r="BY41" i="65"/>
  <c r="BI41" i="65"/>
  <c r="BR41" i="65"/>
  <c r="BZ41" i="65"/>
  <c r="BK41" i="65"/>
  <c r="BS41" i="65"/>
  <c r="BL41" i="65"/>
  <c r="BT41" i="65"/>
  <c r="BM41" i="65"/>
  <c r="BU41" i="65"/>
  <c r="BN41" i="65"/>
  <c r="BV41" i="65"/>
  <c r="BO41" i="65"/>
  <c r="BW41" i="65"/>
  <c r="BG41" i="65"/>
  <c r="BP41" i="65"/>
  <c r="BX41" i="65"/>
  <c r="CG41" i="65"/>
  <c r="BJ41" i="65"/>
  <c r="CL40" i="66"/>
  <c r="CE40" i="66"/>
  <c r="CN40" i="66"/>
  <c r="CV40" i="66"/>
  <c r="CF40" i="66"/>
  <c r="CO40" i="66"/>
  <c r="CW40" i="66"/>
  <c r="CG40" i="66"/>
  <c r="CP40" i="66"/>
  <c r="CH40" i="66"/>
  <c r="CQ40" i="66"/>
  <c r="CI40" i="66"/>
  <c r="CR40" i="66"/>
  <c r="CJ40" i="66"/>
  <c r="CS40" i="66"/>
  <c r="CK40" i="66"/>
  <c r="CD40" i="66"/>
  <c r="CU40" i="66"/>
  <c r="CM40" i="66"/>
  <c r="CT40" i="66"/>
  <c r="BJ40" i="66"/>
  <c r="BR40" i="66"/>
  <c r="BZ40" i="66"/>
  <c r="BK40" i="66"/>
  <c r="BS40" i="66"/>
  <c r="BL40" i="66"/>
  <c r="BT40" i="66"/>
  <c r="BM40" i="66"/>
  <c r="BU40" i="66"/>
  <c r="BN40" i="66"/>
  <c r="BV40" i="66"/>
  <c r="BG40" i="66"/>
  <c r="BO40" i="66"/>
  <c r="BW40" i="66"/>
  <c r="BH40" i="66"/>
  <c r="BP40" i="66"/>
  <c r="BX40" i="66"/>
  <c r="BI40" i="66"/>
  <c r="BQ40" i="66"/>
  <c r="BY40" i="66"/>
  <c r="CX40" i="65"/>
  <c r="CX40" i="64"/>
  <c r="CX39" i="66"/>
  <c r="F30" i="23"/>
  <c r="G30" i="24" s="1"/>
  <c r="CL41" i="63"/>
  <c r="CJ41" i="63"/>
  <c r="CS41" i="63"/>
  <c r="CK41" i="63"/>
  <c r="CT41" i="63"/>
  <c r="CD41" i="63"/>
  <c r="CM41" i="63"/>
  <c r="CU41" i="63"/>
  <c r="CE41" i="63"/>
  <c r="CN41" i="63"/>
  <c r="CV41" i="63"/>
  <c r="CF41" i="63"/>
  <c r="CO41" i="63"/>
  <c r="CW41" i="63"/>
  <c r="CR41" i="63"/>
  <c r="CG41" i="63"/>
  <c r="CH41" i="63"/>
  <c r="CI41" i="63"/>
  <c r="CP41" i="63"/>
  <c r="CQ41" i="63"/>
  <c r="BG41" i="63"/>
  <c r="BO41" i="63"/>
  <c r="BW41" i="63"/>
  <c r="BH41" i="63"/>
  <c r="BP41" i="63"/>
  <c r="BX41" i="63"/>
  <c r="BI41" i="63"/>
  <c r="BQ41" i="63"/>
  <c r="BY41" i="63"/>
  <c r="BJ41" i="63"/>
  <c r="BR41" i="63"/>
  <c r="BZ41" i="63"/>
  <c r="BS41" i="63"/>
  <c r="BT41" i="63"/>
  <c r="BU41" i="63"/>
  <c r="BV41" i="63"/>
  <c r="BK41" i="63"/>
  <c r="BL41" i="63"/>
  <c r="BM41" i="63"/>
  <c r="BN41" i="63"/>
  <c r="J30" i="23"/>
  <c r="L30" i="24" s="1"/>
  <c r="CL41" i="64"/>
  <c r="CJ41" i="64"/>
  <c r="CS41" i="64"/>
  <c r="CK41" i="64"/>
  <c r="CT41" i="64"/>
  <c r="CF41" i="64"/>
  <c r="CO41" i="64"/>
  <c r="CW41" i="64"/>
  <c r="CG41" i="64"/>
  <c r="CP41" i="64"/>
  <c r="CI41" i="64"/>
  <c r="CR41" i="64"/>
  <c r="CV41" i="64"/>
  <c r="CE41" i="64"/>
  <c r="CH41" i="64"/>
  <c r="CM41" i="64"/>
  <c r="CN41" i="64"/>
  <c r="CQ41" i="64"/>
  <c r="CU41" i="64"/>
  <c r="BN41" i="64"/>
  <c r="BV41" i="64"/>
  <c r="BO41" i="64"/>
  <c r="BW41" i="64"/>
  <c r="BH41" i="64"/>
  <c r="BP41" i="64"/>
  <c r="BX41" i="64"/>
  <c r="BI41" i="64"/>
  <c r="BQ41" i="64"/>
  <c r="BY41" i="64"/>
  <c r="BJ41" i="64"/>
  <c r="BR41" i="64"/>
  <c r="BZ41" i="64"/>
  <c r="BK41" i="64"/>
  <c r="BS41" i="64"/>
  <c r="BL41" i="64"/>
  <c r="BM41" i="64"/>
  <c r="BT41" i="64"/>
  <c r="BU41" i="64"/>
  <c r="BG41" i="64"/>
  <c r="CD41" i="64"/>
  <c r="AB29" i="23"/>
  <c r="E29" i="25" s="1"/>
  <c r="CL41" i="68"/>
  <c r="CI41" i="68"/>
  <c r="CS41" i="68"/>
  <c r="CJ41" i="68"/>
  <c r="CT41" i="68"/>
  <c r="CK41" i="68"/>
  <c r="CU41" i="68"/>
  <c r="CN41" i="68"/>
  <c r="CV41" i="68"/>
  <c r="CD41" i="68"/>
  <c r="CO41" i="68"/>
  <c r="CW41" i="68"/>
  <c r="CE41" i="68"/>
  <c r="CP41" i="68"/>
  <c r="CF41" i="68"/>
  <c r="CQ41" i="68"/>
  <c r="CG41" i="68"/>
  <c r="CR41" i="68"/>
  <c r="BO41" i="68"/>
  <c r="BX41" i="68"/>
  <c r="BG41" i="68"/>
  <c r="BQ41" i="68"/>
  <c r="BY41" i="68"/>
  <c r="BH41" i="68"/>
  <c r="BR41" i="68"/>
  <c r="BZ41" i="68"/>
  <c r="BI41" i="68"/>
  <c r="BS41" i="68"/>
  <c r="BJ41" i="68"/>
  <c r="BT41" i="68"/>
  <c r="BL41" i="68"/>
  <c r="BU41" i="68"/>
  <c r="BM41" i="68"/>
  <c r="BV41" i="68"/>
  <c r="BN41" i="68"/>
  <c r="BW41" i="68"/>
  <c r="BP41" i="68"/>
  <c r="CH41" i="68"/>
  <c r="CM41" i="68"/>
  <c r="BK41" i="68"/>
  <c r="CX40" i="68"/>
  <c r="Z30" i="23"/>
  <c r="B30" i="25" s="1"/>
  <c r="G67" i="68"/>
  <c r="BB42" i="68"/>
  <c r="BA42" i="68"/>
  <c r="N42" i="68" s="1"/>
  <c r="CX42" i="68"/>
  <c r="P42" i="68" s="1"/>
  <c r="CA42" i="68"/>
  <c r="O42" i="68" s="1"/>
  <c r="AH29" i="23"/>
  <c r="L29" i="25" s="1"/>
  <c r="AQ40" i="70"/>
  <c r="AH40" i="70"/>
  <c r="AS40" i="70"/>
  <c r="AI40" i="70"/>
  <c r="AM40" i="70"/>
  <c r="AR40" i="70"/>
  <c r="AW40" i="70"/>
  <c r="AT40" i="70"/>
  <c r="AP40" i="70"/>
  <c r="AV40" i="70"/>
  <c r="AK40" i="70"/>
  <c r="AG40" i="70"/>
  <c r="AN40" i="70"/>
  <c r="AO40" i="70"/>
  <c r="AZ40" i="70"/>
  <c r="AY40" i="70"/>
  <c r="AX40" i="70"/>
  <c r="D40" i="70"/>
  <c r="AL40" i="70"/>
  <c r="AU40" i="70"/>
  <c r="AJ40" i="70"/>
  <c r="AG30" i="23"/>
  <c r="K30" i="25" s="1"/>
  <c r="A42" i="70"/>
  <c r="B41" i="70"/>
  <c r="BA39" i="70"/>
  <c r="N39" i="70" s="1"/>
  <c r="Y39" i="70" s="1"/>
  <c r="BB39" i="70"/>
  <c r="AJ28" i="23"/>
  <c r="O28" i="25"/>
  <c r="A31" i="25"/>
  <c r="BA39" i="67"/>
  <c r="N39" i="67" s="1"/>
  <c r="BB39" i="67"/>
  <c r="U30" i="23"/>
  <c r="Z30" i="24" s="1"/>
  <c r="A42" i="67"/>
  <c r="B41" i="67"/>
  <c r="T29" i="25"/>
  <c r="AN29" i="23"/>
  <c r="AR28" i="23"/>
  <c r="Y28" i="25"/>
  <c r="G73" i="68"/>
  <c r="G77" i="68"/>
  <c r="J29" i="25"/>
  <c r="AF29" i="23"/>
  <c r="AV29" i="23"/>
  <c r="AD29" i="25"/>
  <c r="V29" i="23"/>
  <c r="AA29" i="24" s="1"/>
  <c r="AX40" i="67"/>
  <c r="AQ40" i="67"/>
  <c r="AZ40" i="67"/>
  <c r="AJ40" i="67"/>
  <c r="AT40" i="67"/>
  <c r="AO40" i="67"/>
  <c r="AV40" i="67"/>
  <c r="AH40" i="67"/>
  <c r="AN40" i="67"/>
  <c r="AY40" i="67"/>
  <c r="AS40" i="67"/>
  <c r="AL40" i="67"/>
  <c r="AR40" i="67"/>
  <c r="AP40" i="67"/>
  <c r="AU40" i="67"/>
  <c r="AK40" i="67"/>
  <c r="AW40" i="67"/>
  <c r="AG40" i="67"/>
  <c r="AI40" i="67"/>
  <c r="AM40" i="67"/>
  <c r="D40" i="67"/>
  <c r="X29" i="23" s="1"/>
  <c r="AD29" i="24" s="1"/>
  <c r="BB39" i="66"/>
  <c r="BA39" i="66"/>
  <c r="N39" i="66" s="1"/>
  <c r="R29" i="23"/>
  <c r="V29" i="24" s="1"/>
  <c r="AW40" i="66"/>
  <c r="AH40" i="66"/>
  <c r="AZ40" i="66"/>
  <c r="AV40" i="66"/>
  <c r="AR40" i="66"/>
  <c r="AP40" i="66"/>
  <c r="AN40" i="66"/>
  <c r="AG40" i="66"/>
  <c r="AT40" i="66"/>
  <c r="AX40" i="66"/>
  <c r="AS40" i="66"/>
  <c r="AJ40" i="66"/>
  <c r="AY40" i="66"/>
  <c r="AO40" i="66"/>
  <c r="AU40" i="66"/>
  <c r="AK40" i="66"/>
  <c r="AQ40" i="66"/>
  <c r="AL40" i="66"/>
  <c r="AM40" i="66"/>
  <c r="D40" i="66"/>
  <c r="T29" i="23" s="1"/>
  <c r="Y29" i="24" s="1"/>
  <c r="AI40" i="66"/>
  <c r="Q30" i="23"/>
  <c r="U30" i="24" s="1"/>
  <c r="A42" i="66"/>
  <c r="B41" i="66"/>
  <c r="CA39" i="66"/>
  <c r="O39" i="66" s="1"/>
  <c r="AN41" i="68"/>
  <c r="AV41" i="68"/>
  <c r="AS41" i="68"/>
  <c r="AH41" i="68"/>
  <c r="AO41" i="68"/>
  <c r="AW41" i="68"/>
  <c r="AZ41" i="68"/>
  <c r="AP41" i="68"/>
  <c r="AX41" i="68"/>
  <c r="AR41" i="68"/>
  <c r="AK41" i="68"/>
  <c r="AI41" i="68"/>
  <c r="AQ41" i="68"/>
  <c r="AY41" i="68"/>
  <c r="AJ41" i="68"/>
  <c r="AT41" i="68"/>
  <c r="AG41" i="68"/>
  <c r="AM41" i="68"/>
  <c r="AU41" i="68"/>
  <c r="AL41" i="68"/>
  <c r="G79" i="68"/>
  <c r="G85" i="68"/>
  <c r="G86" i="68"/>
  <c r="G89" i="68"/>
  <c r="G80" i="68"/>
  <c r="G83" i="68"/>
  <c r="G70" i="68"/>
  <c r="G82" i="68"/>
  <c r="G88" i="68"/>
  <c r="G76" i="68"/>
  <c r="G87" i="68"/>
  <c r="G74" i="68"/>
  <c r="G69" i="68"/>
  <c r="G68" i="68"/>
  <c r="G81" i="68"/>
  <c r="G75" i="68"/>
  <c r="G71" i="68"/>
  <c r="BB40" i="68"/>
  <c r="BA40" i="68"/>
  <c r="N40" i="68" s="1"/>
  <c r="CA40" i="68"/>
  <c r="AY41" i="73"/>
  <c r="AQ41" i="73"/>
  <c r="AI41" i="73"/>
  <c r="AX41" i="73"/>
  <c r="AP41" i="73"/>
  <c r="AH41" i="73"/>
  <c r="AV41" i="73"/>
  <c r="AN41" i="73"/>
  <c r="AW41" i="73"/>
  <c r="AK41" i="73"/>
  <c r="AU41" i="73"/>
  <c r="AJ41" i="73"/>
  <c r="AT41" i="73"/>
  <c r="AG41" i="73"/>
  <c r="AS41" i="73"/>
  <c r="AO41" i="73"/>
  <c r="D41" i="73"/>
  <c r="AM41" i="73"/>
  <c r="AZ41" i="73"/>
  <c r="AL41" i="73"/>
  <c r="AR41" i="73"/>
  <c r="A43" i="73"/>
  <c r="AS32" i="23" s="1"/>
  <c r="Z32" i="25" s="1"/>
  <c r="B42" i="73"/>
  <c r="BB40" i="73"/>
  <c r="BA40" i="73"/>
  <c r="N40" i="73" s="1"/>
  <c r="CA40" i="73"/>
  <c r="O40" i="73" s="1"/>
  <c r="A42" i="72"/>
  <c r="AO31" i="23" s="1"/>
  <c r="U31" i="25" s="1"/>
  <c r="B41" i="72"/>
  <c r="CA39" i="72"/>
  <c r="O39" i="72" s="1"/>
  <c r="AY40" i="72"/>
  <c r="AQ40" i="72"/>
  <c r="AI40" i="72"/>
  <c r="AX40" i="72"/>
  <c r="AP40" i="72"/>
  <c r="AH40" i="72"/>
  <c r="AV40" i="72"/>
  <c r="AN40" i="72"/>
  <c r="AZ40" i="72"/>
  <c r="AL40" i="72"/>
  <c r="AW40" i="72"/>
  <c r="AK40" i="72"/>
  <c r="AU40" i="72"/>
  <c r="AJ40" i="72"/>
  <c r="AT40" i="72"/>
  <c r="AG40" i="72"/>
  <c r="AS40" i="72"/>
  <c r="AR40" i="72"/>
  <c r="AO40" i="72"/>
  <c r="D40" i="72"/>
  <c r="AM40" i="72"/>
  <c r="BB39" i="72"/>
  <c r="BA39" i="72"/>
  <c r="N39" i="72" s="1"/>
  <c r="A43" i="71"/>
  <c r="AK32" i="23" s="1"/>
  <c r="P32" i="25" s="1"/>
  <c r="B42" i="71"/>
  <c r="CA40" i="71"/>
  <c r="O40" i="71" s="1"/>
  <c r="BB40" i="71"/>
  <c r="BA40" i="71"/>
  <c r="N40" i="71" s="1"/>
  <c r="AY41" i="71"/>
  <c r="AQ41" i="71"/>
  <c r="AI41" i="71"/>
  <c r="AX41" i="71"/>
  <c r="AP41" i="71"/>
  <c r="AH41" i="71"/>
  <c r="AV41" i="71"/>
  <c r="AN41" i="71"/>
  <c r="AT41" i="71"/>
  <c r="AL41" i="71"/>
  <c r="AR41" i="71"/>
  <c r="AO41" i="71"/>
  <c r="AM41" i="71"/>
  <c r="AK41" i="71"/>
  <c r="AZ41" i="71"/>
  <c r="AJ41" i="71"/>
  <c r="AW41" i="71"/>
  <c r="AG41" i="71"/>
  <c r="AU41" i="71"/>
  <c r="AS41" i="71"/>
  <c r="D41" i="71"/>
  <c r="AY41" i="69"/>
  <c r="AQ41" i="69"/>
  <c r="AI41" i="69"/>
  <c r="AX41" i="69"/>
  <c r="AP41" i="69"/>
  <c r="AH41" i="69"/>
  <c r="AV41" i="69"/>
  <c r="AN41" i="69"/>
  <c r="AM41" i="69"/>
  <c r="AZ41" i="69"/>
  <c r="AL41" i="69"/>
  <c r="AU41" i="69"/>
  <c r="AJ41" i="69"/>
  <c r="AT41" i="69"/>
  <c r="AG41" i="69"/>
  <c r="AS41" i="69"/>
  <c r="AR41" i="69"/>
  <c r="AW41" i="69"/>
  <c r="AO41" i="69"/>
  <c r="AK41" i="69"/>
  <c r="D41" i="69"/>
  <c r="A43" i="69"/>
  <c r="AC32" i="23" s="1"/>
  <c r="F32" i="25" s="1"/>
  <c r="B42" i="69"/>
  <c r="BB40" i="69"/>
  <c r="BA40" i="69"/>
  <c r="N40" i="69" s="1"/>
  <c r="D41" i="68"/>
  <c r="CA40" i="65"/>
  <c r="O40" i="65" s="1"/>
  <c r="AT41" i="65"/>
  <c r="AL41" i="65"/>
  <c r="AS41" i="65"/>
  <c r="AK41" i="65"/>
  <c r="D41" i="65"/>
  <c r="P30" i="23" s="1"/>
  <c r="T30" i="24" s="1"/>
  <c r="AY41" i="65"/>
  <c r="AQ41" i="65"/>
  <c r="AI41" i="65"/>
  <c r="AR41" i="65"/>
  <c r="AP41" i="65"/>
  <c r="AW41" i="65"/>
  <c r="AJ41" i="65"/>
  <c r="AV41" i="65"/>
  <c r="AH41" i="65"/>
  <c r="AU41" i="65"/>
  <c r="AO41" i="65"/>
  <c r="AN41" i="65"/>
  <c r="AM41" i="65"/>
  <c r="AG41" i="65"/>
  <c r="AZ41" i="65"/>
  <c r="AX41" i="65"/>
  <c r="BB40" i="65"/>
  <c r="BA40" i="65"/>
  <c r="N40" i="65" s="1"/>
  <c r="A43" i="65"/>
  <c r="B42" i="65"/>
  <c r="AY41" i="64"/>
  <c r="AQ41" i="64"/>
  <c r="AI41" i="64"/>
  <c r="AX41" i="64"/>
  <c r="AP41" i="64"/>
  <c r="AH41" i="64"/>
  <c r="AV41" i="64"/>
  <c r="AN41" i="64"/>
  <c r="AS41" i="64"/>
  <c r="AR41" i="64"/>
  <c r="AO41" i="64"/>
  <c r="D41" i="64"/>
  <c r="L30" i="23" s="1"/>
  <c r="O30" i="24" s="1"/>
  <c r="AM41" i="64"/>
  <c r="AW41" i="64"/>
  <c r="AK41" i="64"/>
  <c r="AU41" i="64"/>
  <c r="AJ41" i="64"/>
  <c r="AT41" i="64"/>
  <c r="AG41" i="64"/>
  <c r="AZ41" i="64"/>
  <c r="AL41" i="64"/>
  <c r="BB40" i="64"/>
  <c r="BA40" i="64"/>
  <c r="N40" i="64" s="1"/>
  <c r="Y39" i="64" s="1"/>
  <c r="A43" i="64"/>
  <c r="I32" i="23" s="1"/>
  <c r="K32" i="24" s="1"/>
  <c r="B42" i="64"/>
  <c r="AY41" i="63"/>
  <c r="AQ41" i="63"/>
  <c r="AI41" i="63"/>
  <c r="AX41" i="63"/>
  <c r="AP41" i="63"/>
  <c r="AH41" i="63"/>
  <c r="AV41" i="63"/>
  <c r="AN41" i="63"/>
  <c r="AT41" i="63"/>
  <c r="AG41" i="63"/>
  <c r="AS41" i="63"/>
  <c r="AO41" i="63"/>
  <c r="D41" i="63"/>
  <c r="H30" i="23" s="1"/>
  <c r="J30" i="24" s="1"/>
  <c r="AM41" i="63"/>
  <c r="AW41" i="63"/>
  <c r="AK41" i="63"/>
  <c r="AU41" i="63"/>
  <c r="AR41" i="63"/>
  <c r="AL41" i="63"/>
  <c r="AJ41" i="63"/>
  <c r="AZ41" i="63"/>
  <c r="A43" i="63"/>
  <c r="E32" i="23" s="1"/>
  <c r="F32" i="24" s="1"/>
  <c r="B42" i="63"/>
  <c r="BB40" i="63"/>
  <c r="BA40" i="63"/>
  <c r="N40" i="63" s="1"/>
  <c r="Y40" i="63" s="1"/>
  <c r="Q40" i="73" l="1"/>
  <c r="Q42" i="68"/>
  <c r="FN39" i="70"/>
  <c r="FN44" i="70" s="1"/>
  <c r="FL39" i="70"/>
  <c r="FL44" i="70" s="1"/>
  <c r="FN39" i="64"/>
  <c r="FN45" i="64" s="1"/>
  <c r="FL39" i="64"/>
  <c r="FL45" i="64" s="1"/>
  <c r="FN40" i="63"/>
  <c r="FL40" i="63"/>
  <c r="Y45" i="64"/>
  <c r="AL31" i="23"/>
  <c r="Q31" i="25" s="1"/>
  <c r="CL42" i="71"/>
  <c r="CK42" i="71"/>
  <c r="CT42" i="71"/>
  <c r="CD42" i="71"/>
  <c r="CM42" i="71"/>
  <c r="CU42" i="71"/>
  <c r="CE42" i="71"/>
  <c r="CN42" i="71"/>
  <c r="CV42" i="71"/>
  <c r="CH42" i="71"/>
  <c r="CQ42" i="71"/>
  <c r="CP42" i="71"/>
  <c r="CR42" i="71"/>
  <c r="CS42" i="71"/>
  <c r="CF42" i="71"/>
  <c r="CW42" i="71"/>
  <c r="CG42" i="71"/>
  <c r="CI42" i="71"/>
  <c r="CJ42" i="71"/>
  <c r="CO42" i="71"/>
  <c r="BM42" i="71"/>
  <c r="BU42" i="71"/>
  <c r="BN42" i="71"/>
  <c r="BV42" i="71"/>
  <c r="BG42" i="71"/>
  <c r="BO42" i="71"/>
  <c r="BW42" i="71"/>
  <c r="BH42" i="71"/>
  <c r="BP42" i="71"/>
  <c r="BX42" i="71"/>
  <c r="BI42" i="71"/>
  <c r="BQ42" i="71"/>
  <c r="BY42" i="71"/>
  <c r="BK42" i="71"/>
  <c r="BS42" i="71"/>
  <c r="BL42" i="71"/>
  <c r="BT42" i="71"/>
  <c r="BJ42" i="71"/>
  <c r="BR42" i="71"/>
  <c r="BZ42" i="71"/>
  <c r="AT31" i="23"/>
  <c r="AA31" i="25" s="1"/>
  <c r="CL42" i="73"/>
  <c r="CH42" i="73"/>
  <c r="CQ42" i="73"/>
  <c r="CK42" i="73"/>
  <c r="CT42" i="73"/>
  <c r="CE42" i="73"/>
  <c r="CN42" i="73"/>
  <c r="CV42" i="73"/>
  <c r="CG42" i="73"/>
  <c r="CP42" i="73"/>
  <c r="CD42" i="73"/>
  <c r="CU42" i="73"/>
  <c r="CF42" i="73"/>
  <c r="CW42" i="73"/>
  <c r="CI42" i="73"/>
  <c r="CJ42" i="73"/>
  <c r="CM42" i="73"/>
  <c r="CO42" i="73"/>
  <c r="CR42" i="73"/>
  <c r="CS42" i="73"/>
  <c r="BH42" i="73"/>
  <c r="BP42" i="73"/>
  <c r="BX42" i="73"/>
  <c r="BJ42" i="73"/>
  <c r="BR42" i="73"/>
  <c r="BZ42" i="73"/>
  <c r="BK42" i="73"/>
  <c r="BS42" i="73"/>
  <c r="BL42" i="73"/>
  <c r="BT42" i="73"/>
  <c r="BM42" i="73"/>
  <c r="BU42" i="73"/>
  <c r="BN42" i="73"/>
  <c r="BV42" i="73"/>
  <c r="BG42" i="73"/>
  <c r="BO42" i="73"/>
  <c r="BW42" i="73"/>
  <c r="BI42" i="73"/>
  <c r="BQ42" i="73"/>
  <c r="BY42" i="73"/>
  <c r="CX40" i="70"/>
  <c r="AD31" i="23"/>
  <c r="G31" i="25" s="1"/>
  <c r="CL42" i="69"/>
  <c r="CK42" i="69"/>
  <c r="CT42" i="69"/>
  <c r="CD42" i="69"/>
  <c r="CM42" i="69"/>
  <c r="CU42" i="69"/>
  <c r="CE42" i="69"/>
  <c r="CN42" i="69"/>
  <c r="CV42" i="69"/>
  <c r="CH42" i="69"/>
  <c r="CW42" i="69"/>
  <c r="CI42" i="69"/>
  <c r="CJ42" i="69"/>
  <c r="CO42" i="69"/>
  <c r="CP42" i="69"/>
  <c r="CQ42" i="69"/>
  <c r="CR42" i="69"/>
  <c r="CS42" i="69"/>
  <c r="CF42" i="69"/>
  <c r="CG42" i="69"/>
  <c r="BM42" i="69"/>
  <c r="BU42" i="69"/>
  <c r="BN42" i="69"/>
  <c r="BV42" i="69"/>
  <c r="BH42" i="69"/>
  <c r="BP42" i="69"/>
  <c r="BX42" i="69"/>
  <c r="BI42" i="69"/>
  <c r="BQ42" i="69"/>
  <c r="BY42" i="69"/>
  <c r="BJ42" i="69"/>
  <c r="BR42" i="69"/>
  <c r="BZ42" i="69"/>
  <c r="BK42" i="69"/>
  <c r="BS42" i="69"/>
  <c r="BL42" i="69"/>
  <c r="BT42" i="69"/>
  <c r="BG42" i="69"/>
  <c r="BW42" i="69"/>
  <c r="BO42" i="69"/>
  <c r="AP30" i="23"/>
  <c r="V30" i="25" s="1"/>
  <c r="CL41" i="72"/>
  <c r="CG41" i="72"/>
  <c r="CP41" i="72"/>
  <c r="CH41" i="72"/>
  <c r="CQ41" i="72"/>
  <c r="CJ41" i="72"/>
  <c r="CU41" i="72"/>
  <c r="CK41" i="72"/>
  <c r="CV41" i="72"/>
  <c r="CM41" i="72"/>
  <c r="CW41" i="72"/>
  <c r="CN41" i="72"/>
  <c r="CD41" i="72"/>
  <c r="CO41" i="72"/>
  <c r="CE41" i="72"/>
  <c r="CF41" i="72"/>
  <c r="CI41" i="72"/>
  <c r="CR41" i="72"/>
  <c r="CS41" i="72"/>
  <c r="CT41" i="72"/>
  <c r="BK41" i="72"/>
  <c r="BS41" i="72"/>
  <c r="BJ41" i="72"/>
  <c r="BT41" i="72"/>
  <c r="BL41" i="72"/>
  <c r="BU41" i="72"/>
  <c r="BM41" i="72"/>
  <c r="BV41" i="72"/>
  <c r="BN41" i="72"/>
  <c r="BW41" i="72"/>
  <c r="BO41" i="72"/>
  <c r="BX41" i="72"/>
  <c r="BG41" i="72"/>
  <c r="BP41" i="72"/>
  <c r="BY41" i="72"/>
  <c r="BH41" i="72"/>
  <c r="BQ41" i="72"/>
  <c r="BZ41" i="72"/>
  <c r="BI41" i="72"/>
  <c r="BR41" i="72"/>
  <c r="CX41" i="71"/>
  <c r="CX41" i="73"/>
  <c r="P41" i="73" s="1"/>
  <c r="CL41" i="67"/>
  <c r="CG41" i="67"/>
  <c r="CQ41" i="67"/>
  <c r="CK41" i="67"/>
  <c r="CU41" i="67"/>
  <c r="CM41" i="67"/>
  <c r="CV41" i="67"/>
  <c r="CN41" i="67"/>
  <c r="CW41" i="67"/>
  <c r="CO41" i="67"/>
  <c r="CD41" i="67"/>
  <c r="CP41" i="67"/>
  <c r="CR41" i="67"/>
  <c r="CT41" i="67"/>
  <c r="CF41" i="67"/>
  <c r="CH41" i="67"/>
  <c r="CI41" i="67"/>
  <c r="CS41" i="67"/>
  <c r="BJ41" i="67"/>
  <c r="BS41" i="67"/>
  <c r="BY41" i="67"/>
  <c r="BK41" i="67"/>
  <c r="BT41" i="67"/>
  <c r="BG41" i="67"/>
  <c r="BI41" i="67"/>
  <c r="BZ41" i="67"/>
  <c r="BL41" i="67"/>
  <c r="BU41" i="67"/>
  <c r="BN41" i="67"/>
  <c r="BV41" i="67"/>
  <c r="BO41" i="67"/>
  <c r="BW41" i="67"/>
  <c r="BQ41" i="67"/>
  <c r="BP41" i="67"/>
  <c r="BX41" i="67"/>
  <c r="BR41" i="67"/>
  <c r="BH41" i="67"/>
  <c r="CE41" i="67"/>
  <c r="BM41" i="67"/>
  <c r="CJ41" i="67"/>
  <c r="CX40" i="67"/>
  <c r="CX41" i="69"/>
  <c r="CL41" i="70"/>
  <c r="CI41" i="70"/>
  <c r="CR41" i="70"/>
  <c r="CJ41" i="70"/>
  <c r="CS41" i="70"/>
  <c r="CK41" i="70"/>
  <c r="CT41" i="70"/>
  <c r="CM41" i="70"/>
  <c r="CU41" i="70"/>
  <c r="CE41" i="70"/>
  <c r="CN41" i="70"/>
  <c r="CV41" i="70"/>
  <c r="CF41" i="70"/>
  <c r="CO41" i="70"/>
  <c r="CW41" i="70"/>
  <c r="CG41" i="70"/>
  <c r="CP41" i="70"/>
  <c r="CH41" i="70"/>
  <c r="CQ41" i="70"/>
  <c r="BJ41" i="70"/>
  <c r="BS41" i="70"/>
  <c r="BK41" i="70"/>
  <c r="BT41" i="70"/>
  <c r="BN41" i="70"/>
  <c r="BV41" i="70"/>
  <c r="BO41" i="70"/>
  <c r="BW41" i="70"/>
  <c r="BP41" i="70"/>
  <c r="BX41" i="70"/>
  <c r="BH41" i="70"/>
  <c r="BQ41" i="70"/>
  <c r="BY41" i="70"/>
  <c r="BI41" i="70"/>
  <c r="BR41" i="70"/>
  <c r="BZ41" i="70"/>
  <c r="BM41" i="70"/>
  <c r="BU41" i="70"/>
  <c r="BL41" i="70"/>
  <c r="CD41" i="70"/>
  <c r="BG41" i="70"/>
  <c r="CX40" i="72"/>
  <c r="CX41" i="64"/>
  <c r="CX41" i="65"/>
  <c r="CL41" i="66"/>
  <c r="CJ41" i="66"/>
  <c r="CS41" i="66"/>
  <c r="CK41" i="66"/>
  <c r="CT41" i="66"/>
  <c r="CD41" i="66"/>
  <c r="CM41" i="66"/>
  <c r="CU41" i="66"/>
  <c r="CE41" i="66"/>
  <c r="CN41" i="66"/>
  <c r="CV41" i="66"/>
  <c r="CF41" i="66"/>
  <c r="CO41" i="66"/>
  <c r="CW41" i="66"/>
  <c r="CG41" i="66"/>
  <c r="CP41" i="66"/>
  <c r="CH41" i="66"/>
  <c r="CI41" i="66"/>
  <c r="CQ41" i="66"/>
  <c r="CR41" i="66"/>
  <c r="BN41" i="66"/>
  <c r="BV41" i="66"/>
  <c r="BG41" i="66"/>
  <c r="BO41" i="66"/>
  <c r="BW41" i="66"/>
  <c r="BH41" i="66"/>
  <c r="BP41" i="66"/>
  <c r="BX41" i="66"/>
  <c r="BI41" i="66"/>
  <c r="BQ41" i="66"/>
  <c r="BY41" i="66"/>
  <c r="BJ41" i="66"/>
  <c r="BR41" i="66"/>
  <c r="BZ41" i="66"/>
  <c r="BK41" i="66"/>
  <c r="BS41" i="66"/>
  <c r="BL41" i="66"/>
  <c r="BT41" i="66"/>
  <c r="BM41" i="66"/>
  <c r="BU41" i="66"/>
  <c r="J31" i="23"/>
  <c r="L31" i="24" s="1"/>
  <c r="AI42" i="64"/>
  <c r="AJ42" i="64"/>
  <c r="AR42" i="64"/>
  <c r="AZ42" i="64"/>
  <c r="BJ42" i="64"/>
  <c r="BR42" i="64"/>
  <c r="BZ42" i="64"/>
  <c r="CI42" i="64"/>
  <c r="CQ42" i="64"/>
  <c r="AS42" i="64"/>
  <c r="BS42" i="64"/>
  <c r="CR42" i="64"/>
  <c r="AK42" i="64"/>
  <c r="BK42" i="64"/>
  <c r="CJ42" i="64"/>
  <c r="AL42" i="64"/>
  <c r="AT42" i="64"/>
  <c r="BL42" i="64"/>
  <c r="BT42" i="64"/>
  <c r="CK42" i="64"/>
  <c r="CS42" i="64"/>
  <c r="AM42" i="64"/>
  <c r="AU42" i="64"/>
  <c r="BM42" i="64"/>
  <c r="BU42" i="64"/>
  <c r="CD42" i="64"/>
  <c r="CL42" i="64"/>
  <c r="CT42" i="64"/>
  <c r="CV42" i="64"/>
  <c r="AN42" i="64"/>
  <c r="AV42" i="64"/>
  <c r="BN42" i="64"/>
  <c r="BV42" i="64"/>
  <c r="CE42" i="64"/>
  <c r="CM42" i="64"/>
  <c r="CU42" i="64"/>
  <c r="AG42" i="64"/>
  <c r="AO42" i="64"/>
  <c r="AW42" i="64"/>
  <c r="BG42" i="64"/>
  <c r="BO42" i="64"/>
  <c r="BW42" i="64"/>
  <c r="CN42" i="64"/>
  <c r="CF42" i="64"/>
  <c r="AH42" i="64"/>
  <c r="AP42" i="64"/>
  <c r="AX42" i="64"/>
  <c r="BH42" i="64"/>
  <c r="BP42" i="64"/>
  <c r="BX42" i="64"/>
  <c r="CG42" i="64"/>
  <c r="CO42" i="64"/>
  <c r="CW42" i="64"/>
  <c r="AQ42" i="64"/>
  <c r="AY42" i="64"/>
  <c r="BI42" i="64"/>
  <c r="BQ42" i="64"/>
  <c r="BY42" i="64"/>
  <c r="CH42" i="64"/>
  <c r="CP42" i="64"/>
  <c r="CX40" i="66"/>
  <c r="F31" i="23"/>
  <c r="G31" i="24" s="1"/>
  <c r="CL42" i="63"/>
  <c r="CG42" i="63"/>
  <c r="CP42" i="63"/>
  <c r="CH42" i="63"/>
  <c r="CQ42" i="63"/>
  <c r="CI42" i="63"/>
  <c r="CR42" i="63"/>
  <c r="CJ42" i="63"/>
  <c r="CS42" i="63"/>
  <c r="CK42" i="63"/>
  <c r="CT42" i="63"/>
  <c r="CV42" i="63"/>
  <c r="CD42" i="63"/>
  <c r="CW42" i="63"/>
  <c r="CE42" i="63"/>
  <c r="CF42" i="63"/>
  <c r="CM42" i="63"/>
  <c r="CN42" i="63"/>
  <c r="CO42" i="63"/>
  <c r="CU42" i="63"/>
  <c r="BK42" i="63"/>
  <c r="BS42" i="63"/>
  <c r="BL42" i="63"/>
  <c r="BT42" i="63"/>
  <c r="BM42" i="63"/>
  <c r="BU42" i="63"/>
  <c r="BN42" i="63"/>
  <c r="BV42" i="63"/>
  <c r="BO42" i="63"/>
  <c r="BP42" i="63"/>
  <c r="BQ42" i="63"/>
  <c r="BR42" i="63"/>
  <c r="BG42" i="63"/>
  <c r="BW42" i="63"/>
  <c r="BH42" i="63"/>
  <c r="BX42" i="63"/>
  <c r="BI42" i="63"/>
  <c r="BY42" i="63"/>
  <c r="BJ42" i="63"/>
  <c r="BZ42" i="63"/>
  <c r="N31" i="23"/>
  <c r="Q31" i="24" s="1"/>
  <c r="CL42" i="65"/>
  <c r="CE42" i="65"/>
  <c r="CO42" i="65"/>
  <c r="CW42" i="65"/>
  <c r="CF42" i="65"/>
  <c r="CP42" i="65"/>
  <c r="CG42" i="65"/>
  <c r="CQ42" i="65"/>
  <c r="CI42" i="65"/>
  <c r="CR42" i="65"/>
  <c r="CJ42" i="65"/>
  <c r="CS42" i="65"/>
  <c r="CK42" i="65"/>
  <c r="CT42" i="65"/>
  <c r="CD42" i="65"/>
  <c r="CM42" i="65"/>
  <c r="CN42" i="65"/>
  <c r="CU42" i="65"/>
  <c r="CV42" i="65"/>
  <c r="BN42" i="65"/>
  <c r="BV42" i="65"/>
  <c r="BO42" i="65"/>
  <c r="BW42" i="65"/>
  <c r="BG42" i="65"/>
  <c r="BP42" i="65"/>
  <c r="BX42" i="65"/>
  <c r="BH42" i="65"/>
  <c r="BQ42" i="65"/>
  <c r="BY42" i="65"/>
  <c r="BI42" i="65"/>
  <c r="BR42" i="65"/>
  <c r="BZ42" i="65"/>
  <c r="BJ42" i="65"/>
  <c r="BS42" i="65"/>
  <c r="BL42" i="65"/>
  <c r="BT42" i="65"/>
  <c r="BM42" i="65"/>
  <c r="BU42" i="65"/>
  <c r="BK42" i="65"/>
  <c r="CH42" i="65"/>
  <c r="CX41" i="63"/>
  <c r="Y44" i="70"/>
  <c r="AB30" i="23"/>
  <c r="E30" i="25" s="1"/>
  <c r="CX41" i="68"/>
  <c r="AJ29" i="23"/>
  <c r="O29" i="25"/>
  <c r="AH30" i="23"/>
  <c r="L30" i="25" s="1"/>
  <c r="AS41" i="70"/>
  <c r="AY41" i="70"/>
  <c r="AX41" i="70"/>
  <c r="AV41" i="70"/>
  <c r="AK41" i="70"/>
  <c r="AQ41" i="70"/>
  <c r="AM41" i="70"/>
  <c r="AH41" i="70"/>
  <c r="AR41" i="70"/>
  <c r="AT41" i="70"/>
  <c r="D41" i="70"/>
  <c r="AI41" i="70"/>
  <c r="AL41" i="70"/>
  <c r="AP41" i="70"/>
  <c r="AZ41" i="70"/>
  <c r="AW41" i="70"/>
  <c r="AN41" i="70"/>
  <c r="AJ41" i="70"/>
  <c r="AU41" i="70"/>
  <c r="AG41" i="70"/>
  <c r="AO41" i="70"/>
  <c r="AG31" i="23"/>
  <c r="K31" i="25" s="1"/>
  <c r="B42" i="70"/>
  <c r="A43" i="70"/>
  <c r="BB40" i="70"/>
  <c r="BA40" i="70"/>
  <c r="N40" i="70" s="1"/>
  <c r="B31" i="25"/>
  <c r="E31" i="25"/>
  <c r="J30" i="25"/>
  <c r="AF30" i="23"/>
  <c r="BA40" i="67"/>
  <c r="N40" i="67" s="1"/>
  <c r="BB40" i="67"/>
  <c r="V30" i="23"/>
  <c r="AA30" i="24" s="1"/>
  <c r="AN41" i="67"/>
  <c r="AZ41" i="67"/>
  <c r="AX41" i="67"/>
  <c r="AL41" i="67"/>
  <c r="AU41" i="67"/>
  <c r="AQ41" i="67"/>
  <c r="AG41" i="67"/>
  <c r="AY41" i="67"/>
  <c r="AP41" i="67"/>
  <c r="AR41" i="67"/>
  <c r="AJ41" i="67"/>
  <c r="AH41" i="67"/>
  <c r="AM41" i="67"/>
  <c r="AT41" i="67"/>
  <c r="AI41" i="67"/>
  <c r="AW41" i="67"/>
  <c r="AO41" i="67"/>
  <c r="AK41" i="67"/>
  <c r="AV41" i="67"/>
  <c r="AS41" i="67"/>
  <c r="D41" i="67"/>
  <c r="X30" i="23" s="1"/>
  <c r="AD30" i="24" s="1"/>
  <c r="AV30" i="23"/>
  <c r="AD30" i="25"/>
  <c r="U31" i="23"/>
  <c r="Z31" i="24" s="1"/>
  <c r="B42" i="67"/>
  <c r="A43" i="67"/>
  <c r="AR29" i="23"/>
  <c r="Y29" i="25"/>
  <c r="AN30" i="23"/>
  <c r="T30" i="25"/>
  <c r="CA40" i="66"/>
  <c r="O40" i="66" s="1"/>
  <c r="R30" i="23"/>
  <c r="V30" i="24" s="1"/>
  <c r="AI41" i="66"/>
  <c r="AW41" i="66"/>
  <c r="AK41" i="66"/>
  <c r="AO41" i="66"/>
  <c r="AG41" i="66"/>
  <c r="AR41" i="66"/>
  <c r="AJ41" i="66"/>
  <c r="AV41" i="66"/>
  <c r="AZ41" i="66"/>
  <c r="AU41" i="66"/>
  <c r="AN41" i="66"/>
  <c r="AL41" i="66"/>
  <c r="AX41" i="66"/>
  <c r="D41" i="66"/>
  <c r="T30" i="23" s="1"/>
  <c r="Y30" i="24" s="1"/>
  <c r="AM41" i="66"/>
  <c r="AY41" i="66"/>
  <c r="AP41" i="66"/>
  <c r="AT41" i="66"/>
  <c r="AQ41" i="66"/>
  <c r="AH41" i="66"/>
  <c r="AS41" i="66"/>
  <c r="Q31" i="23"/>
  <c r="U31" i="24" s="1"/>
  <c r="B42" i="66"/>
  <c r="A43" i="66"/>
  <c r="A44" i="66" s="1"/>
  <c r="B44" i="66" s="1"/>
  <c r="BB40" i="66"/>
  <c r="BA40" i="66"/>
  <c r="N40" i="66" s="1"/>
  <c r="B43" i="65"/>
  <c r="M32" i="23"/>
  <c r="P32" i="24" s="1"/>
  <c r="BA41" i="68"/>
  <c r="N41" i="68" s="1"/>
  <c r="BB41" i="68"/>
  <c r="CA41" i="68"/>
  <c r="G82" i="65"/>
  <c r="G86" i="65"/>
  <c r="G71" i="65"/>
  <c r="G77" i="65"/>
  <c r="G75" i="65"/>
  <c r="G80" i="65"/>
  <c r="G90" i="65"/>
  <c r="G74" i="65"/>
  <c r="G83" i="65"/>
  <c r="G72" i="65"/>
  <c r="G89" i="65"/>
  <c r="G76" i="65"/>
  <c r="G68" i="65"/>
  <c r="G88" i="65"/>
  <c r="G87" i="65"/>
  <c r="G84" i="65"/>
  <c r="G69" i="65"/>
  <c r="G81" i="65"/>
  <c r="G70" i="65"/>
  <c r="G78" i="65"/>
  <c r="CA41" i="73"/>
  <c r="O41" i="73" s="1"/>
  <c r="AT42" i="73"/>
  <c r="AL42" i="73"/>
  <c r="AS42" i="73"/>
  <c r="AK42" i="73"/>
  <c r="D42" i="73"/>
  <c r="AY42" i="73"/>
  <c r="AQ42" i="73"/>
  <c r="AI42" i="73"/>
  <c r="AR42" i="73"/>
  <c r="AP42" i="73"/>
  <c r="AO42" i="73"/>
  <c r="AZ42" i="73"/>
  <c r="AN42" i="73"/>
  <c r="AW42" i="73"/>
  <c r="AJ42" i="73"/>
  <c r="AV42" i="73"/>
  <c r="AH42" i="73"/>
  <c r="AU42" i="73"/>
  <c r="AG42" i="73"/>
  <c r="AX42" i="73"/>
  <c r="AM42" i="73"/>
  <c r="A44" i="73"/>
  <c r="B43" i="73"/>
  <c r="BB41" i="73"/>
  <c r="BA41" i="73"/>
  <c r="N41" i="73" s="1"/>
  <c r="BB40" i="72"/>
  <c r="BA40" i="72"/>
  <c r="N40" i="72" s="1"/>
  <c r="CA40" i="72"/>
  <c r="O40" i="72" s="1"/>
  <c r="AT41" i="72"/>
  <c r="AL41" i="72"/>
  <c r="AS41" i="72"/>
  <c r="AK41" i="72"/>
  <c r="D41" i="72"/>
  <c r="AY41" i="72"/>
  <c r="AQ41" i="72"/>
  <c r="AI41" i="72"/>
  <c r="AU41" i="72"/>
  <c r="AG41" i="72"/>
  <c r="AR41" i="72"/>
  <c r="AP41" i="72"/>
  <c r="AO41" i="72"/>
  <c r="AZ41" i="72"/>
  <c r="AN41" i="72"/>
  <c r="AX41" i="72"/>
  <c r="AM41" i="72"/>
  <c r="AW41" i="72"/>
  <c r="AJ41" i="72"/>
  <c r="AV41" i="72"/>
  <c r="AH41" i="72"/>
  <c r="A43" i="72"/>
  <c r="B42" i="72"/>
  <c r="BB41" i="71"/>
  <c r="BA41" i="71"/>
  <c r="N41" i="71" s="1"/>
  <c r="CA41" i="71"/>
  <c r="O41" i="71" s="1"/>
  <c r="AT42" i="71"/>
  <c r="AL42" i="71"/>
  <c r="AS42" i="71"/>
  <c r="AK42" i="71"/>
  <c r="D42" i="71"/>
  <c r="AY42" i="71"/>
  <c r="AQ42" i="71"/>
  <c r="AI42" i="71"/>
  <c r="AW42" i="71"/>
  <c r="AO42" i="71"/>
  <c r="AG42" i="71"/>
  <c r="AN42" i="71"/>
  <c r="AM42" i="71"/>
  <c r="AZ42" i="71"/>
  <c r="AJ42" i="71"/>
  <c r="AX42" i="71"/>
  <c r="AH42" i="71"/>
  <c r="AV42" i="71"/>
  <c r="AU42" i="71"/>
  <c r="AR42" i="71"/>
  <c r="AP42" i="71"/>
  <c r="A44" i="71"/>
  <c r="B43" i="71"/>
  <c r="AT42" i="69"/>
  <c r="AL42" i="69"/>
  <c r="AS42" i="69"/>
  <c r="AK42" i="69"/>
  <c r="D42" i="69"/>
  <c r="AY42" i="69"/>
  <c r="AQ42" i="69"/>
  <c r="AI42" i="69"/>
  <c r="AV42" i="69"/>
  <c r="AH42" i="69"/>
  <c r="AU42" i="69"/>
  <c r="AG42" i="69"/>
  <c r="AP42" i="69"/>
  <c r="AO42" i="69"/>
  <c r="AZ42" i="69"/>
  <c r="AN42" i="69"/>
  <c r="AX42" i="69"/>
  <c r="AM42" i="69"/>
  <c r="AW42" i="69"/>
  <c r="AR42" i="69"/>
  <c r="AJ42" i="69"/>
  <c r="A44" i="69"/>
  <c r="B43" i="69"/>
  <c r="BB41" i="69"/>
  <c r="BA41" i="69"/>
  <c r="N41" i="69" s="1"/>
  <c r="AZ43" i="65"/>
  <c r="AR43" i="65"/>
  <c r="AJ43" i="65"/>
  <c r="AY43" i="65"/>
  <c r="AQ43" i="65"/>
  <c r="AI43" i="65"/>
  <c r="AW43" i="65"/>
  <c r="AO43" i="65"/>
  <c r="AG43" i="65"/>
  <c r="AX43" i="65"/>
  <c r="AL43" i="65"/>
  <c r="AV43" i="65"/>
  <c r="AK43" i="65"/>
  <c r="AP43" i="65"/>
  <c r="D43" i="65"/>
  <c r="P32" i="23" s="1"/>
  <c r="T32" i="24" s="1"/>
  <c r="AN43" i="65"/>
  <c r="AS43" i="65"/>
  <c r="AM43" i="65"/>
  <c r="AH43" i="65"/>
  <c r="AU43" i="65"/>
  <c r="AT43" i="65"/>
  <c r="BB41" i="65"/>
  <c r="BA41" i="65"/>
  <c r="N41" i="65" s="1"/>
  <c r="AW42" i="65"/>
  <c r="AO42" i="65"/>
  <c r="AG42" i="65"/>
  <c r="AV42" i="65"/>
  <c r="AN42" i="65"/>
  <c r="AT42" i="65"/>
  <c r="AL42" i="65"/>
  <c r="AR42" i="65"/>
  <c r="D42" i="65"/>
  <c r="P31" i="23" s="1"/>
  <c r="T31" i="24" s="1"/>
  <c r="AQ42" i="65"/>
  <c r="AX42" i="65"/>
  <c r="AJ42" i="65"/>
  <c r="AU42" i="65"/>
  <c r="AI42" i="65"/>
  <c r="AK42" i="65"/>
  <c r="AH42" i="65"/>
  <c r="AZ42" i="65"/>
  <c r="AY42" i="65"/>
  <c r="AS42" i="65"/>
  <c r="AP42" i="65"/>
  <c r="AM42" i="65"/>
  <c r="A44" i="64"/>
  <c r="B43" i="64"/>
  <c r="D42" i="64"/>
  <c r="L31" i="23" s="1"/>
  <c r="O31" i="24" s="1"/>
  <c r="BB41" i="64"/>
  <c r="BA41" i="64"/>
  <c r="N41" i="64" s="1"/>
  <c r="AT42" i="63"/>
  <c r="AL42" i="63"/>
  <c r="AS42" i="63"/>
  <c r="AK42" i="63"/>
  <c r="D42" i="63"/>
  <c r="H31" i="23" s="1"/>
  <c r="J31" i="24" s="1"/>
  <c r="AY42" i="63"/>
  <c r="AQ42" i="63"/>
  <c r="AI42" i="63"/>
  <c r="AO42" i="63"/>
  <c r="AZ42" i="63"/>
  <c r="AN42" i="63"/>
  <c r="AW42" i="63"/>
  <c r="AJ42" i="63"/>
  <c r="AV42" i="63"/>
  <c r="AH42" i="63"/>
  <c r="AR42" i="63"/>
  <c r="AX42" i="63"/>
  <c r="AU42" i="63"/>
  <c r="AP42" i="63"/>
  <c r="AM42" i="63"/>
  <c r="AG42" i="63"/>
  <c r="B43" i="63"/>
  <c r="BB41" i="63"/>
  <c r="BA41" i="63"/>
  <c r="N41" i="63" s="1"/>
  <c r="Y41" i="63" s="1"/>
  <c r="Q41" i="73" l="1"/>
  <c r="CT44" i="66"/>
  <c r="CO44" i="66"/>
  <c r="BZ44" i="66"/>
  <c r="BV44" i="66"/>
  <c r="BQ44" i="66"/>
  <c r="CU44" i="66"/>
  <c r="BW44" i="66"/>
  <c r="BT44" i="66"/>
  <c r="BM44" i="66"/>
  <c r="CF44" i="66"/>
  <c r="D44" i="66"/>
  <c r="CD44" i="66"/>
  <c r="CW44" i="66"/>
  <c r="BK44" i="66"/>
  <c r="BG44" i="66"/>
  <c r="BY44" i="66"/>
  <c r="CP44" i="66"/>
  <c r="CE44" i="66"/>
  <c r="BH44" i="66"/>
  <c r="BU44" i="66"/>
  <c r="BN44" i="66"/>
  <c r="CL44" i="66"/>
  <c r="CM44" i="66"/>
  <c r="CH44" i="66"/>
  <c r="BS44" i="66"/>
  <c r="BO44" i="66"/>
  <c r="BL44" i="66"/>
  <c r="CQ44" i="66"/>
  <c r="CG44" i="66"/>
  <c r="BX44" i="66"/>
  <c r="BI44" i="66"/>
  <c r="CI44" i="66"/>
  <c r="CR44" i="66"/>
  <c r="CJ44" i="66"/>
  <c r="CN44" i="66"/>
  <c r="BP44" i="66"/>
  <c r="CS44" i="66"/>
  <c r="CV44" i="66"/>
  <c r="BJ44" i="66"/>
  <c r="CK44" i="66"/>
  <c r="BR44" i="66"/>
  <c r="FN41" i="63"/>
  <c r="FN44" i="63" s="1"/>
  <c r="FL41" i="63"/>
  <c r="FL44" i="63" s="1"/>
  <c r="Y44" i="63"/>
  <c r="CX42" i="64"/>
  <c r="BB42" i="64"/>
  <c r="CX41" i="70"/>
  <c r="CX42" i="69"/>
  <c r="AT32" i="23"/>
  <c r="AA32" i="25" s="1"/>
  <c r="CL43" i="73"/>
  <c r="CE43" i="73"/>
  <c r="CN43" i="73"/>
  <c r="CV43" i="73"/>
  <c r="CH43" i="73"/>
  <c r="CJ43" i="73"/>
  <c r="CS43" i="73"/>
  <c r="CD43" i="73"/>
  <c r="CM43" i="73"/>
  <c r="CU43" i="73"/>
  <c r="CQ43" i="73"/>
  <c r="CR43" i="73"/>
  <c r="CF43" i="73"/>
  <c r="CT43" i="73"/>
  <c r="CG43" i="73"/>
  <c r="CI43" i="73"/>
  <c r="CK43" i="73"/>
  <c r="CO43" i="73"/>
  <c r="CP43" i="73"/>
  <c r="CW43" i="73"/>
  <c r="BL43" i="73"/>
  <c r="BT43" i="73"/>
  <c r="BN43" i="73"/>
  <c r="BV43" i="73"/>
  <c r="BG43" i="73"/>
  <c r="BO43" i="73"/>
  <c r="BW43" i="73"/>
  <c r="BH43" i="73"/>
  <c r="BP43" i="73"/>
  <c r="BX43" i="73"/>
  <c r="BI43" i="73"/>
  <c r="BQ43" i="73"/>
  <c r="BY43" i="73"/>
  <c r="BJ43" i="73"/>
  <c r="BR43" i="73"/>
  <c r="BZ43" i="73"/>
  <c r="BK43" i="73"/>
  <c r="BS43" i="73"/>
  <c r="BM43" i="73"/>
  <c r="BU43" i="73"/>
  <c r="CX42" i="73"/>
  <c r="P42" i="73" s="1"/>
  <c r="CX42" i="71"/>
  <c r="CL42" i="70"/>
  <c r="CG42" i="70"/>
  <c r="CQ42" i="70"/>
  <c r="CH42" i="70"/>
  <c r="CR42" i="70"/>
  <c r="CI42" i="70"/>
  <c r="CS42" i="70"/>
  <c r="CK42" i="70"/>
  <c r="CT42" i="70"/>
  <c r="CM42" i="70"/>
  <c r="CU42" i="70"/>
  <c r="CN42" i="70"/>
  <c r="CV42" i="70"/>
  <c r="CD42" i="70"/>
  <c r="CO42" i="70"/>
  <c r="CW42" i="70"/>
  <c r="CF42" i="70"/>
  <c r="CP42" i="70"/>
  <c r="BG42" i="70"/>
  <c r="BQ42" i="70"/>
  <c r="BY42" i="70"/>
  <c r="BI42" i="70"/>
  <c r="BR42" i="70"/>
  <c r="BZ42" i="70"/>
  <c r="BK42" i="70"/>
  <c r="BT42" i="70"/>
  <c r="BL42" i="70"/>
  <c r="BU42" i="70"/>
  <c r="BN42" i="70"/>
  <c r="BV42" i="70"/>
  <c r="BO42" i="70"/>
  <c r="BW42" i="70"/>
  <c r="BP42" i="70"/>
  <c r="BX42" i="70"/>
  <c r="BJ42" i="70"/>
  <c r="BS42" i="70"/>
  <c r="BH42" i="70"/>
  <c r="BM42" i="70"/>
  <c r="CJ42" i="70"/>
  <c r="CE42" i="70"/>
  <c r="CL43" i="71"/>
  <c r="CH43" i="71"/>
  <c r="CQ43" i="71"/>
  <c r="CI43" i="71"/>
  <c r="CR43" i="71"/>
  <c r="CJ43" i="71"/>
  <c r="CS43" i="71"/>
  <c r="CE43" i="71"/>
  <c r="CN43" i="71"/>
  <c r="CV43" i="71"/>
  <c r="CM43" i="71"/>
  <c r="CO43" i="71"/>
  <c r="CP43" i="71"/>
  <c r="CT43" i="71"/>
  <c r="CD43" i="71"/>
  <c r="CU43" i="71"/>
  <c r="CF43" i="71"/>
  <c r="CW43" i="71"/>
  <c r="CG43" i="71"/>
  <c r="CK43" i="71"/>
  <c r="BI43" i="71"/>
  <c r="BQ43" i="71"/>
  <c r="BY43" i="71"/>
  <c r="BJ43" i="71"/>
  <c r="BR43" i="71"/>
  <c r="BZ43" i="71"/>
  <c r="BK43" i="71"/>
  <c r="BS43" i="71"/>
  <c r="BL43" i="71"/>
  <c r="BT43" i="71"/>
  <c r="BM43" i="71"/>
  <c r="BU43" i="71"/>
  <c r="BG43" i="71"/>
  <c r="BO43" i="71"/>
  <c r="BW43" i="71"/>
  <c r="BH43" i="71"/>
  <c r="BP43" i="71"/>
  <c r="BX43" i="71"/>
  <c r="BV43" i="71"/>
  <c r="BN43" i="71"/>
  <c r="CX41" i="67"/>
  <c r="CX41" i="72"/>
  <c r="CL43" i="69"/>
  <c r="CH43" i="69"/>
  <c r="CQ43" i="69"/>
  <c r="CI43" i="69"/>
  <c r="CR43" i="69"/>
  <c r="CJ43" i="69"/>
  <c r="CS43" i="69"/>
  <c r="CO43" i="69"/>
  <c r="CD43" i="69"/>
  <c r="CP43" i="69"/>
  <c r="CE43" i="69"/>
  <c r="CT43" i="69"/>
  <c r="CF43" i="69"/>
  <c r="CU43" i="69"/>
  <c r="CG43" i="69"/>
  <c r="CV43" i="69"/>
  <c r="CK43" i="69"/>
  <c r="CW43" i="69"/>
  <c r="CM43" i="69"/>
  <c r="CN43" i="69"/>
  <c r="BI43" i="69"/>
  <c r="BQ43" i="69"/>
  <c r="BY43" i="69"/>
  <c r="BJ43" i="69"/>
  <c r="BR43" i="69"/>
  <c r="BZ43" i="69"/>
  <c r="BL43" i="69"/>
  <c r="BT43" i="69"/>
  <c r="BM43" i="69"/>
  <c r="BU43" i="69"/>
  <c r="BN43" i="69"/>
  <c r="BV43" i="69"/>
  <c r="BG43" i="69"/>
  <c r="BO43" i="69"/>
  <c r="BW43" i="69"/>
  <c r="BH43" i="69"/>
  <c r="BP43" i="69"/>
  <c r="BX43" i="69"/>
  <c r="BS43" i="69"/>
  <c r="BK43" i="69"/>
  <c r="AP31" i="23"/>
  <c r="V31" i="25" s="1"/>
  <c r="CL42" i="72"/>
  <c r="CD42" i="72"/>
  <c r="CM42" i="72"/>
  <c r="CU42" i="72"/>
  <c r="CE42" i="72"/>
  <c r="CN42" i="72"/>
  <c r="CV42" i="72"/>
  <c r="CK42" i="72"/>
  <c r="CO42" i="72"/>
  <c r="CP42" i="72"/>
  <c r="CF42" i="72"/>
  <c r="CQ42" i="72"/>
  <c r="CG42" i="72"/>
  <c r="CR42" i="72"/>
  <c r="CI42" i="72"/>
  <c r="CJ42" i="72"/>
  <c r="CS42" i="72"/>
  <c r="CT42" i="72"/>
  <c r="CW42" i="72"/>
  <c r="CH42" i="72"/>
  <c r="BG42" i="72"/>
  <c r="BI42" i="72"/>
  <c r="BQ42" i="72"/>
  <c r="BY42" i="72"/>
  <c r="BJ42" i="72"/>
  <c r="BR42" i="72"/>
  <c r="BZ42" i="72"/>
  <c r="BK42" i="72"/>
  <c r="BS42" i="72"/>
  <c r="BL42" i="72"/>
  <c r="BT42" i="72"/>
  <c r="BM42" i="72"/>
  <c r="BU42" i="72"/>
  <c r="BN42" i="72"/>
  <c r="BV42" i="72"/>
  <c r="BO42" i="72"/>
  <c r="BW42" i="72"/>
  <c r="BH42" i="72"/>
  <c r="BP42" i="72"/>
  <c r="BX42" i="72"/>
  <c r="CL42" i="67"/>
  <c r="CE42" i="67"/>
  <c r="CP42" i="67"/>
  <c r="CM42" i="67"/>
  <c r="CV42" i="67"/>
  <c r="CN42" i="67"/>
  <c r="CW42" i="67"/>
  <c r="CO42" i="67"/>
  <c r="CD42" i="67"/>
  <c r="CQ42" i="67"/>
  <c r="CG42" i="67"/>
  <c r="CR42" i="67"/>
  <c r="CU42" i="67"/>
  <c r="CH42" i="67"/>
  <c r="CI42" i="67"/>
  <c r="CJ42" i="67"/>
  <c r="CS42" i="67"/>
  <c r="CT42" i="67"/>
  <c r="BG42" i="67"/>
  <c r="BQ42" i="67"/>
  <c r="BY42" i="67"/>
  <c r="BH42" i="67"/>
  <c r="BZ42" i="67"/>
  <c r="BR42" i="67"/>
  <c r="BO42" i="67"/>
  <c r="BX42" i="67"/>
  <c r="BJ42" i="67"/>
  <c r="BS42" i="67"/>
  <c r="BK42" i="67"/>
  <c r="BT42" i="67"/>
  <c r="BL42" i="67"/>
  <c r="BU42" i="67"/>
  <c r="BW42" i="67"/>
  <c r="BM42" i="67"/>
  <c r="BV42" i="67"/>
  <c r="BP42" i="67"/>
  <c r="CF42" i="67"/>
  <c r="BI42" i="67"/>
  <c r="BN42" i="67"/>
  <c r="CK42" i="67"/>
  <c r="BA42" i="64"/>
  <c r="N42" i="64" s="1"/>
  <c r="CX41" i="66"/>
  <c r="F32" i="23"/>
  <c r="G32" i="24" s="1"/>
  <c r="CL43" i="63"/>
  <c r="CE43" i="63"/>
  <c r="CN43" i="63"/>
  <c r="CV43" i="63"/>
  <c r="CF43" i="63"/>
  <c r="CO43" i="63"/>
  <c r="CW43" i="63"/>
  <c r="CG43" i="63"/>
  <c r="CP43" i="63"/>
  <c r="CH43" i="63"/>
  <c r="CQ43" i="63"/>
  <c r="CI43" i="63"/>
  <c r="CR43" i="63"/>
  <c r="CJ43" i="63"/>
  <c r="CK43" i="63"/>
  <c r="CM43" i="63"/>
  <c r="CS43" i="63"/>
  <c r="CT43" i="63"/>
  <c r="CU43" i="63"/>
  <c r="BH43" i="63"/>
  <c r="BP43" i="63"/>
  <c r="BX43" i="63"/>
  <c r="BI43" i="63"/>
  <c r="BQ43" i="63"/>
  <c r="BY43" i="63"/>
  <c r="BJ43" i="63"/>
  <c r="BR43" i="63"/>
  <c r="BZ43" i="63"/>
  <c r="BK43" i="63"/>
  <c r="BS43" i="63"/>
  <c r="BL43" i="63"/>
  <c r="BM43" i="63"/>
  <c r="BW43" i="63"/>
  <c r="BN43" i="63"/>
  <c r="BO43" i="63"/>
  <c r="BT43" i="63"/>
  <c r="BU43" i="63"/>
  <c r="BV43" i="63"/>
  <c r="BG43" i="63"/>
  <c r="CD43" i="63"/>
  <c r="J32" i="23"/>
  <c r="L32" i="24" s="1"/>
  <c r="AN43" i="64"/>
  <c r="AV43" i="64"/>
  <c r="BN43" i="64"/>
  <c r="BV43" i="64"/>
  <c r="CE43" i="64"/>
  <c r="CM43" i="64"/>
  <c r="CU43" i="64"/>
  <c r="AG43" i="64"/>
  <c r="AO43" i="64"/>
  <c r="AW43" i="64"/>
  <c r="BG43" i="64"/>
  <c r="BO43" i="64"/>
  <c r="CF43" i="64"/>
  <c r="CN43" i="64"/>
  <c r="BW43" i="64"/>
  <c r="CV43" i="64"/>
  <c r="AH43" i="64"/>
  <c r="AP43" i="64"/>
  <c r="AX43" i="64"/>
  <c r="BH43" i="64"/>
  <c r="BP43" i="64"/>
  <c r="BX43" i="64"/>
  <c r="CG43" i="64"/>
  <c r="CO43" i="64"/>
  <c r="CW43" i="64"/>
  <c r="AI43" i="64"/>
  <c r="AQ43" i="64"/>
  <c r="AY43" i="64"/>
  <c r="BI43" i="64"/>
  <c r="BQ43" i="64"/>
  <c r="BY43" i="64"/>
  <c r="CH43" i="64"/>
  <c r="CP43" i="64"/>
  <c r="AJ43" i="64"/>
  <c r="AR43" i="64"/>
  <c r="AZ43" i="64"/>
  <c r="BJ43" i="64"/>
  <c r="BR43" i="64"/>
  <c r="BZ43" i="64"/>
  <c r="CI43" i="64"/>
  <c r="CQ43" i="64"/>
  <c r="AK43" i="64"/>
  <c r="AS43" i="64"/>
  <c r="BK43" i="64"/>
  <c r="BS43" i="64"/>
  <c r="CJ43" i="64"/>
  <c r="CR43" i="64"/>
  <c r="AL43" i="64"/>
  <c r="AT43" i="64"/>
  <c r="BL43" i="64"/>
  <c r="BT43" i="64"/>
  <c r="CK43" i="64"/>
  <c r="CS43" i="64"/>
  <c r="AM43" i="64"/>
  <c r="AU43" i="64"/>
  <c r="BM43" i="64"/>
  <c r="BU43" i="64"/>
  <c r="CD43" i="64"/>
  <c r="CL43" i="64"/>
  <c r="CT43" i="64"/>
  <c r="CX42" i="63"/>
  <c r="CL42" i="66"/>
  <c r="CG42" i="66"/>
  <c r="CP42" i="66"/>
  <c r="CH42" i="66"/>
  <c r="CQ42" i="66"/>
  <c r="CI42" i="66"/>
  <c r="CR42" i="66"/>
  <c r="CJ42" i="66"/>
  <c r="CS42" i="66"/>
  <c r="CK42" i="66"/>
  <c r="CT42" i="66"/>
  <c r="CD42" i="66"/>
  <c r="CM42" i="66"/>
  <c r="CU42" i="66"/>
  <c r="CO42" i="66"/>
  <c r="CV42" i="66"/>
  <c r="CW42" i="66"/>
  <c r="CE42" i="66"/>
  <c r="CF42" i="66"/>
  <c r="CN42" i="66"/>
  <c r="BJ42" i="66"/>
  <c r="BR42" i="66"/>
  <c r="BZ42" i="66"/>
  <c r="BK42" i="66"/>
  <c r="BS42" i="66"/>
  <c r="BL42" i="66"/>
  <c r="BT42" i="66"/>
  <c r="BM42" i="66"/>
  <c r="BU42" i="66"/>
  <c r="BN42" i="66"/>
  <c r="BV42" i="66"/>
  <c r="BG42" i="66"/>
  <c r="BO42" i="66"/>
  <c r="BW42" i="66"/>
  <c r="BH42" i="66"/>
  <c r="BP42" i="66"/>
  <c r="BX42" i="66"/>
  <c r="BI42" i="66"/>
  <c r="BQ42" i="66"/>
  <c r="BY42" i="66"/>
  <c r="CA42" i="64"/>
  <c r="O42" i="64" s="1"/>
  <c r="N32" i="23"/>
  <c r="Q32" i="24" s="1"/>
  <c r="CL43" i="65"/>
  <c r="CK43" i="65"/>
  <c r="CT43" i="65"/>
  <c r="CD43" i="65"/>
  <c r="CM43" i="65"/>
  <c r="CU43" i="65"/>
  <c r="CE43" i="65"/>
  <c r="CN43" i="65"/>
  <c r="CV43" i="65"/>
  <c r="CF43" i="65"/>
  <c r="CO43" i="65"/>
  <c r="CW43" i="65"/>
  <c r="CG43" i="65"/>
  <c r="CP43" i="65"/>
  <c r="CH43" i="65"/>
  <c r="CQ43" i="65"/>
  <c r="CR43" i="65"/>
  <c r="CS43" i="65"/>
  <c r="CI43" i="65"/>
  <c r="CJ43" i="65"/>
  <c r="BJ43" i="65"/>
  <c r="BR43" i="65"/>
  <c r="BZ43" i="65"/>
  <c r="BK43" i="65"/>
  <c r="BS43" i="65"/>
  <c r="BL43" i="65"/>
  <c r="BT43" i="65"/>
  <c r="BM43" i="65"/>
  <c r="BU43" i="65"/>
  <c r="BN43" i="65"/>
  <c r="BV43" i="65"/>
  <c r="BG43" i="65"/>
  <c r="BO43" i="65"/>
  <c r="BW43" i="65"/>
  <c r="BH43" i="65"/>
  <c r="BP43" i="65"/>
  <c r="BX43" i="65"/>
  <c r="BI43" i="65"/>
  <c r="BQ43" i="65"/>
  <c r="BY43" i="65"/>
  <c r="CX42" i="65"/>
  <c r="N43" i="68"/>
  <c r="I50" i="68" s="1"/>
  <c r="I52" i="68" s="1"/>
  <c r="Y41" i="68"/>
  <c r="F16" i="50"/>
  <c r="F47" i="50" s="1"/>
  <c r="B44" i="73"/>
  <c r="AS33" i="23"/>
  <c r="Z33" i="25" s="1"/>
  <c r="B43" i="72"/>
  <c r="AO32" i="23"/>
  <c r="U32" i="25" s="1"/>
  <c r="B44" i="71"/>
  <c r="AK33" i="23"/>
  <c r="P33" i="25" s="1"/>
  <c r="O30" i="25"/>
  <c r="AJ30" i="23"/>
  <c r="B43" i="70"/>
  <c r="G75" i="70" s="1"/>
  <c r="AG32" i="23"/>
  <c r="K32" i="25" s="1"/>
  <c r="AH31" i="23"/>
  <c r="L31" i="25" s="1"/>
  <c r="G82" i="70"/>
  <c r="G89" i="70"/>
  <c r="AW42" i="70"/>
  <c r="AM42" i="70"/>
  <c r="AX42" i="70"/>
  <c r="G69" i="70"/>
  <c r="G77" i="70"/>
  <c r="G90" i="70"/>
  <c r="AO42" i="70"/>
  <c r="AU42" i="70"/>
  <c r="G78" i="70"/>
  <c r="G72" i="70"/>
  <c r="G86" i="70"/>
  <c r="AY42" i="70"/>
  <c r="AG42" i="70"/>
  <c r="AK42" i="70"/>
  <c r="G81" i="70"/>
  <c r="G76" i="70"/>
  <c r="G84" i="70"/>
  <c r="AQ42" i="70"/>
  <c r="G68" i="70"/>
  <c r="G80" i="70"/>
  <c r="AI42" i="70"/>
  <c r="AZ42" i="70"/>
  <c r="AS42" i="70"/>
  <c r="AH42" i="70"/>
  <c r="G87" i="70"/>
  <c r="G88" i="70"/>
  <c r="G74" i="70"/>
  <c r="AT42" i="70"/>
  <c r="AR42" i="70"/>
  <c r="AP42" i="70"/>
  <c r="G83" i="70"/>
  <c r="G70" i="70"/>
  <c r="G71" i="70"/>
  <c r="AV42" i="70"/>
  <c r="AL42" i="70"/>
  <c r="AJ42" i="70"/>
  <c r="D42" i="70"/>
  <c r="AN42" i="70"/>
  <c r="BB41" i="70"/>
  <c r="BA41" i="70"/>
  <c r="N41" i="70" s="1"/>
  <c r="B44" i="69"/>
  <c r="G89" i="69" s="1"/>
  <c r="AC33" i="23"/>
  <c r="F33" i="25" s="1"/>
  <c r="J31" i="25"/>
  <c r="AF31" i="23"/>
  <c r="AD31" i="25"/>
  <c r="AV31" i="23"/>
  <c r="AD32" i="23"/>
  <c r="G32" i="25" s="1"/>
  <c r="AL32" i="23"/>
  <c r="Q32" i="25" s="1"/>
  <c r="AN31" i="23"/>
  <c r="T31" i="25"/>
  <c r="U32" i="23"/>
  <c r="Z32" i="24" s="1"/>
  <c r="A44" i="67"/>
  <c r="B43" i="67"/>
  <c r="BA41" i="67"/>
  <c r="N41" i="67" s="1"/>
  <c r="BB41" i="67"/>
  <c r="V31" i="23"/>
  <c r="AA31" i="24" s="1"/>
  <c r="AN42" i="67"/>
  <c r="AP42" i="67"/>
  <c r="D42" i="67"/>
  <c r="X31" i="23" s="1"/>
  <c r="AD31" i="24" s="1"/>
  <c r="AY42" i="67"/>
  <c r="AT42" i="67"/>
  <c r="AK42" i="67"/>
  <c r="AQ42" i="67"/>
  <c r="AU42" i="67"/>
  <c r="AI42" i="67"/>
  <c r="AX42" i="67"/>
  <c r="AG42" i="67"/>
  <c r="AM42" i="67"/>
  <c r="AO42" i="67"/>
  <c r="AV42" i="67"/>
  <c r="AH42" i="67"/>
  <c r="AZ42" i="67"/>
  <c r="AS42" i="67"/>
  <c r="AW42" i="67"/>
  <c r="AJ42" i="67"/>
  <c r="AL42" i="67"/>
  <c r="AR42" i="67"/>
  <c r="CA41" i="67"/>
  <c r="O41" i="67" s="1"/>
  <c r="AR30" i="23"/>
  <c r="Y30" i="25"/>
  <c r="Q32" i="23"/>
  <c r="U32" i="24" s="1"/>
  <c r="B43" i="66"/>
  <c r="CA41" i="66"/>
  <c r="O41" i="66" s="1"/>
  <c r="R31" i="23"/>
  <c r="V31" i="24" s="1"/>
  <c r="AG42" i="66"/>
  <c r="AP42" i="66"/>
  <c r="AZ42" i="66"/>
  <c r="AN42" i="66"/>
  <c r="AV42" i="66"/>
  <c r="AH42" i="66"/>
  <c r="AO42" i="66"/>
  <c r="AR42" i="66"/>
  <c r="AS42" i="66"/>
  <c r="AY42" i="66"/>
  <c r="AX42" i="66"/>
  <c r="AJ42" i="66"/>
  <c r="AT42" i="66"/>
  <c r="AK42" i="66"/>
  <c r="AQ42" i="66"/>
  <c r="AM42" i="66"/>
  <c r="AW42" i="66"/>
  <c r="AL42" i="66"/>
  <c r="D42" i="66"/>
  <c r="T31" i="23" s="1"/>
  <c r="Y31" i="24" s="1"/>
  <c r="AI42" i="66"/>
  <c r="AU42" i="66"/>
  <c r="BB41" i="66"/>
  <c r="BA41" i="66"/>
  <c r="N41" i="66" s="1"/>
  <c r="B44" i="64"/>
  <c r="G73" i="64" s="1"/>
  <c r="I33" i="23"/>
  <c r="K33" i="24" s="1"/>
  <c r="G87" i="73"/>
  <c r="G90" i="68"/>
  <c r="G91" i="65"/>
  <c r="G87" i="64"/>
  <c r="G82" i="64"/>
  <c r="G90" i="64"/>
  <c r="G79" i="64"/>
  <c r="G82" i="63"/>
  <c r="G89" i="63"/>
  <c r="G90" i="63"/>
  <c r="G69" i="63"/>
  <c r="G83" i="63"/>
  <c r="G70" i="63"/>
  <c r="G74" i="63"/>
  <c r="G71" i="63"/>
  <c r="G77" i="63"/>
  <c r="G76" i="63"/>
  <c r="G68" i="63"/>
  <c r="G81" i="63"/>
  <c r="G75" i="63"/>
  <c r="G87" i="63"/>
  <c r="G86" i="63"/>
  <c r="G88" i="63"/>
  <c r="G84" i="63"/>
  <c r="G80" i="63"/>
  <c r="G72" i="63"/>
  <c r="G78" i="63"/>
  <c r="G79" i="73"/>
  <c r="G91" i="73"/>
  <c r="G83" i="73"/>
  <c r="G82" i="73"/>
  <c r="G89" i="73"/>
  <c r="G72" i="73"/>
  <c r="G88" i="73"/>
  <c r="G84" i="73"/>
  <c r="G75" i="73"/>
  <c r="G69" i="73"/>
  <c r="G70" i="73"/>
  <c r="G90" i="73"/>
  <c r="G81" i="73"/>
  <c r="G77" i="73"/>
  <c r="G71" i="73"/>
  <c r="G76" i="73"/>
  <c r="G85" i="73"/>
  <c r="G78" i="73"/>
  <c r="G73" i="73"/>
  <c r="G88" i="72"/>
  <c r="G87" i="72"/>
  <c r="G70" i="72"/>
  <c r="G77" i="72"/>
  <c r="G76" i="72"/>
  <c r="G82" i="72"/>
  <c r="G86" i="72"/>
  <c r="G72" i="72"/>
  <c r="G81" i="72"/>
  <c r="G68" i="72"/>
  <c r="G75" i="72"/>
  <c r="G74" i="72"/>
  <c r="G83" i="72"/>
  <c r="G71" i="72"/>
  <c r="G89" i="72"/>
  <c r="G84" i="72"/>
  <c r="G90" i="72"/>
  <c r="G80" i="72"/>
  <c r="G78" i="72"/>
  <c r="G69" i="72"/>
  <c r="G72" i="69"/>
  <c r="G91" i="69"/>
  <c r="G82" i="69"/>
  <c r="G78" i="69"/>
  <c r="G87" i="69"/>
  <c r="G70" i="71"/>
  <c r="G85" i="71"/>
  <c r="G88" i="71"/>
  <c r="G76" i="71"/>
  <c r="G77" i="71"/>
  <c r="G79" i="71"/>
  <c r="G78" i="71"/>
  <c r="G73" i="71"/>
  <c r="G90" i="71"/>
  <c r="G89" i="71"/>
  <c r="G87" i="71"/>
  <c r="G71" i="71"/>
  <c r="G82" i="71"/>
  <c r="G72" i="71"/>
  <c r="G81" i="71"/>
  <c r="G91" i="71"/>
  <c r="G75" i="71"/>
  <c r="G69" i="71"/>
  <c r="G84" i="71"/>
  <c r="G83" i="71"/>
  <c r="BB42" i="73"/>
  <c r="BA42" i="73"/>
  <c r="N42" i="73" s="1"/>
  <c r="AW43" i="73"/>
  <c r="AO43" i="73"/>
  <c r="AG43" i="73"/>
  <c r="AV43" i="73"/>
  <c r="AN43" i="73"/>
  <c r="AT43" i="73"/>
  <c r="AL43" i="73"/>
  <c r="AR43" i="73"/>
  <c r="D43" i="73"/>
  <c r="AQ43" i="73"/>
  <c r="AP43" i="73"/>
  <c r="AZ43" i="73"/>
  <c r="AM43" i="73"/>
  <c r="AX43" i="73"/>
  <c r="AJ43" i="73"/>
  <c r="AU43" i="73"/>
  <c r="AI43" i="73"/>
  <c r="AS43" i="73"/>
  <c r="AH43" i="73"/>
  <c r="AY43" i="73"/>
  <c r="AK43" i="73"/>
  <c r="CA42" i="73"/>
  <c r="O42" i="73" s="1"/>
  <c r="AZ44" i="73"/>
  <c r="AR44" i="73"/>
  <c r="AJ44" i="73"/>
  <c r="AY44" i="73"/>
  <c r="AQ44" i="73"/>
  <c r="AI44" i="73"/>
  <c r="AW44" i="73"/>
  <c r="AO44" i="73"/>
  <c r="AG44" i="73"/>
  <c r="AX44" i="73"/>
  <c r="AL44" i="73"/>
  <c r="AV44" i="73"/>
  <c r="AK44" i="73"/>
  <c r="AU44" i="73"/>
  <c r="AH44" i="73"/>
  <c r="AT44" i="73"/>
  <c r="AP44" i="73"/>
  <c r="D44" i="73"/>
  <c r="AN44" i="73"/>
  <c r="AM44" i="73"/>
  <c r="AS44" i="73"/>
  <c r="AW42" i="72"/>
  <c r="AO42" i="72"/>
  <c r="AG42" i="72"/>
  <c r="AV42" i="72"/>
  <c r="AN42" i="72"/>
  <c r="AT42" i="72"/>
  <c r="AL42" i="72"/>
  <c r="AS42" i="72"/>
  <c r="AH42" i="72"/>
  <c r="AR42" i="72"/>
  <c r="D42" i="72"/>
  <c r="AQ42" i="72"/>
  <c r="AP42" i="72"/>
  <c r="AZ42" i="72"/>
  <c r="AM42" i="72"/>
  <c r="AY42" i="72"/>
  <c r="AK42" i="72"/>
  <c r="AX42" i="72"/>
  <c r="AJ42" i="72"/>
  <c r="AU42" i="72"/>
  <c r="AI42" i="72"/>
  <c r="BB41" i="72"/>
  <c r="BA41" i="72"/>
  <c r="N41" i="72" s="1"/>
  <c r="Y41" i="72" s="1"/>
  <c r="CA41" i="72"/>
  <c r="O41" i="72" s="1"/>
  <c r="AZ43" i="72"/>
  <c r="AR43" i="72"/>
  <c r="AJ43" i="72"/>
  <c r="AY43" i="72"/>
  <c r="AQ43" i="72"/>
  <c r="AI43" i="72"/>
  <c r="AW43" i="72"/>
  <c r="AO43" i="72"/>
  <c r="AG43" i="72"/>
  <c r="AM43" i="72"/>
  <c r="AX43" i="72"/>
  <c r="AL43" i="72"/>
  <c r="AV43" i="72"/>
  <c r="AK43" i="72"/>
  <c r="AU43" i="72"/>
  <c r="AH43" i="72"/>
  <c r="AT43" i="72"/>
  <c r="AS43" i="72"/>
  <c r="AP43" i="72"/>
  <c r="D43" i="72"/>
  <c r="AN43" i="72"/>
  <c r="AY43" i="71"/>
  <c r="AQ43" i="71"/>
  <c r="AI43" i="71"/>
  <c r="AW43" i="71"/>
  <c r="AO43" i="71"/>
  <c r="AG43" i="71"/>
  <c r="AV43" i="71"/>
  <c r="AN43" i="71"/>
  <c r="AT43" i="71"/>
  <c r="AL43" i="71"/>
  <c r="AZ43" i="71"/>
  <c r="AR43" i="71"/>
  <c r="AJ43" i="71"/>
  <c r="AS43" i="71"/>
  <c r="AP43" i="71"/>
  <c r="AM43" i="71"/>
  <c r="AK43" i="71"/>
  <c r="AH43" i="71"/>
  <c r="D43" i="71"/>
  <c r="AX43" i="71"/>
  <c r="AU43" i="71"/>
  <c r="CA42" i="71"/>
  <c r="O42" i="71" s="1"/>
  <c r="AT44" i="71"/>
  <c r="AL44" i="71"/>
  <c r="AZ44" i="71"/>
  <c r="AR44" i="71"/>
  <c r="AJ44" i="71"/>
  <c r="AY44" i="71"/>
  <c r="AQ44" i="71"/>
  <c r="AI44" i="71"/>
  <c r="AW44" i="71"/>
  <c r="AO44" i="71"/>
  <c r="AG44" i="71"/>
  <c r="AU44" i="71"/>
  <c r="AM44" i="71"/>
  <c r="AP44" i="71"/>
  <c r="AN44" i="71"/>
  <c r="AK44" i="71"/>
  <c r="AH44" i="71"/>
  <c r="D44" i="71"/>
  <c r="AX44" i="71"/>
  <c r="AV44" i="71"/>
  <c r="AS44" i="71"/>
  <c r="BB42" i="71"/>
  <c r="BA42" i="71"/>
  <c r="N42" i="71" s="1"/>
  <c r="AW43" i="69"/>
  <c r="AO43" i="69"/>
  <c r="AG43" i="69"/>
  <c r="AV43" i="69"/>
  <c r="AN43" i="69"/>
  <c r="AT43" i="69"/>
  <c r="AL43" i="69"/>
  <c r="AU43" i="69"/>
  <c r="AI43" i="69"/>
  <c r="AS43" i="69"/>
  <c r="AH43" i="69"/>
  <c r="AQ43" i="69"/>
  <c r="AP43" i="69"/>
  <c r="AZ43" i="69"/>
  <c r="AM43" i="69"/>
  <c r="AY43" i="69"/>
  <c r="AK43" i="69"/>
  <c r="AX43" i="69"/>
  <c r="AR43" i="69"/>
  <c r="AJ43" i="69"/>
  <c r="D43" i="69"/>
  <c r="AT44" i="69"/>
  <c r="AL44" i="69"/>
  <c r="AZ44" i="69"/>
  <c r="AR44" i="69"/>
  <c r="AJ44" i="69"/>
  <c r="AY44" i="69"/>
  <c r="AQ44" i="69"/>
  <c r="AI44" i="69"/>
  <c r="AW44" i="69"/>
  <c r="AO44" i="69"/>
  <c r="AG44" i="69"/>
  <c r="AP44" i="69"/>
  <c r="AN44" i="69"/>
  <c r="AK44" i="69"/>
  <c r="AX44" i="69"/>
  <c r="AH44" i="69"/>
  <c r="AV44" i="69"/>
  <c r="AU44" i="69"/>
  <c r="AS44" i="69"/>
  <c r="AM44" i="69"/>
  <c r="D44" i="69"/>
  <c r="BB42" i="69"/>
  <c r="BA42" i="69"/>
  <c r="N42" i="69" s="1"/>
  <c r="BB42" i="65"/>
  <c r="BA42" i="65"/>
  <c r="N42" i="65" s="1"/>
  <c r="BB43" i="65"/>
  <c r="BA43" i="65"/>
  <c r="D43" i="64"/>
  <c r="L32" i="23" s="1"/>
  <c r="O32" i="24" s="1"/>
  <c r="D44" i="64"/>
  <c r="L33" i="23" s="1"/>
  <c r="O33" i="24" s="1"/>
  <c r="AW43" i="63"/>
  <c r="AO43" i="63"/>
  <c r="AG43" i="63"/>
  <c r="AV43" i="63"/>
  <c r="AN43" i="63"/>
  <c r="AT43" i="63"/>
  <c r="AL43" i="63"/>
  <c r="AP43" i="63"/>
  <c r="AZ43" i="63"/>
  <c r="AM43" i="63"/>
  <c r="AY43" i="63"/>
  <c r="AK43" i="63"/>
  <c r="AX43" i="63"/>
  <c r="AJ43" i="63"/>
  <c r="AU43" i="63"/>
  <c r="AI43" i="63"/>
  <c r="AR43" i="63"/>
  <c r="D43" i="63"/>
  <c r="AH43" i="63"/>
  <c r="AS43" i="63"/>
  <c r="AQ43" i="63"/>
  <c r="BB42" i="63"/>
  <c r="BA42" i="63"/>
  <c r="N42" i="63" s="1"/>
  <c r="G76" i="69" l="1"/>
  <c r="G85" i="69"/>
  <c r="G83" i="69"/>
  <c r="G79" i="69"/>
  <c r="G81" i="69"/>
  <c r="G88" i="69"/>
  <c r="G84" i="69"/>
  <c r="G73" i="69"/>
  <c r="G75" i="69"/>
  <c r="G90" i="69"/>
  <c r="G69" i="69"/>
  <c r="G77" i="69"/>
  <c r="G70" i="69"/>
  <c r="G71" i="69"/>
  <c r="Q42" i="73"/>
  <c r="CX44" i="66"/>
  <c r="FN41" i="72"/>
  <c r="FN44" i="72" s="1"/>
  <c r="FL41" i="72"/>
  <c r="FL44" i="72" s="1"/>
  <c r="Y44" i="72"/>
  <c r="FN41" i="68"/>
  <c r="FN44" i="68" s="1"/>
  <c r="FL41" i="68"/>
  <c r="FL44" i="68" s="1"/>
  <c r="G76" i="64"/>
  <c r="G88" i="64"/>
  <c r="G84" i="64"/>
  <c r="G72" i="64"/>
  <c r="G75" i="64"/>
  <c r="G83" i="64"/>
  <c r="G71" i="64"/>
  <c r="G81" i="64"/>
  <c r="G91" i="64"/>
  <c r="G78" i="64"/>
  <c r="CX43" i="63"/>
  <c r="G85" i="64"/>
  <c r="G89" i="64"/>
  <c r="G69" i="64"/>
  <c r="G70" i="64"/>
  <c r="G77" i="64"/>
  <c r="F13" i="50"/>
  <c r="F38" i="50" s="1"/>
  <c r="F11" i="50"/>
  <c r="F30" i="50" s="1"/>
  <c r="AD33" i="23"/>
  <c r="G33" i="25" s="1"/>
  <c r="CL44" i="69"/>
  <c r="CF44" i="69"/>
  <c r="CO44" i="69"/>
  <c r="CW44" i="69"/>
  <c r="CG44" i="69"/>
  <c r="CP44" i="69"/>
  <c r="CH44" i="69"/>
  <c r="CQ44" i="69"/>
  <c r="CJ44" i="69"/>
  <c r="CV44" i="69"/>
  <c r="CK44" i="69"/>
  <c r="CM44" i="69"/>
  <c r="CN44" i="69"/>
  <c r="CR44" i="69"/>
  <c r="CS44" i="69"/>
  <c r="CE44" i="69"/>
  <c r="CT44" i="69"/>
  <c r="CI44" i="69"/>
  <c r="CU44" i="69"/>
  <c r="BO44" i="69"/>
  <c r="BW44" i="69"/>
  <c r="BP44" i="69"/>
  <c r="BX44" i="69"/>
  <c r="BI44" i="69"/>
  <c r="BR44" i="69"/>
  <c r="BZ44" i="69"/>
  <c r="BJ44" i="69"/>
  <c r="BS44" i="69"/>
  <c r="BK44" i="69"/>
  <c r="BT44" i="69"/>
  <c r="BM44" i="69"/>
  <c r="BU44" i="69"/>
  <c r="BN44" i="69"/>
  <c r="BV44" i="69"/>
  <c r="BH44" i="69"/>
  <c r="BQ44" i="69"/>
  <c r="BY44" i="69"/>
  <c r="BL44" i="69"/>
  <c r="CD44" i="69"/>
  <c r="BG44" i="69"/>
  <c r="CX43" i="69"/>
  <c r="CL44" i="71"/>
  <c r="CE44" i="71"/>
  <c r="CN44" i="71"/>
  <c r="CV44" i="71"/>
  <c r="CF44" i="71"/>
  <c r="CO44" i="71"/>
  <c r="CW44" i="71"/>
  <c r="CG44" i="71"/>
  <c r="CP44" i="71"/>
  <c r="CJ44" i="71"/>
  <c r="CS44" i="71"/>
  <c r="CI44" i="71"/>
  <c r="CK44" i="71"/>
  <c r="CM44" i="71"/>
  <c r="CQ44" i="71"/>
  <c r="CR44" i="71"/>
  <c r="CT44" i="71"/>
  <c r="CD44" i="71"/>
  <c r="CU44" i="71"/>
  <c r="CH44" i="71"/>
  <c r="BM44" i="71"/>
  <c r="BU44" i="71"/>
  <c r="BN44" i="71"/>
  <c r="BV44" i="71"/>
  <c r="BG44" i="71"/>
  <c r="BO44" i="71"/>
  <c r="BW44" i="71"/>
  <c r="BH44" i="71"/>
  <c r="BP44" i="71"/>
  <c r="BX44" i="71"/>
  <c r="BI44" i="71"/>
  <c r="BQ44" i="71"/>
  <c r="BY44" i="71"/>
  <c r="BK44" i="71"/>
  <c r="BS44" i="71"/>
  <c r="BL44" i="71"/>
  <c r="BT44" i="71"/>
  <c r="BJ44" i="71"/>
  <c r="BZ44" i="71"/>
  <c r="BR44" i="71"/>
  <c r="CD43" i="67"/>
  <c r="CN43" i="67"/>
  <c r="CV43" i="67"/>
  <c r="CM43" i="67"/>
  <c r="CW43" i="67"/>
  <c r="CO43" i="67"/>
  <c r="CE43" i="67"/>
  <c r="CP43" i="67"/>
  <c r="CF43" i="67"/>
  <c r="CQ43" i="67"/>
  <c r="CH43" i="67"/>
  <c r="CR43" i="67"/>
  <c r="CJ43" i="67"/>
  <c r="CK43" i="67"/>
  <c r="CS43" i="67"/>
  <c r="CT43" i="67"/>
  <c r="CU43" i="67"/>
  <c r="CI43" i="67"/>
  <c r="BN43" i="67"/>
  <c r="BW43" i="67"/>
  <c r="BX43" i="67"/>
  <c r="BY43" i="67"/>
  <c r="BL43" i="67"/>
  <c r="BP43" i="67"/>
  <c r="BS43" i="67"/>
  <c r="BU43" i="67"/>
  <c r="BM43" i="67"/>
  <c r="BG43" i="67"/>
  <c r="BQ43" i="67"/>
  <c r="BH43" i="67"/>
  <c r="BR43" i="67"/>
  <c r="BZ43" i="67"/>
  <c r="BI43" i="67"/>
  <c r="BK43" i="67"/>
  <c r="BT43" i="67"/>
  <c r="BV43" i="67"/>
  <c r="CL43" i="67"/>
  <c r="BO43" i="67"/>
  <c r="CG43" i="67"/>
  <c r="BJ43" i="67"/>
  <c r="AP32" i="23"/>
  <c r="V32" i="25" s="1"/>
  <c r="CL43" i="72"/>
  <c r="CI43" i="72"/>
  <c r="CR43" i="72"/>
  <c r="CJ43" i="72"/>
  <c r="CS43" i="72"/>
  <c r="CD43" i="72"/>
  <c r="CO43" i="72"/>
  <c r="CE43" i="72"/>
  <c r="CP43" i="72"/>
  <c r="CF43" i="72"/>
  <c r="CQ43" i="72"/>
  <c r="CG43" i="72"/>
  <c r="CH43" i="72"/>
  <c r="CT43" i="72"/>
  <c r="CU43" i="72"/>
  <c r="CV43" i="72"/>
  <c r="CW43" i="72"/>
  <c r="CK43" i="72"/>
  <c r="CM43" i="72"/>
  <c r="CN43" i="72"/>
  <c r="BM43" i="72"/>
  <c r="BU43" i="72"/>
  <c r="BN43" i="72"/>
  <c r="BV43" i="72"/>
  <c r="BG43" i="72"/>
  <c r="BO43" i="72"/>
  <c r="BW43" i="72"/>
  <c r="BH43" i="72"/>
  <c r="BP43" i="72"/>
  <c r="BX43" i="72"/>
  <c r="BI43" i="72"/>
  <c r="BQ43" i="72"/>
  <c r="BY43" i="72"/>
  <c r="BJ43" i="72"/>
  <c r="BR43" i="72"/>
  <c r="BZ43" i="72"/>
  <c r="BK43" i="72"/>
  <c r="BS43" i="72"/>
  <c r="BL43" i="72"/>
  <c r="BT43" i="72"/>
  <c r="CX43" i="71"/>
  <c r="CX42" i="70"/>
  <c r="CX43" i="73"/>
  <c r="P43" i="73" s="1"/>
  <c r="CL43" i="70"/>
  <c r="CE43" i="70"/>
  <c r="CP43" i="70"/>
  <c r="CG43" i="70"/>
  <c r="CQ43" i="70"/>
  <c r="CH43" i="70"/>
  <c r="CR43" i="70"/>
  <c r="CI43" i="70"/>
  <c r="CS43" i="70"/>
  <c r="CJ43" i="70"/>
  <c r="CT43" i="70"/>
  <c r="CM43" i="70"/>
  <c r="CU43" i="70"/>
  <c r="CN43" i="70"/>
  <c r="CV43" i="70"/>
  <c r="CD43" i="70"/>
  <c r="CO43" i="70"/>
  <c r="CW43" i="70"/>
  <c r="BO43" i="70"/>
  <c r="BW43" i="70"/>
  <c r="BP43" i="70"/>
  <c r="BX43" i="70"/>
  <c r="BH43" i="70"/>
  <c r="BR43" i="70"/>
  <c r="BZ43" i="70"/>
  <c r="BJ43" i="70"/>
  <c r="BS43" i="70"/>
  <c r="BK43" i="70"/>
  <c r="BT43" i="70"/>
  <c r="BL43" i="70"/>
  <c r="BU43" i="70"/>
  <c r="BM43" i="70"/>
  <c r="BV43" i="70"/>
  <c r="BG43" i="70"/>
  <c r="BQ43" i="70"/>
  <c r="BY43" i="70"/>
  <c r="BN43" i="70"/>
  <c r="BI43" i="70"/>
  <c r="CF43" i="70"/>
  <c r="CK43" i="70"/>
  <c r="AT33" i="23"/>
  <c r="AA33" i="25" s="1"/>
  <c r="CL44" i="73"/>
  <c r="CD44" i="73"/>
  <c r="CM44" i="73"/>
  <c r="CU44" i="73"/>
  <c r="CE44" i="73"/>
  <c r="CN44" i="73"/>
  <c r="CV44" i="73"/>
  <c r="CF44" i="73"/>
  <c r="CO44" i="73"/>
  <c r="CW44" i="73"/>
  <c r="CG44" i="73"/>
  <c r="CP44" i="73"/>
  <c r="CH44" i="73"/>
  <c r="CQ44" i="73"/>
  <c r="CI44" i="73"/>
  <c r="CR44" i="73"/>
  <c r="CJ44" i="73"/>
  <c r="CS44" i="73"/>
  <c r="CK44" i="73"/>
  <c r="CT44" i="73"/>
  <c r="BH44" i="73"/>
  <c r="BP44" i="73"/>
  <c r="BX44" i="73"/>
  <c r="BJ44" i="73"/>
  <c r="BR44" i="73"/>
  <c r="BZ44" i="73"/>
  <c r="BK44" i="73"/>
  <c r="BS44" i="73"/>
  <c r="BL44" i="73"/>
  <c r="BT44" i="73"/>
  <c r="BM44" i="73"/>
  <c r="BU44" i="73"/>
  <c r="BN44" i="73"/>
  <c r="BV44" i="73"/>
  <c r="BG44" i="73"/>
  <c r="BO44" i="73"/>
  <c r="BW44" i="73"/>
  <c r="BQ44" i="73"/>
  <c r="BY44" i="73"/>
  <c r="BI44" i="73"/>
  <c r="CX42" i="72"/>
  <c r="CX42" i="67"/>
  <c r="CX43" i="65"/>
  <c r="CA43" i="64"/>
  <c r="O43" i="64" s="1"/>
  <c r="CX42" i="66"/>
  <c r="CX43" i="64"/>
  <c r="BB43" i="64"/>
  <c r="BA43" i="64"/>
  <c r="N43" i="64" s="1"/>
  <c r="J33" i="23"/>
  <c r="L33" i="24" s="1"/>
  <c r="AJ44" i="64"/>
  <c r="AR44" i="64"/>
  <c r="AZ44" i="64"/>
  <c r="BI44" i="64"/>
  <c r="BQ44" i="64"/>
  <c r="BY44" i="64"/>
  <c r="CH44" i="64"/>
  <c r="CP44" i="64"/>
  <c r="AK44" i="64"/>
  <c r="AS44" i="64"/>
  <c r="BJ44" i="64"/>
  <c r="BR44" i="64"/>
  <c r="BZ44" i="64"/>
  <c r="CQ44" i="64"/>
  <c r="AI44" i="64"/>
  <c r="CI44" i="64"/>
  <c r="AL44" i="64"/>
  <c r="AT44" i="64"/>
  <c r="BK44" i="64"/>
  <c r="BS44" i="64"/>
  <c r="CJ44" i="64"/>
  <c r="CR44" i="64"/>
  <c r="AY44" i="64"/>
  <c r="AM44" i="64"/>
  <c r="AU44" i="64"/>
  <c r="BL44" i="64"/>
  <c r="BT44" i="64"/>
  <c r="CK44" i="64"/>
  <c r="CS44" i="64"/>
  <c r="AG44" i="64"/>
  <c r="AO44" i="64"/>
  <c r="AW44" i="64"/>
  <c r="BN44" i="64"/>
  <c r="BV44" i="64"/>
  <c r="CM44" i="64"/>
  <c r="CU44" i="64"/>
  <c r="CG44" i="64"/>
  <c r="AN44" i="64"/>
  <c r="AV44" i="64"/>
  <c r="BM44" i="64"/>
  <c r="BU44" i="64"/>
  <c r="CD44" i="64"/>
  <c r="CL44" i="64"/>
  <c r="CT44" i="64"/>
  <c r="CE44" i="64"/>
  <c r="AQ44" i="64"/>
  <c r="AH44" i="64"/>
  <c r="AP44" i="64"/>
  <c r="AX44" i="64"/>
  <c r="BG44" i="64"/>
  <c r="BO44" i="64"/>
  <c r="BW44" i="64"/>
  <c r="CF44" i="64"/>
  <c r="CN44" i="64"/>
  <c r="CV44" i="64"/>
  <c r="BH44" i="64"/>
  <c r="BP44" i="64"/>
  <c r="BX44" i="64"/>
  <c r="CO44" i="64"/>
  <c r="CW44" i="64"/>
  <c r="CL43" i="66"/>
  <c r="CD43" i="66"/>
  <c r="CM43" i="66"/>
  <c r="CU43" i="66"/>
  <c r="CE43" i="66"/>
  <c r="CN43" i="66"/>
  <c r="CV43" i="66"/>
  <c r="CF43" i="66"/>
  <c r="CO43" i="66"/>
  <c r="CW43" i="66"/>
  <c r="CG43" i="66"/>
  <c r="CP43" i="66"/>
  <c r="CH43" i="66"/>
  <c r="CQ43" i="66"/>
  <c r="CI43" i="66"/>
  <c r="CR43" i="66"/>
  <c r="CJ43" i="66"/>
  <c r="CK43" i="66"/>
  <c r="CS43" i="66"/>
  <c r="CT43" i="66"/>
  <c r="BN43" i="66"/>
  <c r="BV43" i="66"/>
  <c r="BG43" i="66"/>
  <c r="BO43" i="66"/>
  <c r="BW43" i="66"/>
  <c r="BH43" i="66"/>
  <c r="BP43" i="66"/>
  <c r="BX43" i="66"/>
  <c r="BI43" i="66"/>
  <c r="BQ43" i="66"/>
  <c r="BY43" i="66"/>
  <c r="BJ43" i="66"/>
  <c r="BR43" i="66"/>
  <c r="BZ43" i="66"/>
  <c r="BK43" i="66"/>
  <c r="BS43" i="66"/>
  <c r="BL43" i="66"/>
  <c r="BT43" i="66"/>
  <c r="BM43" i="66"/>
  <c r="BU43" i="66"/>
  <c r="Y43" i="68"/>
  <c r="F12" i="50"/>
  <c r="F31" i="50" s="1"/>
  <c r="F17" i="50"/>
  <c r="F48" i="50" s="1"/>
  <c r="F20" i="50"/>
  <c r="F57" i="50" s="1"/>
  <c r="F21" i="50"/>
  <c r="F58" i="50" s="1"/>
  <c r="F19" i="50"/>
  <c r="F56" i="50" s="1"/>
  <c r="AL33" i="23"/>
  <c r="Q33" i="25" s="1"/>
  <c r="G91" i="70"/>
  <c r="BA42" i="70"/>
  <c r="N42" i="70" s="1"/>
  <c r="BB42" i="70"/>
  <c r="O31" i="25"/>
  <c r="AJ31" i="23"/>
  <c r="CA42" i="70"/>
  <c r="O42" i="70" s="1"/>
  <c r="AM43" i="70"/>
  <c r="AN43" i="70"/>
  <c r="AX43" i="70"/>
  <c r="AH32" i="23"/>
  <c r="L32" i="25" s="1"/>
  <c r="AW43" i="70"/>
  <c r="AK43" i="70"/>
  <c r="AO43" i="70"/>
  <c r="AS43" i="70"/>
  <c r="AV43" i="70"/>
  <c r="AY43" i="70"/>
  <c r="AG43" i="70"/>
  <c r="F18" i="50" s="1"/>
  <c r="F49" i="50" s="1"/>
  <c r="AH43" i="70"/>
  <c r="AT43" i="70"/>
  <c r="AZ43" i="70"/>
  <c r="AQ43" i="70"/>
  <c r="AP43" i="70"/>
  <c r="AL43" i="70"/>
  <c r="AR43" i="70"/>
  <c r="AI43" i="70"/>
  <c r="D43" i="70"/>
  <c r="AJ43" i="70"/>
  <c r="AU43" i="70"/>
  <c r="BA43" i="68"/>
  <c r="CA42" i="67"/>
  <c r="O42" i="67" s="1"/>
  <c r="B44" i="67"/>
  <c r="U33" i="23"/>
  <c r="Z33" i="24" s="1"/>
  <c r="T33" i="25"/>
  <c r="AN33" i="23"/>
  <c r="AD33" i="25"/>
  <c r="AV33" i="23"/>
  <c r="Y32" i="25"/>
  <c r="AR32" i="23"/>
  <c r="AF33" i="23"/>
  <c r="J33" i="25"/>
  <c r="J32" i="25"/>
  <c r="AF32" i="23"/>
  <c r="T32" i="25"/>
  <c r="AN32" i="23"/>
  <c r="Y31" i="25"/>
  <c r="AR31" i="23"/>
  <c r="AV32" i="23"/>
  <c r="AD32" i="25"/>
  <c r="BA42" i="67"/>
  <c r="N42" i="67" s="1"/>
  <c r="BB42" i="67"/>
  <c r="V32" i="23"/>
  <c r="AA32" i="24" s="1"/>
  <c r="G88" i="67"/>
  <c r="G82" i="67"/>
  <c r="G69" i="67"/>
  <c r="AP43" i="67"/>
  <c r="G90" i="67"/>
  <c r="G78" i="67"/>
  <c r="G79" i="67"/>
  <c r="AW43" i="67"/>
  <c r="G85" i="67"/>
  <c r="G76" i="67"/>
  <c r="AO43" i="67"/>
  <c r="AK43" i="67"/>
  <c r="AH43" i="67"/>
  <c r="AQ43" i="67"/>
  <c r="AN43" i="67"/>
  <c r="AU43" i="67"/>
  <c r="G77" i="67"/>
  <c r="G83" i="67"/>
  <c r="AG43" i="67"/>
  <c r="AT43" i="67"/>
  <c r="AM43" i="67"/>
  <c r="AI43" i="67"/>
  <c r="AS43" i="67"/>
  <c r="G84" i="67"/>
  <c r="G91" i="67"/>
  <c r="AL43" i="67"/>
  <c r="AX43" i="67"/>
  <c r="G75" i="67"/>
  <c r="G89" i="67"/>
  <c r="AV43" i="67"/>
  <c r="AZ43" i="67"/>
  <c r="AJ43" i="67"/>
  <c r="AR43" i="67"/>
  <c r="D43" i="67"/>
  <c r="X32" i="23" s="1"/>
  <c r="AD32" i="24" s="1"/>
  <c r="G73" i="67"/>
  <c r="G87" i="67"/>
  <c r="G71" i="67"/>
  <c r="AY43" i="67"/>
  <c r="G72" i="67"/>
  <c r="G81" i="67"/>
  <c r="G70" i="67"/>
  <c r="CA42" i="66"/>
  <c r="O42" i="66" s="1"/>
  <c r="BA42" i="66"/>
  <c r="N42" i="66" s="1"/>
  <c r="BB42" i="66"/>
  <c r="Q33" i="23"/>
  <c r="U33" i="24" s="1"/>
  <c r="R32" i="23"/>
  <c r="V32" i="24" s="1"/>
  <c r="G84" i="66"/>
  <c r="G72" i="66"/>
  <c r="AO43" i="66"/>
  <c r="AK43" i="66"/>
  <c r="AR43" i="66"/>
  <c r="AV43" i="66"/>
  <c r="AH43" i="66"/>
  <c r="G70" i="66"/>
  <c r="G77" i="66"/>
  <c r="AG43" i="66"/>
  <c r="AU43" i="66"/>
  <c r="T32" i="23"/>
  <c r="Y32" i="24" s="1"/>
  <c r="AS43" i="66"/>
  <c r="AL43" i="66"/>
  <c r="G82" i="66"/>
  <c r="G76" i="66"/>
  <c r="AZ43" i="66"/>
  <c r="AI43" i="66"/>
  <c r="AT43" i="66"/>
  <c r="AQ43" i="66"/>
  <c r="AN43" i="66"/>
  <c r="G87" i="66"/>
  <c r="G85" i="66"/>
  <c r="AM43" i="66"/>
  <c r="AX43" i="66"/>
  <c r="G78" i="66"/>
  <c r="G69" i="66"/>
  <c r="G75" i="66"/>
  <c r="G83" i="66"/>
  <c r="G73" i="66"/>
  <c r="G89" i="66"/>
  <c r="AJ43" i="66"/>
  <c r="AP43" i="66"/>
  <c r="G71" i="66"/>
  <c r="G91" i="66"/>
  <c r="G81" i="66"/>
  <c r="G79" i="66"/>
  <c r="G88" i="66"/>
  <c r="G90" i="66"/>
  <c r="AW43" i="66"/>
  <c r="AY43" i="66"/>
  <c r="AF44" i="63"/>
  <c r="H32" i="23"/>
  <c r="J32" i="24" s="1"/>
  <c r="G92" i="73"/>
  <c r="G91" i="72"/>
  <c r="G92" i="71"/>
  <c r="BA43" i="63"/>
  <c r="N43" i="63" s="1"/>
  <c r="G91" i="63"/>
  <c r="CA42" i="72"/>
  <c r="O42" i="72" s="1"/>
  <c r="BB44" i="73"/>
  <c r="BA44" i="73"/>
  <c r="CA43" i="73"/>
  <c r="O43" i="73" s="1"/>
  <c r="BB43" i="73"/>
  <c r="BA43" i="73"/>
  <c r="N43" i="73" s="1"/>
  <c r="BB43" i="72"/>
  <c r="BA43" i="72"/>
  <c r="BB42" i="72"/>
  <c r="BA42" i="72"/>
  <c r="N42" i="72" s="1"/>
  <c r="BB43" i="71"/>
  <c r="BA43" i="71"/>
  <c r="N43" i="71" s="1"/>
  <c r="BB44" i="71"/>
  <c r="BA44" i="71"/>
  <c r="BB43" i="69"/>
  <c r="BA43" i="69"/>
  <c r="N43" i="69" s="1"/>
  <c r="BB44" i="69"/>
  <c r="BA44" i="69"/>
  <c r="N43" i="65"/>
  <c r="BA44" i="65"/>
  <c r="BB43" i="63"/>
  <c r="G92" i="69" l="1"/>
  <c r="Q43" i="73"/>
  <c r="FN43" i="68"/>
  <c r="FL43" i="68"/>
  <c r="CA44" i="73"/>
  <c r="O44" i="73" s="1"/>
  <c r="CA43" i="72"/>
  <c r="O43" i="72" s="1"/>
  <c r="G92" i="64"/>
  <c r="F59" i="50"/>
  <c r="F50" i="50"/>
  <c r="CX44" i="69"/>
  <c r="CX43" i="70"/>
  <c r="CL44" i="67"/>
  <c r="CK44" i="67"/>
  <c r="CO44" i="67"/>
  <c r="CW44" i="67"/>
  <c r="CD44" i="67"/>
  <c r="CP44" i="67"/>
  <c r="CE44" i="67"/>
  <c r="CQ44" i="67"/>
  <c r="CF44" i="67"/>
  <c r="CR44" i="67"/>
  <c r="CG44" i="67"/>
  <c r="CS44" i="67"/>
  <c r="CJ44" i="67"/>
  <c r="CT44" i="67"/>
  <c r="CU44" i="67"/>
  <c r="CV44" i="67"/>
  <c r="CI44" i="67"/>
  <c r="CN44" i="67"/>
  <c r="BL44" i="67"/>
  <c r="BU44" i="67"/>
  <c r="BV44" i="67"/>
  <c r="BG44" i="67"/>
  <c r="BS44" i="67"/>
  <c r="BM44" i="67"/>
  <c r="BW44" i="67"/>
  <c r="BJ44" i="67"/>
  <c r="BN44" i="67"/>
  <c r="BO44" i="67"/>
  <c r="BX44" i="67"/>
  <c r="BQ44" i="67"/>
  <c r="BY44" i="67"/>
  <c r="BI44" i="67"/>
  <c r="BH44" i="67"/>
  <c r="BR44" i="67"/>
  <c r="BZ44" i="67"/>
  <c r="BT44" i="67"/>
  <c r="CM44" i="67"/>
  <c r="BP44" i="67"/>
  <c r="BK44" i="67"/>
  <c r="CH44" i="67"/>
  <c r="CX44" i="71"/>
  <c r="CX43" i="67"/>
  <c r="CX44" i="73"/>
  <c r="P44" i="73" s="1"/>
  <c r="P45" i="73" s="1"/>
  <c r="CX43" i="72"/>
  <c r="CX44" i="64"/>
  <c r="CX43" i="66"/>
  <c r="BB44" i="64"/>
  <c r="BA44" i="64"/>
  <c r="N44" i="64" s="1"/>
  <c r="CA44" i="64"/>
  <c r="BB43" i="70"/>
  <c r="BA43" i="70"/>
  <c r="AJ32" i="23"/>
  <c r="O32" i="25"/>
  <c r="CA43" i="70"/>
  <c r="O43" i="70" s="1"/>
  <c r="BA43" i="67"/>
  <c r="BB43" i="67"/>
  <c r="G92" i="67"/>
  <c r="V33" i="23"/>
  <c r="AA33" i="24" s="1"/>
  <c r="D44" i="67"/>
  <c r="X33" i="23" s="1"/>
  <c r="AD33" i="24" s="1"/>
  <c r="AW44" i="67"/>
  <c r="AT44" i="67"/>
  <c r="AX44" i="67"/>
  <c r="AM44" i="67"/>
  <c r="AZ44" i="67"/>
  <c r="AK44" i="67"/>
  <c r="AI44" i="67"/>
  <c r="AO44" i="67"/>
  <c r="AN44" i="67"/>
  <c r="AL44" i="67"/>
  <c r="AG44" i="67"/>
  <c r="AY44" i="67"/>
  <c r="AP44" i="67"/>
  <c r="AJ44" i="67"/>
  <c r="AS44" i="67"/>
  <c r="AU44" i="67"/>
  <c r="AV44" i="67"/>
  <c r="AH44" i="67"/>
  <c r="AQ44" i="67"/>
  <c r="AR44" i="67"/>
  <c r="BB43" i="66"/>
  <c r="BA43" i="66"/>
  <c r="R33" i="23"/>
  <c r="V33" i="24" s="1"/>
  <c r="AW44" i="66"/>
  <c r="AU44" i="66"/>
  <c r="AN44" i="66"/>
  <c r="AX44" i="66"/>
  <c r="AJ44" i="66"/>
  <c r="AM44" i="66"/>
  <c r="AO44" i="66"/>
  <c r="AI44" i="66"/>
  <c r="AP44" i="66"/>
  <c r="AT44" i="66"/>
  <c r="AZ44" i="66"/>
  <c r="AY44" i="66"/>
  <c r="AG44" i="66"/>
  <c r="AS44" i="66"/>
  <c r="AK44" i="66"/>
  <c r="AL44" i="66"/>
  <c r="AR44" i="66"/>
  <c r="AQ44" i="66"/>
  <c r="T33" i="23"/>
  <c r="Y33" i="24" s="1"/>
  <c r="AV44" i="66"/>
  <c r="AH44" i="66"/>
  <c r="G92" i="66"/>
  <c r="CA43" i="66"/>
  <c r="O43" i="66" s="1"/>
  <c r="N44" i="73"/>
  <c r="BA45" i="73"/>
  <c r="N43" i="72"/>
  <c r="BA44" i="72"/>
  <c r="N44" i="71"/>
  <c r="BA45" i="71"/>
  <c r="N44" i="69"/>
  <c r="BA45" i="69"/>
  <c r="N44" i="65"/>
  <c r="BA44" i="63"/>
  <c r="O45" i="73" l="1"/>
  <c r="Q44" i="73"/>
  <c r="CA45" i="73"/>
  <c r="I51" i="65"/>
  <c r="BA45" i="64"/>
  <c r="F14" i="50"/>
  <c r="F39" i="50" s="1"/>
  <c r="F15" i="50"/>
  <c r="F40" i="50" s="1"/>
  <c r="CX44" i="67"/>
  <c r="N43" i="70"/>
  <c r="N44" i="70" s="1"/>
  <c r="BA44" i="70"/>
  <c r="BB44" i="67"/>
  <c r="BA44" i="67"/>
  <c r="N44" i="67" s="1"/>
  <c r="N43" i="67"/>
  <c r="CA44" i="66"/>
  <c r="O44" i="66" s="1"/>
  <c r="BB44" i="66"/>
  <c r="BA44" i="66"/>
  <c r="N44" i="66" s="1"/>
  <c r="N43" i="66"/>
  <c r="I54" i="68"/>
  <c r="E16" i="50" s="1"/>
  <c r="E47" i="50" s="1"/>
  <c r="D16" i="50"/>
  <c r="D47" i="50" s="1"/>
  <c r="N45" i="73"/>
  <c r="N44" i="72"/>
  <c r="I51" i="72" s="1"/>
  <c r="N45" i="71"/>
  <c r="N45" i="69"/>
  <c r="N45" i="64"/>
  <c r="N44" i="63"/>
  <c r="I53" i="72" l="1"/>
  <c r="I55" i="72" s="1"/>
  <c r="E20" i="50" s="1"/>
  <c r="E57" i="50" s="1"/>
  <c r="I53" i="65"/>
  <c r="I55" i="65" s="1"/>
  <c r="E13" i="50" s="1"/>
  <c r="E38" i="50" s="1"/>
  <c r="I52" i="71"/>
  <c r="I52" i="73"/>
  <c r="I52" i="69"/>
  <c r="I51" i="63"/>
  <c r="I52" i="64"/>
  <c r="I51" i="70"/>
  <c r="F41" i="50"/>
  <c r="Q45" i="73"/>
  <c r="N45" i="67"/>
  <c r="I52" i="67" s="1"/>
  <c r="I54" i="67" s="1"/>
  <c r="BA45" i="66"/>
  <c r="N45" i="66"/>
  <c r="BA45" i="67"/>
  <c r="AV35" i="23"/>
  <c r="D79" i="41"/>
  <c r="AM35" i="23" s="1"/>
  <c r="I23" i="1" s="1"/>
  <c r="D78" i="41"/>
  <c r="G19" i="1" s="1"/>
  <c r="D77" i="41"/>
  <c r="G18" i="1" s="1"/>
  <c r="D75" i="41"/>
  <c r="AE37" i="23" s="1"/>
  <c r="D74" i="41"/>
  <c r="D73" i="41"/>
  <c r="D72" i="41"/>
  <c r="D71" i="41"/>
  <c r="Y45" i="41"/>
  <c r="Y29" i="41"/>
  <c r="Y40" i="41"/>
  <c r="Y41" i="41"/>
  <c r="Y44" i="41"/>
  <c r="I22" i="1" l="1"/>
  <c r="C7" i="93"/>
  <c r="I54" i="73"/>
  <c r="I56" i="73" s="1"/>
  <c r="E21" i="50" s="1"/>
  <c r="E58" i="50" s="1"/>
  <c r="D20" i="50"/>
  <c r="D57" i="50" s="1"/>
  <c r="I54" i="71"/>
  <c r="I56" i="71" s="1"/>
  <c r="E19" i="50" s="1"/>
  <c r="E56" i="50" s="1"/>
  <c r="I53" i="70"/>
  <c r="I55" i="70" s="1"/>
  <c r="E18" i="50" s="1"/>
  <c r="E49" i="50" s="1"/>
  <c r="I54" i="69"/>
  <c r="I56" i="69" s="1"/>
  <c r="D13" i="50"/>
  <c r="D38" i="50" s="1"/>
  <c r="I53" i="63"/>
  <c r="I55" i="63" s="1"/>
  <c r="E11" i="50" s="1"/>
  <c r="E30" i="50" s="1"/>
  <c r="I54" i="64"/>
  <c r="I56" i="64" s="1"/>
  <c r="E12" i="50" s="1"/>
  <c r="E31" i="50" s="1"/>
  <c r="I52" i="66"/>
  <c r="FL45" i="41"/>
  <c r="FN45" i="41"/>
  <c r="FN44" i="41"/>
  <c r="FL44" i="41"/>
  <c r="FN29" i="41"/>
  <c r="FL29" i="41"/>
  <c r="FN41" i="41"/>
  <c r="FL41" i="41"/>
  <c r="FL40" i="41"/>
  <c r="FN40" i="41"/>
  <c r="U36" i="24"/>
  <c r="U37" i="25"/>
  <c r="Q39" i="24"/>
  <c r="Q40" i="25"/>
  <c r="U38" i="24"/>
  <c r="U39" i="25"/>
  <c r="D82" i="41"/>
  <c r="I68" i="1"/>
  <c r="I44" i="1" s="1"/>
  <c r="I25" i="1" s="1"/>
  <c r="W37" i="23"/>
  <c r="C9" i="93" s="1"/>
  <c r="I18" i="1"/>
  <c r="W35" i="23"/>
  <c r="I19" i="1"/>
  <c r="AE35" i="23"/>
  <c r="I70" i="1"/>
  <c r="I46" i="1" s="1"/>
  <c r="I27" i="1" s="1"/>
  <c r="O37" i="23"/>
  <c r="C8" i="93" s="1"/>
  <c r="H51" i="41"/>
  <c r="I51" i="41" s="1"/>
  <c r="H50" i="41"/>
  <c r="I50" i="41" s="1"/>
  <c r="H53" i="41"/>
  <c r="O35" i="23"/>
  <c r="D21" i="50" l="1"/>
  <c r="D58" i="50" s="1"/>
  <c r="D40" i="23"/>
  <c r="B62" i="21"/>
  <c r="D18" i="50"/>
  <c r="D49" i="50" s="1"/>
  <c r="E59" i="50"/>
  <c r="D19" i="50"/>
  <c r="D56" i="50" s="1"/>
  <c r="D59" i="50" s="1"/>
  <c r="D12" i="50"/>
  <c r="D31" i="50" s="1"/>
  <c r="D11" i="50"/>
  <c r="D30" i="50" s="1"/>
  <c r="I54" i="66"/>
  <c r="I56" i="66" s="1"/>
  <c r="E14" i="50" s="1"/>
  <c r="E39" i="50" s="1"/>
  <c r="I56" i="67"/>
  <c r="E15" i="50" s="1"/>
  <c r="E40" i="50" s="1"/>
  <c r="D15" i="50"/>
  <c r="D40" i="50" s="1"/>
  <c r="I47" i="72"/>
  <c r="I50" i="72" s="1"/>
  <c r="C20" i="50" s="1"/>
  <c r="C57" i="50" s="1"/>
  <c r="I48" i="67"/>
  <c r="I51" i="67" s="1"/>
  <c r="C15" i="50" s="1"/>
  <c r="C40" i="50" s="1"/>
  <c r="I48" i="73"/>
  <c r="I51" i="73" s="1"/>
  <c r="C21" i="50" s="1"/>
  <c r="C58" i="50" s="1"/>
  <c r="I47" i="70"/>
  <c r="I50" i="70" s="1"/>
  <c r="C18" i="50" s="1"/>
  <c r="C49" i="50" s="1"/>
  <c r="I48" i="64"/>
  <c r="I51" i="64" s="1"/>
  <c r="C12" i="50" s="1"/>
  <c r="C31" i="50" s="1"/>
  <c r="I47" i="65"/>
  <c r="I50" i="65" s="1"/>
  <c r="C13" i="50" s="1"/>
  <c r="C38" i="50" s="1"/>
  <c r="I48" i="66"/>
  <c r="I51" i="66" s="1"/>
  <c r="C14" i="50" s="1"/>
  <c r="C39" i="50" s="1"/>
  <c r="I48" i="69"/>
  <c r="I51" i="69" s="1"/>
  <c r="C17" i="50" s="1"/>
  <c r="C48" i="50" s="1"/>
  <c r="I47" i="63"/>
  <c r="I50" i="63" s="1"/>
  <c r="C11" i="50" s="1"/>
  <c r="C30" i="50" s="1"/>
  <c r="I48" i="71"/>
  <c r="I51" i="71" s="1"/>
  <c r="C19" i="50" s="1"/>
  <c r="C56" i="50" s="1"/>
  <c r="I46" i="68"/>
  <c r="I49" i="68" s="1"/>
  <c r="C16" i="50" s="1"/>
  <c r="C47" i="50" s="1"/>
  <c r="D83" i="41"/>
  <c r="G17" i="1" s="1"/>
  <c r="O38" i="24"/>
  <c r="O39" i="25"/>
  <c r="H37" i="24"/>
  <c r="H38" i="25"/>
  <c r="O37" i="24"/>
  <c r="O38" i="25"/>
  <c r="H38" i="24"/>
  <c r="H39" i="25"/>
  <c r="T37" i="24"/>
  <c r="T38" i="25"/>
  <c r="CB16" i="41"/>
  <c r="CC16" i="41"/>
  <c r="CB17" i="41"/>
  <c r="CC17" i="41"/>
  <c r="CB18" i="41"/>
  <c r="CC18" i="41"/>
  <c r="CB19" i="41"/>
  <c r="CC19" i="41"/>
  <c r="CB20" i="41"/>
  <c r="CC20" i="41"/>
  <c r="CB21" i="41"/>
  <c r="CC21" i="41"/>
  <c r="CB22" i="41"/>
  <c r="CC22" i="41"/>
  <c r="CB23" i="41"/>
  <c r="CC23" i="41"/>
  <c r="CB24" i="41"/>
  <c r="CC24" i="41"/>
  <c r="CB25" i="41"/>
  <c r="CC25" i="41"/>
  <c r="CB26" i="41"/>
  <c r="CC26" i="41"/>
  <c r="CB27" i="41"/>
  <c r="CC27" i="41"/>
  <c r="CB28" i="41"/>
  <c r="CC28" i="41"/>
  <c r="CB29" i="41"/>
  <c r="CC29" i="41"/>
  <c r="CB30" i="41"/>
  <c r="CC30" i="41"/>
  <c r="CB31" i="41"/>
  <c r="CC31" i="41"/>
  <c r="CB32" i="41"/>
  <c r="CC32" i="41"/>
  <c r="CB33" i="41"/>
  <c r="CC33" i="41"/>
  <c r="CB34" i="41"/>
  <c r="CC34" i="41"/>
  <c r="CB35" i="41"/>
  <c r="CC35" i="41"/>
  <c r="CB36" i="41"/>
  <c r="CC36" i="41"/>
  <c r="CB37" i="41"/>
  <c r="CC37" i="41"/>
  <c r="CB38" i="41"/>
  <c r="CC38" i="41"/>
  <c r="CB39" i="41"/>
  <c r="CC39" i="41"/>
  <c r="CB40" i="41"/>
  <c r="CC40" i="41"/>
  <c r="CB41" i="41"/>
  <c r="CC41" i="41"/>
  <c r="CB42" i="41"/>
  <c r="CC42" i="41"/>
  <c r="CB43" i="41"/>
  <c r="CC43" i="41"/>
  <c r="CB44" i="41"/>
  <c r="CC44" i="41"/>
  <c r="CB45" i="41"/>
  <c r="CC45" i="41"/>
  <c r="CC15" i="41"/>
  <c r="CB15" i="41"/>
  <c r="D14" i="50" l="1"/>
  <c r="D39" i="50" s="1"/>
  <c r="D41" i="50" s="1"/>
  <c r="E41" i="50"/>
  <c r="H49" i="41"/>
  <c r="B34" i="23" s="1"/>
  <c r="C50" i="50"/>
  <c r="C59" i="50"/>
  <c r="C41" i="50"/>
  <c r="DG38" i="41"/>
  <c r="DG34" i="41"/>
  <c r="DG30" i="41"/>
  <c r="DG26" i="41"/>
  <c r="DG22" i="41"/>
  <c r="DG18" i="41"/>
  <c r="DD46" i="41"/>
  <c r="DG43" i="41"/>
  <c r="DG39" i="41"/>
  <c r="DG35" i="41"/>
  <c r="DG31" i="41"/>
  <c r="DG27" i="41"/>
  <c r="DG24" i="41"/>
  <c r="DG23" i="41"/>
  <c r="DG19" i="41"/>
  <c r="DG16" i="41"/>
  <c r="DG32" i="41"/>
  <c r="DG44" i="41"/>
  <c r="DG40" i="41"/>
  <c r="DG36" i="41"/>
  <c r="DG28" i="41"/>
  <c r="DG20" i="41"/>
  <c r="DG42" i="41"/>
  <c r="DG25" i="41"/>
  <c r="DG17" i="41"/>
  <c r="DG15" i="41"/>
  <c r="DG45" i="41"/>
  <c r="DG41" i="41"/>
  <c r="DG37" i="41"/>
  <c r="DG33" i="41"/>
  <c r="DG29" i="41"/>
  <c r="DG21" i="41"/>
  <c r="CZ46" i="41"/>
  <c r="DB46" i="41"/>
  <c r="DE46" i="41"/>
  <c r="DA46" i="41"/>
  <c r="DC46" i="41"/>
  <c r="CY46" i="41"/>
  <c r="DF46" i="41"/>
  <c r="BD16" i="41"/>
  <c r="BE16" i="41"/>
  <c r="BF16" i="41"/>
  <c r="BD17" i="41"/>
  <c r="BE17" i="41"/>
  <c r="BF17" i="41"/>
  <c r="BD18" i="41"/>
  <c r="BE18" i="41"/>
  <c r="BF18" i="41"/>
  <c r="BD19" i="41"/>
  <c r="BE19" i="41"/>
  <c r="BF19" i="41"/>
  <c r="BD20" i="41"/>
  <c r="BE20" i="41"/>
  <c r="BF20" i="41"/>
  <c r="BD21" i="41"/>
  <c r="BE21" i="41"/>
  <c r="BF21" i="41"/>
  <c r="BD22" i="41"/>
  <c r="BE22" i="41"/>
  <c r="BF22" i="41"/>
  <c r="BD23" i="41"/>
  <c r="BE23" i="41"/>
  <c r="BF23" i="41"/>
  <c r="BD24" i="41"/>
  <c r="BE24" i="41"/>
  <c r="BF24" i="41"/>
  <c r="BD25" i="41"/>
  <c r="BE25" i="41"/>
  <c r="BF25" i="41"/>
  <c r="BD26" i="41"/>
  <c r="BE26" i="41"/>
  <c r="BF26" i="41"/>
  <c r="BD27" i="41"/>
  <c r="BE27" i="41"/>
  <c r="BF27" i="41"/>
  <c r="BD28" i="41"/>
  <c r="BE28" i="41"/>
  <c r="BF28" i="41"/>
  <c r="BD29" i="41"/>
  <c r="BE29" i="41"/>
  <c r="BF29" i="41"/>
  <c r="BD30" i="41"/>
  <c r="BE30" i="41"/>
  <c r="BF30" i="41"/>
  <c r="BD31" i="41"/>
  <c r="BE31" i="41"/>
  <c r="BF31" i="41"/>
  <c r="BD32" i="41"/>
  <c r="BE32" i="41"/>
  <c r="BF32" i="41"/>
  <c r="BD33" i="41"/>
  <c r="BE33" i="41"/>
  <c r="BF33" i="41"/>
  <c r="BD34" i="41"/>
  <c r="BE34" i="41"/>
  <c r="BF34" i="41"/>
  <c r="BD35" i="41"/>
  <c r="BE35" i="41"/>
  <c r="BF35" i="41"/>
  <c r="BD36" i="41"/>
  <c r="BE36" i="41"/>
  <c r="BF36" i="41"/>
  <c r="BD37" i="41"/>
  <c r="BE37" i="41"/>
  <c r="BF37" i="41"/>
  <c r="BD38" i="41"/>
  <c r="BE38" i="41"/>
  <c r="BF38" i="41"/>
  <c r="BD39" i="41"/>
  <c r="BE39" i="41"/>
  <c r="BF39" i="41"/>
  <c r="BD40" i="41"/>
  <c r="BE40" i="41"/>
  <c r="BF40" i="41"/>
  <c r="BD41" i="41"/>
  <c r="BE41" i="41"/>
  <c r="BF41" i="41"/>
  <c r="BD42" i="41"/>
  <c r="BE42" i="41"/>
  <c r="BF42" i="41"/>
  <c r="BD43" i="41"/>
  <c r="BE43" i="41"/>
  <c r="BF43" i="41"/>
  <c r="BD44" i="41"/>
  <c r="BE44" i="41"/>
  <c r="BF44" i="41"/>
  <c r="BD45" i="41"/>
  <c r="BE45" i="41"/>
  <c r="BF45" i="41"/>
  <c r="BF15" i="41"/>
  <c r="BE15" i="41"/>
  <c r="BD15" i="41"/>
  <c r="BC15" i="41"/>
  <c r="BC16" i="41"/>
  <c r="BC17" i="41"/>
  <c r="BC18" i="41"/>
  <c r="BC19" i="41"/>
  <c r="BC20" i="41"/>
  <c r="BC21" i="41"/>
  <c r="BC22" i="41"/>
  <c r="BC23" i="41"/>
  <c r="BC24" i="41"/>
  <c r="BC25" i="41"/>
  <c r="BC26" i="41"/>
  <c r="BC27" i="41"/>
  <c r="BC28" i="41"/>
  <c r="BC29" i="41"/>
  <c r="BC30" i="41"/>
  <c r="BC31" i="41"/>
  <c r="BC32" i="41"/>
  <c r="BC33" i="41"/>
  <c r="BC34" i="41"/>
  <c r="BC35" i="41"/>
  <c r="BC36" i="41"/>
  <c r="BC37" i="41"/>
  <c r="BC38" i="41"/>
  <c r="BC39" i="41"/>
  <c r="BC40" i="41"/>
  <c r="BC41" i="41"/>
  <c r="BC42" i="41"/>
  <c r="BC43" i="41"/>
  <c r="BC44" i="41"/>
  <c r="BC45" i="41"/>
  <c r="AD16" i="41"/>
  <c r="AD17" i="41"/>
  <c r="AD18" i="41"/>
  <c r="AD19" i="41"/>
  <c r="AD20" i="41"/>
  <c r="AD21" i="41"/>
  <c r="AD22" i="41"/>
  <c r="AD23" i="41"/>
  <c r="AD24" i="41"/>
  <c r="AD25" i="41"/>
  <c r="AD26" i="41"/>
  <c r="AD27" i="41"/>
  <c r="AD28" i="41"/>
  <c r="AD29" i="41"/>
  <c r="AD30" i="41"/>
  <c r="AD31" i="41"/>
  <c r="AD32" i="41"/>
  <c r="AD33" i="41"/>
  <c r="AD34" i="41"/>
  <c r="AD35" i="41"/>
  <c r="AD36" i="41"/>
  <c r="AD37" i="41"/>
  <c r="AD38" i="41"/>
  <c r="AD39" i="41"/>
  <c r="AD40" i="41"/>
  <c r="AD41" i="41"/>
  <c r="AD42" i="41"/>
  <c r="AD43" i="41"/>
  <c r="AD44" i="41"/>
  <c r="AD45" i="41"/>
  <c r="AD15" i="41"/>
  <c r="AA16" i="41"/>
  <c r="AB16" i="41"/>
  <c r="AA17" i="41"/>
  <c r="AB17" i="41"/>
  <c r="AA18" i="41"/>
  <c r="AB18" i="41"/>
  <c r="AA19" i="41"/>
  <c r="AB19" i="41"/>
  <c r="AA20" i="41"/>
  <c r="AB20" i="41"/>
  <c r="AA21" i="41"/>
  <c r="AB21" i="41"/>
  <c r="AA22" i="41"/>
  <c r="AB22" i="41"/>
  <c r="AA23" i="41"/>
  <c r="AB23" i="41"/>
  <c r="AA24" i="41"/>
  <c r="AB24" i="41"/>
  <c r="AA25" i="41"/>
  <c r="AB25" i="41"/>
  <c r="AA26" i="41"/>
  <c r="AB26" i="41"/>
  <c r="AA27" i="41"/>
  <c r="AB27" i="41"/>
  <c r="AA28" i="41"/>
  <c r="AB28" i="41"/>
  <c r="AA29" i="41"/>
  <c r="AB29" i="41"/>
  <c r="AA30" i="41"/>
  <c r="AB30" i="41"/>
  <c r="AA31" i="41"/>
  <c r="AB31" i="41"/>
  <c r="AA32" i="41"/>
  <c r="AB32" i="41"/>
  <c r="AA33" i="41"/>
  <c r="AB33" i="41"/>
  <c r="AA34" i="41"/>
  <c r="AB34" i="41"/>
  <c r="AA35" i="41"/>
  <c r="AB35" i="41"/>
  <c r="AA36" i="41"/>
  <c r="AB36" i="41"/>
  <c r="AA37" i="41"/>
  <c r="AB37" i="41"/>
  <c r="AA38" i="41"/>
  <c r="AB38" i="41"/>
  <c r="AA39" i="41"/>
  <c r="AB39" i="41"/>
  <c r="AA40" i="41"/>
  <c r="AB40" i="41"/>
  <c r="AA41" i="41"/>
  <c r="AB41" i="41"/>
  <c r="AA42" i="41"/>
  <c r="AB42" i="41"/>
  <c r="AA43" i="41"/>
  <c r="AB43" i="41"/>
  <c r="AA44" i="41"/>
  <c r="AB44" i="41"/>
  <c r="AA45" i="41"/>
  <c r="AB45" i="41"/>
  <c r="AB15" i="41"/>
  <c r="AE16" i="41"/>
  <c r="AE17" i="41"/>
  <c r="AE18" i="41"/>
  <c r="AE19" i="41"/>
  <c r="AE20" i="41"/>
  <c r="AE21" i="41"/>
  <c r="AE22" i="41"/>
  <c r="AE23" i="41"/>
  <c r="AE24" i="41"/>
  <c r="AE25" i="41"/>
  <c r="AE26" i="41"/>
  <c r="AE27" i="41"/>
  <c r="AE28" i="41"/>
  <c r="AE29" i="41"/>
  <c r="AE30" i="41"/>
  <c r="AE31" i="41"/>
  <c r="AE32" i="41"/>
  <c r="AE33" i="41"/>
  <c r="AE34" i="41"/>
  <c r="AE35" i="41"/>
  <c r="AE36" i="41"/>
  <c r="AE37" i="41"/>
  <c r="AE38" i="41"/>
  <c r="AE39" i="41"/>
  <c r="AE40" i="41"/>
  <c r="AE41" i="41"/>
  <c r="AE42" i="41"/>
  <c r="AE43" i="41"/>
  <c r="AE44" i="41"/>
  <c r="AE45" i="41"/>
  <c r="AE15" i="41"/>
  <c r="AC15" i="41"/>
  <c r="AC16" i="41"/>
  <c r="AC17" i="41"/>
  <c r="AC18" i="41"/>
  <c r="AC19" i="41"/>
  <c r="AC20" i="41"/>
  <c r="AC21" i="41"/>
  <c r="AC22" i="41"/>
  <c r="AC23" i="41"/>
  <c r="AC24" i="41"/>
  <c r="AC25" i="41"/>
  <c r="AC26" i="41"/>
  <c r="AC27" i="41"/>
  <c r="AC28" i="41"/>
  <c r="AC29" i="41"/>
  <c r="AC30" i="41"/>
  <c r="AC31" i="41"/>
  <c r="AC32" i="41"/>
  <c r="AC33" i="41"/>
  <c r="AC34" i="41"/>
  <c r="AC35" i="41"/>
  <c r="AC36" i="41"/>
  <c r="AC37" i="41"/>
  <c r="AC38" i="41"/>
  <c r="AC39" i="41"/>
  <c r="AC40" i="41"/>
  <c r="AC41" i="41"/>
  <c r="AC42" i="41"/>
  <c r="AC43" i="41"/>
  <c r="AC44" i="41"/>
  <c r="AC45" i="41"/>
  <c r="FR34" i="41" l="1"/>
  <c r="FP34" i="41"/>
  <c r="FR44" i="41"/>
  <c r="FP44" i="41"/>
  <c r="FR36" i="41"/>
  <c r="FP36" i="41"/>
  <c r="FR28" i="41"/>
  <c r="FP28" i="41"/>
  <c r="FR20" i="41"/>
  <c r="FP20" i="41"/>
  <c r="FR35" i="41"/>
  <c r="FP35" i="41"/>
  <c r="FR27" i="41"/>
  <c r="FP27" i="41"/>
  <c r="FR19" i="41"/>
  <c r="FP19" i="41"/>
  <c r="FR26" i="41"/>
  <c r="FP26" i="41"/>
  <c r="FR18" i="41"/>
  <c r="FP18" i="41"/>
  <c r="FR42" i="41"/>
  <c r="FP42" i="41"/>
  <c r="FR43" i="41"/>
  <c r="FP43" i="41"/>
  <c r="FR17" i="41"/>
  <c r="FP17" i="41"/>
  <c r="FR40" i="41"/>
  <c r="FP40" i="41"/>
  <c r="FR32" i="41"/>
  <c r="FP32" i="41"/>
  <c r="FR24" i="41"/>
  <c r="FP24" i="41"/>
  <c r="FR16" i="41"/>
  <c r="FP16" i="41"/>
  <c r="FR25" i="41"/>
  <c r="FP25" i="41"/>
  <c r="FR39" i="41"/>
  <c r="FP39" i="41"/>
  <c r="FR31" i="41"/>
  <c r="FP31" i="41"/>
  <c r="FR23" i="41"/>
  <c r="FP23" i="41"/>
  <c r="FR33" i="41"/>
  <c r="FP33" i="41"/>
  <c r="FR38" i="41"/>
  <c r="FP38" i="41"/>
  <c r="FR30" i="41"/>
  <c r="FP30" i="41"/>
  <c r="FR22" i="41"/>
  <c r="FP22" i="41"/>
  <c r="FR41" i="41"/>
  <c r="FP41" i="41"/>
  <c r="FR45" i="41"/>
  <c r="FP45" i="41"/>
  <c r="FR37" i="41"/>
  <c r="FP37" i="41"/>
  <c r="FR29" i="41"/>
  <c r="FP29" i="41"/>
  <c r="FR21" i="41"/>
  <c r="FP21" i="41"/>
  <c r="FX40" i="41"/>
  <c r="FV40" i="41"/>
  <c r="FV43" i="41"/>
  <c r="FX43" i="41"/>
  <c r="FX19" i="41"/>
  <c r="FV19" i="41"/>
  <c r="FX42" i="41"/>
  <c r="FV42" i="41"/>
  <c r="FX41" i="41"/>
  <c r="FV41" i="41"/>
  <c r="FX29" i="41"/>
  <c r="FV29" i="41"/>
  <c r="FX17" i="41"/>
  <c r="FV17" i="41"/>
  <c r="FX35" i="41"/>
  <c r="FV35" i="41"/>
  <c r="FX34" i="41"/>
  <c r="FV34" i="41"/>
  <c r="FX36" i="41"/>
  <c r="FV36" i="41"/>
  <c r="FV33" i="41"/>
  <c r="FX33" i="41"/>
  <c r="FV45" i="41"/>
  <c r="FX45" i="41"/>
  <c r="FX44" i="41"/>
  <c r="FV44" i="41"/>
  <c r="FV39" i="41"/>
  <c r="FX39" i="41"/>
  <c r="FX37" i="41"/>
  <c r="FV37" i="41"/>
  <c r="FX32" i="41"/>
  <c r="FV32" i="41"/>
  <c r="FX18" i="41"/>
  <c r="FV18" i="41"/>
  <c r="FX16" i="41"/>
  <c r="FV16" i="41"/>
  <c r="FX27" i="41"/>
  <c r="FV27" i="41"/>
  <c r="FX25" i="41"/>
  <c r="FV25" i="41"/>
  <c r="FX28" i="41"/>
  <c r="FV28" i="41"/>
  <c r="FX24" i="41"/>
  <c r="FV24" i="41"/>
  <c r="FX20" i="41"/>
  <c r="FV20" i="41"/>
  <c r="FV26" i="41"/>
  <c r="FX26" i="41"/>
  <c r="FX23" i="41"/>
  <c r="FV23" i="41"/>
  <c r="FX22" i="41"/>
  <c r="FV22" i="41"/>
  <c r="FX21" i="41"/>
  <c r="FV21" i="41"/>
  <c r="FX30" i="41"/>
  <c r="FV30" i="41"/>
  <c r="FX38" i="41"/>
  <c r="FV38" i="41"/>
  <c r="FV31" i="41"/>
  <c r="FX31" i="41"/>
  <c r="C34" i="24"/>
  <c r="D39" i="23"/>
  <c r="D41" i="23" s="1"/>
  <c r="E61" i="50"/>
  <c r="E60" i="50"/>
  <c r="E43" i="50"/>
  <c r="E42" i="50"/>
  <c r="BC46" i="41"/>
  <c r="AA46" i="41"/>
  <c r="BE46" i="41"/>
  <c r="AC46" i="41"/>
  <c r="J54" i="1" s="1"/>
  <c r="DG46" i="41"/>
  <c r="BD46" i="41"/>
  <c r="BF46" i="41"/>
  <c r="AD46" i="41"/>
  <c r="FP46" i="41" l="1"/>
  <c r="FR46" i="41"/>
  <c r="J35" i="1"/>
  <c r="J13" i="44"/>
  <c r="FX46" i="41"/>
  <c r="FV46" i="41"/>
  <c r="J62" i="1"/>
  <c r="J24" i="44" s="1"/>
  <c r="J4" i="61"/>
  <c r="CA15" i="65" l="1"/>
  <c r="O15" i="65" s="1"/>
  <c r="CA18" i="64"/>
  <c r="O18" i="64" s="1"/>
  <c r="CA20" i="63"/>
  <c r="O20" i="63" s="1"/>
  <c r="CA25" i="64"/>
  <c r="O25" i="64" s="1"/>
  <c r="CA27" i="63"/>
  <c r="O27" i="63" s="1"/>
  <c r="CA34" i="63"/>
  <c r="O34" i="63" s="1"/>
  <c r="CA39" i="64"/>
  <c r="O39" i="64" s="1"/>
  <c r="CA41" i="63"/>
  <c r="O41" i="63" s="1"/>
  <c r="CA39" i="67"/>
  <c r="O39" i="67" s="1"/>
  <c r="CA14" i="63"/>
  <c r="CA16" i="65"/>
  <c r="O16" i="65" s="1"/>
  <c r="CA19" i="64"/>
  <c r="O19" i="64" s="1"/>
  <c r="CA21" i="63"/>
  <c r="O21" i="63" s="1"/>
  <c r="CA26" i="64"/>
  <c r="O26" i="64" s="1"/>
  <c r="CA28" i="63"/>
  <c r="O28" i="63" s="1"/>
  <c r="CA35" i="63"/>
  <c r="O35" i="63" s="1"/>
  <c r="CA40" i="64"/>
  <c r="O40" i="64" s="1"/>
  <c r="CA42" i="63"/>
  <c r="O42" i="63" s="1"/>
  <c r="CA14" i="65"/>
  <c r="CA17" i="64"/>
  <c r="O17" i="64" s="1"/>
  <c r="CA19" i="63"/>
  <c r="O19" i="63" s="1"/>
  <c r="CA24" i="64"/>
  <c r="O24" i="64" s="1"/>
  <c r="CA26" i="63"/>
  <c r="O26" i="63" s="1"/>
  <c r="CA33" i="63"/>
  <c r="O33" i="63" s="1"/>
  <c r="CA38" i="64"/>
  <c r="O38" i="64" s="1"/>
  <c r="CA40" i="63"/>
  <c r="O40" i="63" s="1"/>
  <c r="CA15" i="63"/>
  <c r="O15" i="63" s="1"/>
  <c r="CA17" i="65"/>
  <c r="O17" i="65" s="1"/>
  <c r="CA20" i="64"/>
  <c r="O20" i="64" s="1"/>
  <c r="CA22" i="63"/>
  <c r="O22" i="63" s="1"/>
  <c r="CA27" i="64"/>
  <c r="O27" i="64" s="1"/>
  <c r="CA29" i="63"/>
  <c r="O29" i="63" s="1"/>
  <c r="CA36" i="63"/>
  <c r="O36" i="63" s="1"/>
  <c r="CA41" i="64"/>
  <c r="O41" i="64" s="1"/>
  <c r="CA43" i="63"/>
  <c r="O43" i="63" s="1"/>
  <c r="CA16" i="64"/>
  <c r="CA18" i="63"/>
  <c r="O18" i="63" s="1"/>
  <c r="CA23" i="64"/>
  <c r="O23" i="64" s="1"/>
  <c r="CA25" i="63"/>
  <c r="O25" i="63" s="1"/>
  <c r="CA32" i="63"/>
  <c r="O32" i="63" s="1"/>
  <c r="CA37" i="64"/>
  <c r="O37" i="64" s="1"/>
  <c r="CA39" i="63"/>
  <c r="O39" i="63" s="1"/>
  <c r="O44" i="64"/>
  <c r="CA29" i="66"/>
  <c r="O29" i="66" s="1"/>
  <c r="AE46" i="41"/>
  <c r="J55" i="1" s="1"/>
  <c r="E55" i="43"/>
  <c r="A48" i="43"/>
  <c r="J36" i="1" l="1"/>
  <c r="J14" i="44"/>
  <c r="P14" i="70"/>
  <c r="Q14" i="70" s="1"/>
  <c r="P14" i="64"/>
  <c r="Q14" i="64" s="1"/>
  <c r="P17" i="68"/>
  <c r="Q17" i="68" s="1"/>
  <c r="P18" i="65"/>
  <c r="Q18" i="65" s="1"/>
  <c r="P20" i="67"/>
  <c r="Q20" i="67" s="1"/>
  <c r="P21" i="64"/>
  <c r="Q21" i="64" s="1"/>
  <c r="P25" i="65"/>
  <c r="Q25" i="65" s="1"/>
  <c r="P27" i="67"/>
  <c r="Q27" i="67" s="1"/>
  <c r="P31" i="68"/>
  <c r="Q31" i="68" s="1"/>
  <c r="P32" i="65"/>
  <c r="Q32" i="65" s="1"/>
  <c r="P33" i="71"/>
  <c r="Q33" i="71" s="1"/>
  <c r="P35" i="64"/>
  <c r="Q35" i="64" s="1"/>
  <c r="P34" i="67"/>
  <c r="Q34" i="67" s="1"/>
  <c r="P38" i="68"/>
  <c r="Q38" i="68" s="1"/>
  <c r="P38" i="69"/>
  <c r="Q38" i="69" s="1"/>
  <c r="P39" i="65"/>
  <c r="Q39" i="65" s="1"/>
  <c r="P41" i="67"/>
  <c r="Q41" i="67" s="1"/>
  <c r="P42" i="64"/>
  <c r="Q42" i="64" s="1"/>
  <c r="P39" i="69"/>
  <c r="Q39" i="69" s="1"/>
  <c r="P18" i="71"/>
  <c r="Q18" i="71" s="1"/>
  <c r="P20" i="70"/>
  <c r="Q20" i="70" s="1"/>
  <c r="P30" i="68"/>
  <c r="Q30" i="68" s="1"/>
  <c r="P34" i="64"/>
  <c r="Q34" i="64" s="1"/>
  <c r="CA37" i="65"/>
  <c r="O37" i="65" s="1"/>
  <c r="CA27" i="69"/>
  <c r="O27" i="69" s="1"/>
  <c r="CA33" i="72"/>
  <c r="O33" i="72" s="1"/>
  <c r="CA29" i="72"/>
  <c r="O29" i="72" s="1"/>
  <c r="CA19" i="68"/>
  <c r="O19" i="68" s="1"/>
  <c r="CA37" i="70"/>
  <c r="O37" i="70" s="1"/>
  <c r="CA23" i="68"/>
  <c r="O23" i="68" s="1"/>
  <c r="CA15" i="71"/>
  <c r="O15" i="71" s="1"/>
  <c r="CA26" i="72"/>
  <c r="O26" i="72" s="1"/>
  <c r="CA36" i="72"/>
  <c r="O36" i="72" s="1"/>
  <c r="CA23" i="71"/>
  <c r="O23" i="71" s="1"/>
  <c r="CA35" i="71"/>
  <c r="O35" i="71" s="1"/>
  <c r="CA16" i="68"/>
  <c r="O16" i="68" s="1"/>
  <c r="CA20" i="65"/>
  <c r="O20" i="65" s="1"/>
  <c r="P25" i="69"/>
  <c r="Q25" i="69" s="1"/>
  <c r="P24" i="72"/>
  <c r="Q24" i="72" s="1"/>
  <c r="P27" i="71"/>
  <c r="Q27" i="71" s="1"/>
  <c r="P36" i="70"/>
  <c r="Q36" i="70" s="1"/>
  <c r="P38" i="72"/>
  <c r="Q38" i="72" s="1"/>
  <c r="P43" i="70"/>
  <c r="Q43" i="70" s="1"/>
  <c r="P15" i="64"/>
  <c r="Q15" i="64" s="1"/>
  <c r="P17" i="63"/>
  <c r="Q17" i="63" s="1"/>
  <c r="P22" i="64"/>
  <c r="Q22" i="64" s="1"/>
  <c r="P24" i="66"/>
  <c r="Q24" i="66" s="1"/>
  <c r="P24" i="63"/>
  <c r="Q24" i="63" s="1"/>
  <c r="P23" i="72"/>
  <c r="Q23" i="72" s="1"/>
  <c r="P28" i="70"/>
  <c r="Q28" i="70" s="1"/>
  <c r="P31" i="63"/>
  <c r="Q31" i="63" s="1"/>
  <c r="P32" i="68"/>
  <c r="Q32" i="68" s="1"/>
  <c r="P33" i="65"/>
  <c r="Q33" i="65" s="1"/>
  <c r="P35" i="67"/>
  <c r="Q35" i="67" s="1"/>
  <c r="P36" i="64"/>
  <c r="Q36" i="64" s="1"/>
  <c r="P37" i="72"/>
  <c r="Q37" i="72" s="1"/>
  <c r="P38" i="63"/>
  <c r="Q38" i="63" s="1"/>
  <c r="P39" i="68"/>
  <c r="Q39" i="68" s="1"/>
  <c r="P42" i="67"/>
  <c r="Q42" i="67" s="1"/>
  <c r="P43" i="64"/>
  <c r="Q43" i="64" s="1"/>
  <c r="CA22" i="69"/>
  <c r="O22" i="69" s="1"/>
  <c r="CA26" i="70"/>
  <c r="O26" i="70" s="1"/>
  <c r="CA26" i="67"/>
  <c r="O26" i="67" s="1"/>
  <c r="CA22" i="66"/>
  <c r="O22" i="66" s="1"/>
  <c r="CA23" i="69"/>
  <c r="O23" i="69" s="1"/>
  <c r="CA44" i="67"/>
  <c r="O44" i="67" s="1"/>
  <c r="CA25" i="72"/>
  <c r="O25" i="72" s="1"/>
  <c r="CA24" i="65"/>
  <c r="O24" i="65" s="1"/>
  <c r="CA25" i="67"/>
  <c r="O25" i="67" s="1"/>
  <c r="CA14" i="69"/>
  <c r="O14" i="69" s="1"/>
  <c r="CA21" i="72"/>
  <c r="O21" i="72" s="1"/>
  <c r="CA30" i="69"/>
  <c r="O30" i="69" s="1"/>
  <c r="CA20" i="68"/>
  <c r="O20" i="68" s="1"/>
  <c r="CA29" i="67"/>
  <c r="O29" i="67" s="1"/>
  <c r="CA38" i="65"/>
  <c r="O38" i="65" s="1"/>
  <c r="CA31" i="65"/>
  <c r="O31" i="65" s="1"/>
  <c r="CA40" i="70"/>
  <c r="O40" i="70" s="1"/>
  <c r="CA30" i="65"/>
  <c r="O30" i="65" s="1"/>
  <c r="CA33" i="66"/>
  <c r="O33" i="66" s="1"/>
  <c r="CA28" i="65"/>
  <c r="O28" i="65" s="1"/>
  <c r="CA43" i="67"/>
  <c r="O43" i="67" s="1"/>
  <c r="CA37" i="68"/>
  <c r="O37" i="68" s="1"/>
  <c r="CA37" i="67"/>
  <c r="O37" i="67" s="1"/>
  <c r="CA43" i="71"/>
  <c r="O43" i="71" s="1"/>
  <c r="CA25" i="70"/>
  <c r="O25" i="70" s="1"/>
  <c r="CA27" i="65"/>
  <c r="O27" i="65" s="1"/>
  <c r="P15" i="69"/>
  <c r="P22" i="69"/>
  <c r="P29" i="69"/>
  <c r="P36" i="69"/>
  <c r="P43" i="69"/>
  <c r="CA27" i="72"/>
  <c r="O27" i="72" s="1"/>
  <c r="CA37" i="71"/>
  <c r="O37" i="71" s="1"/>
  <c r="CA33" i="69"/>
  <c r="O33" i="69" s="1"/>
  <c r="CA41" i="69"/>
  <c r="O41" i="69" s="1"/>
  <c r="CA28" i="69"/>
  <c r="O28" i="69" s="1"/>
  <c r="CA34" i="69"/>
  <c r="O34" i="69" s="1"/>
  <c r="CA28" i="66"/>
  <c r="O28" i="66" s="1"/>
  <c r="CA26" i="66"/>
  <c r="O26" i="66" s="1"/>
  <c r="CA21" i="66"/>
  <c r="O21" i="66" s="1"/>
  <c r="CA19" i="66"/>
  <c r="O19" i="66" s="1"/>
  <c r="CA25" i="66"/>
  <c r="O25" i="66" s="1"/>
  <c r="CA32" i="72"/>
  <c r="O32" i="72" s="1"/>
  <c r="CA16" i="71"/>
  <c r="O16" i="71" s="1"/>
  <c r="CA32" i="70"/>
  <c r="O32" i="70" s="1"/>
  <c r="CA34" i="70"/>
  <c r="O34" i="70" s="1"/>
  <c r="CA33" i="70"/>
  <c r="O33" i="70" s="1"/>
  <c r="CA27" i="70"/>
  <c r="O27" i="70" s="1"/>
  <c r="CA24" i="70"/>
  <c r="O24" i="70" s="1"/>
  <c r="CA43" i="69"/>
  <c r="O43" i="69" s="1"/>
  <c r="CA44" i="69"/>
  <c r="O44" i="69" s="1"/>
  <c r="CA26" i="69"/>
  <c r="O26" i="69" s="1"/>
  <c r="CA19" i="69"/>
  <c r="O19" i="69" s="1"/>
  <c r="CA36" i="68"/>
  <c r="O36" i="68" s="1"/>
  <c r="CA19" i="67"/>
  <c r="O19" i="67" s="1"/>
  <c r="CA32" i="71"/>
  <c r="O32" i="71" s="1"/>
  <c r="CA14" i="71"/>
  <c r="O14" i="71" s="1"/>
  <c r="CA17" i="71"/>
  <c r="O17" i="71" s="1"/>
  <c r="CA34" i="68"/>
  <c r="O34" i="68" s="1"/>
  <c r="CA40" i="69"/>
  <c r="O40" i="69" s="1"/>
  <c r="CA41" i="65"/>
  <c r="O41" i="65" s="1"/>
  <c r="CA31" i="67"/>
  <c r="O31" i="67" s="1"/>
  <c r="CA24" i="67"/>
  <c r="O24" i="67" s="1"/>
  <c r="CA36" i="69"/>
  <c r="O36" i="69" s="1"/>
  <c r="CA43" i="65"/>
  <c r="O43" i="65" s="1"/>
  <c r="CA44" i="71"/>
  <c r="O44" i="71" s="1"/>
  <c r="CA14" i="68"/>
  <c r="CA35" i="69"/>
  <c r="O35" i="69" s="1"/>
  <c r="CA15" i="72"/>
  <c r="O15" i="72" s="1"/>
  <c r="CA15" i="69"/>
  <c r="O15" i="69" s="1"/>
  <c r="CA15" i="68"/>
  <c r="O15" i="68" s="1"/>
  <c r="CA20" i="66"/>
  <c r="O20" i="66" s="1"/>
  <c r="CA34" i="72"/>
  <c r="O34" i="72" s="1"/>
  <c r="CA29" i="71"/>
  <c r="O29" i="71" s="1"/>
  <c r="CA22" i="71"/>
  <c r="O22" i="71" s="1"/>
  <c r="CA42" i="65"/>
  <c r="O42" i="65" s="1"/>
  <c r="CA36" i="71"/>
  <c r="O36" i="71" s="1"/>
  <c r="CA21" i="68"/>
  <c r="O21" i="68" s="1"/>
  <c r="CA30" i="70"/>
  <c r="O30" i="70" s="1"/>
  <c r="CA14" i="72"/>
  <c r="O14" i="72" s="1"/>
  <c r="CA38" i="71"/>
  <c r="O38" i="71" s="1"/>
  <c r="CA36" i="65"/>
  <c r="O36" i="65" s="1"/>
  <c r="CA27" i="66"/>
  <c r="O27" i="66" s="1"/>
  <c r="CA22" i="68"/>
  <c r="O22" i="68" s="1"/>
  <c r="CA18" i="66"/>
  <c r="O18" i="66" s="1"/>
  <c r="CA40" i="67"/>
  <c r="O40" i="67" s="1"/>
  <c r="CA23" i="65"/>
  <c r="O23" i="65" s="1"/>
  <c r="CA36" i="67"/>
  <c r="O36" i="67" s="1"/>
  <c r="CA34" i="66"/>
  <c r="O34" i="66" s="1"/>
  <c r="CA21" i="65"/>
  <c r="O21" i="65" s="1"/>
  <c r="CA30" i="67"/>
  <c r="O30" i="67" s="1"/>
  <c r="CA21" i="69"/>
  <c r="O21" i="69" s="1"/>
  <c r="CA15" i="66"/>
  <c r="O15" i="66" s="1"/>
  <c r="CA28" i="71"/>
  <c r="O28" i="71" s="1"/>
  <c r="CA28" i="72"/>
  <c r="O28" i="72" s="1"/>
  <c r="CA14" i="66"/>
  <c r="O14" i="66" s="1"/>
  <c r="CA22" i="72"/>
  <c r="O22" i="72" s="1"/>
  <c r="CA42" i="69"/>
  <c r="O42" i="69" s="1"/>
  <c r="CA19" i="72"/>
  <c r="O19" i="72" s="1"/>
  <c r="CA37" i="69"/>
  <c r="O37" i="69" s="1"/>
  <c r="CA17" i="67"/>
  <c r="O17" i="67" s="1"/>
  <c r="CA32" i="67"/>
  <c r="O32" i="67" s="1"/>
  <c r="CA34" i="65"/>
  <c r="O34" i="65" s="1"/>
  <c r="CA39" i="70"/>
  <c r="O39" i="70" s="1"/>
  <c r="CA20" i="72"/>
  <c r="O20" i="72" s="1"/>
  <c r="CA33" i="67"/>
  <c r="O33" i="67" s="1"/>
  <c r="CA39" i="71"/>
  <c r="O39" i="71" s="1"/>
  <c r="O41" i="68"/>
  <c r="CA20" i="69"/>
  <c r="O20" i="69" s="1"/>
  <c r="CA33" i="68"/>
  <c r="O33" i="68" s="1"/>
  <c r="CA35" i="68"/>
  <c r="O35" i="68" s="1"/>
  <c r="CA29" i="69"/>
  <c r="O29" i="69" s="1"/>
  <c r="CA35" i="65"/>
  <c r="O35" i="65" s="1"/>
  <c r="CA29" i="65"/>
  <c r="O29" i="65" s="1"/>
  <c r="CA22" i="67"/>
  <c r="O22" i="67" s="1"/>
  <c r="CA31" i="70"/>
  <c r="O31" i="70" s="1"/>
  <c r="CA22" i="65"/>
  <c r="O22" i="65" s="1"/>
  <c r="P24" i="65"/>
  <c r="P31" i="65"/>
  <c r="P38" i="65"/>
  <c r="P41" i="72"/>
  <c r="Q41" i="72" s="1"/>
  <c r="P43" i="72"/>
  <c r="Q43" i="72" s="1"/>
  <c r="P39" i="72"/>
  <c r="Q39" i="72" s="1"/>
  <c r="P42" i="72"/>
  <c r="Q42" i="72" s="1"/>
  <c r="P36" i="66"/>
  <c r="Q36" i="66" s="1"/>
  <c r="P43" i="66"/>
  <c r="Q43" i="66" s="1"/>
  <c r="P39" i="66"/>
  <c r="Q39" i="66" s="1"/>
  <c r="P16" i="66"/>
  <c r="Q16" i="66" s="1"/>
  <c r="P30" i="66"/>
  <c r="Q30" i="66" s="1"/>
  <c r="P44" i="66"/>
  <c r="Q44" i="66" s="1"/>
  <c r="P41" i="66"/>
  <c r="Q41" i="66" s="1"/>
  <c r="P23" i="66"/>
  <c r="Q23" i="66" s="1"/>
  <c r="P42" i="66"/>
  <c r="Q42" i="66" s="1"/>
  <c r="P40" i="66"/>
  <c r="Q40" i="66" s="1"/>
  <c r="P35" i="66"/>
  <c r="Q35" i="66" s="1"/>
  <c r="P37" i="66"/>
  <c r="Q37" i="66" s="1"/>
  <c r="P38" i="66"/>
  <c r="Q38" i="66" s="1"/>
  <c r="CA30" i="71"/>
  <c r="O30" i="71" s="1"/>
  <c r="CA35" i="72"/>
  <c r="O35" i="72" s="1"/>
  <c r="O40" i="68"/>
  <c r="CA18" i="67"/>
  <c r="O18" i="67" s="1"/>
  <c r="CA25" i="71"/>
  <c r="O25" i="71" s="1"/>
  <c r="P35" i="65"/>
  <c r="P42" i="65"/>
  <c r="CA16" i="69"/>
  <c r="O16" i="69" s="1"/>
  <c r="CA38" i="70"/>
  <c r="O38" i="70" s="1"/>
  <c r="CA41" i="70"/>
  <c r="O41" i="70" s="1"/>
  <c r="CA23" i="67"/>
  <c r="O23" i="67" s="1"/>
  <c r="CA38" i="67"/>
  <c r="O38" i="67" s="1"/>
  <c r="CA21" i="71"/>
  <c r="O21" i="71" s="1"/>
  <c r="CA24" i="71"/>
  <c r="O24" i="71" s="1"/>
  <c r="CA32" i="66"/>
  <c r="O32" i="66" s="1"/>
  <c r="CA45" i="64"/>
  <c r="O14" i="65"/>
  <c r="O16" i="64"/>
  <c r="O14" i="63"/>
  <c r="CA44" i="63"/>
  <c r="P37" i="64"/>
  <c r="Q37" i="64" s="1"/>
  <c r="P15" i="63"/>
  <c r="Q15" i="63" s="1"/>
  <c r="P17" i="65"/>
  <c r="Q17" i="65" s="1"/>
  <c r="P20" i="64"/>
  <c r="Q20" i="64" s="1"/>
  <c r="P27" i="64"/>
  <c r="Q27" i="64" s="1"/>
  <c r="P41" i="64"/>
  <c r="Q41" i="64" s="1"/>
  <c r="P43" i="63"/>
  <c r="Q43" i="63" s="1"/>
  <c r="P30" i="63"/>
  <c r="Q30" i="63" s="1"/>
  <c r="P23" i="63"/>
  <c r="Q23" i="63" s="1"/>
  <c r="P16" i="63"/>
  <c r="Q16" i="63" s="1"/>
  <c r="P37" i="63"/>
  <c r="Q37" i="63" s="1"/>
  <c r="P17" i="64"/>
  <c r="Q17" i="64" s="1"/>
  <c r="A4" i="46"/>
  <c r="Q15" i="69" l="1"/>
  <c r="Q29" i="69"/>
  <c r="Q36" i="69"/>
  <c r="Q43" i="69"/>
  <c r="Q22" i="69"/>
  <c r="Q35" i="65"/>
  <c r="Q31" i="65"/>
  <c r="Q24" i="65"/>
  <c r="Q38" i="65"/>
  <c r="Q42" i="65"/>
  <c r="Z14" i="71"/>
  <c r="Z45" i="71" s="1"/>
  <c r="P32" i="69"/>
  <c r="Q32" i="69" s="1"/>
  <c r="P40" i="72"/>
  <c r="Q40" i="72" s="1"/>
  <c r="P35" i="70"/>
  <c r="Q35" i="70" s="1"/>
  <c r="P42" i="63"/>
  <c r="Q42" i="63" s="1"/>
  <c r="P17" i="72"/>
  <c r="Q17" i="72" s="1"/>
  <c r="P28" i="65"/>
  <c r="Q28" i="65" s="1"/>
  <c r="P26" i="65"/>
  <c r="Q26" i="65" s="1"/>
  <c r="P19" i="65"/>
  <c r="Q19" i="65" s="1"/>
  <c r="P21" i="70"/>
  <c r="Q21" i="70" s="1"/>
  <c r="P18" i="69"/>
  <c r="Q18" i="69" s="1"/>
  <c r="P19" i="71"/>
  <c r="Q19" i="71" s="1"/>
  <c r="P15" i="70"/>
  <c r="Q15" i="70" s="1"/>
  <c r="P42" i="70"/>
  <c r="Q42" i="70" s="1"/>
  <c r="P23" i="64"/>
  <c r="Q23" i="64" s="1"/>
  <c r="P40" i="64"/>
  <c r="Q40" i="64" s="1"/>
  <c r="P44" i="64"/>
  <c r="Q44" i="64" s="1"/>
  <c r="P21" i="65"/>
  <c r="Q21" i="65" s="1"/>
  <c r="P32" i="67"/>
  <c r="Q32" i="67" s="1"/>
  <c r="P42" i="71"/>
  <c r="Q42" i="71" s="1"/>
  <c r="P31" i="72"/>
  <c r="Q31" i="72" s="1"/>
  <c r="P31" i="69"/>
  <c r="Q31" i="69" s="1"/>
  <c r="P29" i="70"/>
  <c r="Q29" i="70" s="1"/>
  <c r="P23" i="70"/>
  <c r="Q23" i="70" s="1"/>
  <c r="P22" i="68"/>
  <c r="Q22" i="68" s="1"/>
  <c r="P18" i="64"/>
  <c r="Q18" i="64" s="1"/>
  <c r="P29" i="65"/>
  <c r="Q29" i="65" s="1"/>
  <c r="P41" i="65"/>
  <c r="Q41" i="65" s="1"/>
  <c r="P21" i="67"/>
  <c r="Q21" i="67" s="1"/>
  <c r="P36" i="68"/>
  <c r="Q36" i="68" s="1"/>
  <c r="P31" i="66"/>
  <c r="Q31" i="66" s="1"/>
  <c r="P22" i="65"/>
  <c r="Q22" i="65" s="1"/>
  <c r="P40" i="68"/>
  <c r="Q40" i="68" s="1"/>
  <c r="P28" i="67"/>
  <c r="Q28" i="67" s="1"/>
  <c r="P16" i="72"/>
  <c r="Q16" i="72" s="1"/>
  <c r="P26" i="71"/>
  <c r="Q26" i="71" s="1"/>
  <c r="P22" i="70"/>
  <c r="Q22" i="70" s="1"/>
  <c r="P18" i="70"/>
  <c r="Q18" i="70" s="1"/>
  <c r="P18" i="68"/>
  <c r="Q18" i="68" s="1"/>
  <c r="P18" i="67"/>
  <c r="Q18" i="67" s="1"/>
  <c r="P20" i="71"/>
  <c r="Q20" i="71" s="1"/>
  <c r="P24" i="69"/>
  <c r="Q24" i="69" s="1"/>
  <c r="P16" i="70"/>
  <c r="Q16" i="70" s="1"/>
  <c r="P41" i="71"/>
  <c r="Q41" i="71" s="1"/>
  <c r="P18" i="72"/>
  <c r="Q18" i="72" s="1"/>
  <c r="P17" i="66"/>
  <c r="Q17" i="66" s="1"/>
  <c r="P30" i="72"/>
  <c r="Q30" i="72" s="1"/>
  <c r="P40" i="71"/>
  <c r="Q40" i="71" s="1"/>
  <c r="P34" i="71"/>
  <c r="Q34" i="71" s="1"/>
  <c r="P17" i="70"/>
  <c r="Q17" i="70" s="1"/>
  <c r="P17" i="69"/>
  <c r="Q17" i="69" s="1"/>
  <c r="P41" i="68"/>
  <c r="Q41" i="68" s="1"/>
  <c r="P16" i="65"/>
  <c r="Q16" i="65" s="1"/>
  <c r="P40" i="65"/>
  <c r="Q40" i="65" s="1"/>
  <c r="P38" i="64"/>
  <c r="Q38" i="64" s="1"/>
  <c r="P26" i="64"/>
  <c r="Q26" i="64" s="1"/>
  <c r="P14" i="63"/>
  <c r="Q14" i="63" s="1"/>
  <c r="P14" i="66"/>
  <c r="Q14" i="66" s="1"/>
  <c r="O14" i="68"/>
  <c r="CA43" i="68"/>
  <c r="P15" i="68"/>
  <c r="Q15" i="68" s="1"/>
  <c r="P39" i="67"/>
  <c r="Q39" i="67" s="1"/>
  <c r="P25" i="67"/>
  <c r="Q25" i="67" s="1"/>
  <c r="P15" i="65"/>
  <c r="Q15" i="65" s="1"/>
  <c r="P19" i="63"/>
  <c r="Q19" i="63" s="1"/>
  <c r="P25" i="64"/>
  <c r="Q25" i="64" s="1"/>
  <c r="P16" i="64"/>
  <c r="Q16" i="64" s="1"/>
  <c r="P27" i="65"/>
  <c r="Q27" i="65" s="1"/>
  <c r="P20" i="65"/>
  <c r="Q20" i="65" s="1"/>
  <c r="P21" i="66"/>
  <c r="Q21" i="66" s="1"/>
  <c r="P39" i="64"/>
  <c r="Q39" i="64" s="1"/>
  <c r="P17" i="71"/>
  <c r="Q17" i="71" s="1"/>
  <c r="P34" i="65"/>
  <c r="Q34" i="65" s="1"/>
  <c r="P14" i="65"/>
  <c r="Q14" i="65" s="1"/>
  <c r="P19" i="64"/>
  <c r="Q19" i="64" s="1"/>
  <c r="P22" i="71"/>
  <c r="Q22" i="71" s="1"/>
  <c r="P33" i="70"/>
  <c r="Q33" i="70" s="1"/>
  <c r="P43" i="65"/>
  <c r="Q43" i="65" s="1"/>
  <c r="P24" i="64"/>
  <c r="Q24" i="64" s="1"/>
  <c r="P36" i="65"/>
  <c r="Q36" i="65" s="1"/>
  <c r="P28" i="66"/>
  <c r="Q28" i="66" s="1"/>
  <c r="P30" i="65"/>
  <c r="Q30" i="65" s="1"/>
  <c r="P37" i="65"/>
  <c r="Q37" i="65" s="1"/>
  <c r="P23" i="65"/>
  <c r="Q23" i="65" s="1"/>
  <c r="P35" i="63"/>
  <c r="Q35" i="63" s="1"/>
  <c r="P21" i="63"/>
  <c r="Q21" i="63" s="1"/>
  <c r="P28" i="63"/>
  <c r="Q28" i="63" s="1"/>
  <c r="P22" i="67"/>
  <c r="Q22" i="67" s="1"/>
  <c r="P33" i="69"/>
  <c r="Q33" i="69" s="1"/>
  <c r="P38" i="71"/>
  <c r="Q38" i="71" s="1"/>
  <c r="P24" i="71"/>
  <c r="Q24" i="71" s="1"/>
  <c r="P34" i="68"/>
  <c r="Q34" i="68" s="1"/>
  <c r="P26" i="70"/>
  <c r="Q26" i="70" s="1"/>
  <c r="P40" i="70"/>
  <c r="Q40" i="70" s="1"/>
  <c r="P31" i="67"/>
  <c r="Q31" i="67" s="1"/>
  <c r="P35" i="72"/>
  <c r="Q35" i="72" s="1"/>
  <c r="P19" i="67"/>
  <c r="Q19" i="67" s="1"/>
  <c r="P37" i="70"/>
  <c r="Q37" i="70" s="1"/>
  <c r="P21" i="71"/>
  <c r="Q21" i="71" s="1"/>
  <c r="P32" i="71"/>
  <c r="Q32" i="71" s="1"/>
  <c r="P30" i="70"/>
  <c r="Q30" i="70" s="1"/>
  <c r="P37" i="67"/>
  <c r="Q37" i="67" s="1"/>
  <c r="P14" i="71"/>
  <c r="Q14" i="71" s="1"/>
  <c r="P21" i="72"/>
  <c r="Q21" i="72" s="1"/>
  <c r="P30" i="69"/>
  <c r="Q30" i="69" s="1"/>
  <c r="P23" i="69"/>
  <c r="Q23" i="69" s="1"/>
  <c r="P19" i="66"/>
  <c r="Q19" i="66" s="1"/>
  <c r="P40" i="67"/>
  <c r="Q40" i="67" s="1"/>
  <c r="P15" i="66"/>
  <c r="Q15" i="66" s="1"/>
  <c r="P28" i="72"/>
  <c r="Q28" i="72" s="1"/>
  <c r="P30" i="67"/>
  <c r="Q30" i="67" s="1"/>
  <c r="P27" i="72"/>
  <c r="Q27" i="72" s="1"/>
  <c r="P34" i="72"/>
  <c r="Q34" i="72" s="1"/>
  <c r="P37" i="71"/>
  <c r="Q37" i="71" s="1"/>
  <c r="P36" i="71"/>
  <c r="Q36" i="71" s="1"/>
  <c r="P29" i="71"/>
  <c r="Q29" i="71" s="1"/>
  <c r="P25" i="71"/>
  <c r="Q25" i="71" s="1"/>
  <c r="P41" i="69"/>
  <c r="Q41" i="69" s="1"/>
  <c r="P14" i="69"/>
  <c r="Q14" i="69" s="1"/>
  <c r="P37" i="68"/>
  <c r="Q37" i="68" s="1"/>
  <c r="P23" i="68"/>
  <c r="Q23" i="68" s="1"/>
  <c r="P26" i="66"/>
  <c r="Q26" i="66" s="1"/>
  <c r="P26" i="72"/>
  <c r="Q26" i="72" s="1"/>
  <c r="P29" i="72"/>
  <c r="Q29" i="72" s="1"/>
  <c r="P32" i="72"/>
  <c r="Q32" i="72" s="1"/>
  <c r="P35" i="69"/>
  <c r="Q35" i="69" s="1"/>
  <c r="P25" i="72"/>
  <c r="Q25" i="72" s="1"/>
  <c r="P28" i="69"/>
  <c r="Q28" i="69" s="1"/>
  <c r="P21" i="68"/>
  <c r="Q21" i="68" s="1"/>
  <c r="P19" i="68"/>
  <c r="Q19" i="68" s="1"/>
  <c r="P29" i="66"/>
  <c r="Q29" i="66" s="1"/>
  <c r="P22" i="66"/>
  <c r="Q22" i="66" s="1"/>
  <c r="P21" i="69"/>
  <c r="Q21" i="69" s="1"/>
  <c r="P37" i="69"/>
  <c r="Q37" i="69" s="1"/>
  <c r="P24" i="70"/>
  <c r="Q24" i="70" s="1"/>
  <c r="P15" i="71"/>
  <c r="Q15" i="71" s="1"/>
  <c r="P40" i="69"/>
  <c r="Q40" i="69" s="1"/>
  <c r="P34" i="70"/>
  <c r="Q34" i="70" s="1"/>
  <c r="P26" i="67"/>
  <c r="Q26" i="67" s="1"/>
  <c r="P14" i="72"/>
  <c r="Q14" i="72" s="1"/>
  <c r="P27" i="69"/>
  <c r="Q27" i="69" s="1"/>
  <c r="P44" i="67"/>
  <c r="Q44" i="67" s="1"/>
  <c r="P19" i="72"/>
  <c r="Q19" i="72" s="1"/>
  <c r="P24" i="67"/>
  <c r="Q24" i="67" s="1"/>
  <c r="P34" i="69"/>
  <c r="Q34" i="69" s="1"/>
  <c r="P34" i="66"/>
  <c r="Q34" i="66" s="1"/>
  <c r="P38" i="67"/>
  <c r="Q38" i="67" s="1"/>
  <c r="P30" i="71"/>
  <c r="Q30" i="71" s="1"/>
  <c r="P33" i="68"/>
  <c r="Q33" i="68" s="1"/>
  <c r="P26" i="69"/>
  <c r="Q26" i="69" s="1"/>
  <c r="P43" i="67"/>
  <c r="Q43" i="67" s="1"/>
  <c r="P44" i="71"/>
  <c r="Q44" i="71" s="1"/>
  <c r="P33" i="66"/>
  <c r="Q33" i="66" s="1"/>
  <c r="P44" i="69"/>
  <c r="Q44" i="69" s="1"/>
  <c r="P20" i="66"/>
  <c r="Q20" i="66" s="1"/>
  <c r="P20" i="69"/>
  <c r="Q20" i="69" s="1"/>
  <c r="P32" i="70"/>
  <c r="Q32" i="70" s="1"/>
  <c r="P28" i="71"/>
  <c r="Q28" i="71" s="1"/>
  <c r="P20" i="68"/>
  <c r="Q20" i="68" s="1"/>
  <c r="P20" i="72"/>
  <c r="Q20" i="72" s="1"/>
  <c r="P22" i="72"/>
  <c r="Q22" i="72" s="1"/>
  <c r="P42" i="69"/>
  <c r="Q42" i="69" s="1"/>
  <c r="P15" i="72"/>
  <c r="Q15" i="72" s="1"/>
  <c r="P33" i="72"/>
  <c r="Q33" i="72" s="1"/>
  <c r="P35" i="71"/>
  <c r="Q35" i="71" s="1"/>
  <c r="P17" i="67"/>
  <c r="Q17" i="67" s="1"/>
  <c r="P39" i="71"/>
  <c r="Q39" i="71" s="1"/>
  <c r="P16" i="68"/>
  <c r="Q16" i="68" s="1"/>
  <c r="P25" i="70"/>
  <c r="Q25" i="70" s="1"/>
  <c r="P41" i="70"/>
  <c r="Q41" i="70" s="1"/>
  <c r="P35" i="68"/>
  <c r="Q35" i="68" s="1"/>
  <c r="P36" i="67"/>
  <c r="Q36" i="67" s="1"/>
  <c r="P16" i="69"/>
  <c r="Q16" i="69" s="1"/>
  <c r="P33" i="67"/>
  <c r="Q33" i="67" s="1"/>
  <c r="P43" i="71"/>
  <c r="Q43" i="71" s="1"/>
  <c r="P29" i="67"/>
  <c r="Q29" i="67" s="1"/>
  <c r="CA45" i="69"/>
  <c r="CA44" i="65"/>
  <c r="CA45" i="67"/>
  <c r="CA44" i="72"/>
  <c r="CA45" i="66"/>
  <c r="P32" i="66"/>
  <c r="Q32" i="66" s="1"/>
  <c r="P31" i="70"/>
  <c r="Q31" i="70" s="1"/>
  <c r="P36" i="72"/>
  <c r="Q36" i="72" s="1"/>
  <c r="CA44" i="70"/>
  <c r="P23" i="67"/>
  <c r="Q23" i="67" s="1"/>
  <c r="P23" i="71"/>
  <c r="Q23" i="71" s="1"/>
  <c r="CA45" i="71"/>
  <c r="P27" i="70"/>
  <c r="Q27" i="70" s="1"/>
  <c r="P39" i="70"/>
  <c r="Q39" i="70" s="1"/>
  <c r="P18" i="66"/>
  <c r="Q18" i="66" s="1"/>
  <c r="P16" i="71"/>
  <c r="Q16" i="71" s="1"/>
  <c r="P27" i="66"/>
  <c r="Q27" i="66" s="1"/>
  <c r="P38" i="70"/>
  <c r="Q38" i="70" s="1"/>
  <c r="P25" i="66"/>
  <c r="Q25" i="66" s="1"/>
  <c r="P20" i="63"/>
  <c r="Q20" i="63" s="1"/>
  <c r="P29" i="63"/>
  <c r="Q29" i="63" s="1"/>
  <c r="P36" i="63"/>
  <c r="Q36" i="63" s="1"/>
  <c r="P33" i="63"/>
  <c r="Q33" i="63" s="1"/>
  <c r="P34" i="63"/>
  <c r="Q34" i="63" s="1"/>
  <c r="P27" i="63"/>
  <c r="Q27" i="63" s="1"/>
  <c r="P40" i="63"/>
  <c r="Q40" i="63" s="1"/>
  <c r="P22" i="63"/>
  <c r="Q22" i="63" s="1"/>
  <c r="P25" i="63"/>
  <c r="Q25" i="63" s="1"/>
  <c r="P32" i="63"/>
  <c r="Q32" i="63" s="1"/>
  <c r="P26" i="63"/>
  <c r="Q26" i="63" s="1"/>
  <c r="P41" i="63"/>
  <c r="Q41" i="63" s="1"/>
  <c r="P18" i="63"/>
  <c r="Q18" i="63" s="1"/>
  <c r="P39" i="63"/>
  <c r="Q39" i="63" s="1"/>
  <c r="O45" i="69"/>
  <c r="O44" i="65"/>
  <c r="O45" i="71"/>
  <c r="O44" i="63"/>
  <c r="O45" i="66"/>
  <c r="O45" i="64"/>
  <c r="O45" i="67"/>
  <c r="O44" i="72"/>
  <c r="O44" i="70"/>
  <c r="B4" i="46"/>
  <c r="O43" i="68" l="1"/>
  <c r="CX43" i="68"/>
  <c r="Q45" i="64"/>
  <c r="P45" i="64"/>
  <c r="P44" i="65"/>
  <c r="P14" i="68"/>
  <c r="Q14" i="68" s="1"/>
  <c r="P44" i="72"/>
  <c r="Q44" i="72"/>
  <c r="Q44" i="65"/>
  <c r="Q45" i="67"/>
  <c r="P45" i="67"/>
  <c r="P45" i="71"/>
  <c r="P44" i="70"/>
  <c r="Q45" i="66"/>
  <c r="Q45" i="71"/>
  <c r="Q44" i="70"/>
  <c r="P45" i="66"/>
  <c r="P44" i="63"/>
  <c r="Q44" i="63"/>
  <c r="A5" i="46"/>
  <c r="J108" i="1"/>
  <c r="J107" i="1"/>
  <c r="J106" i="1"/>
  <c r="J105" i="1"/>
  <c r="J104" i="1"/>
  <c r="E100" i="1"/>
  <c r="J99" i="1"/>
  <c r="J98" i="1"/>
  <c r="J97" i="1"/>
  <c r="J96" i="1"/>
  <c r="J95" i="1"/>
  <c r="E91" i="1"/>
  <c r="J90" i="1"/>
  <c r="J89" i="1"/>
  <c r="J88" i="1"/>
  <c r="J87" i="1"/>
  <c r="J86" i="1"/>
  <c r="E82" i="1"/>
  <c r="J81" i="1"/>
  <c r="J80" i="1"/>
  <c r="J79" i="1"/>
  <c r="J78" i="1"/>
  <c r="J77" i="1"/>
  <c r="P43" i="68" l="1"/>
  <c r="B5" i="46"/>
  <c r="E17" i="50" l="1"/>
  <c r="E48" i="50" s="1"/>
  <c r="E50" i="50" s="1"/>
  <c r="D17" i="50"/>
  <c r="D48" i="50" s="1"/>
  <c r="D50" i="50" s="1"/>
  <c r="Q43" i="68"/>
  <c r="G48" i="50"/>
  <c r="A6" i="46"/>
  <c r="E52" i="50" l="1"/>
  <c r="E51" i="50"/>
  <c r="B6" i="46"/>
  <c r="G49" i="50" l="1"/>
  <c r="G50" i="50" s="1"/>
  <c r="A7" i="46"/>
  <c r="B7" i="46" l="1"/>
  <c r="G56" i="50" l="1"/>
  <c r="A8" i="46"/>
  <c r="B8" i="46" l="1"/>
  <c r="G57" i="50" l="1"/>
  <c r="A9" i="46"/>
  <c r="G58" i="50" l="1"/>
  <c r="G59" i="50" s="1"/>
  <c r="B9" i="46"/>
  <c r="A10" i="46" l="1"/>
  <c r="B10" i="46" l="1"/>
  <c r="A11" i="46" l="1"/>
  <c r="B11" i="46" l="1"/>
  <c r="A12" i="46" l="1"/>
  <c r="B12" i="46" l="1"/>
  <c r="A13" i="46" l="1"/>
  <c r="B13" i="46" l="1"/>
  <c r="A14" i="46" l="1"/>
  <c r="B14" i="46" l="1"/>
  <c r="A15" i="46" l="1"/>
  <c r="B15" i="46" l="1"/>
  <c r="A16" i="46" l="1"/>
  <c r="B16" i="46" l="1"/>
  <c r="A1" i="41" l="1"/>
  <c r="AO87" i="41"/>
  <c r="BL87" i="41" s="1"/>
  <c r="AO88" i="41"/>
  <c r="BL88" i="41" s="1"/>
  <c r="AO89" i="41"/>
  <c r="BL89" i="41" s="1"/>
  <c r="AO90" i="41"/>
  <c r="BL90" i="41" s="1"/>
  <c r="A15" i="41"/>
  <c r="A3" i="23" s="1"/>
  <c r="A3" i="24" s="1"/>
  <c r="B15" i="41" l="1"/>
  <c r="A16" i="41"/>
  <c r="CL15" i="41" l="1"/>
  <c r="CS15" i="41"/>
  <c r="CJ15" i="41"/>
  <c r="CR15" i="41"/>
  <c r="CI15" i="41"/>
  <c r="CQ15" i="41"/>
  <c r="CH15" i="41"/>
  <c r="CP15" i="41"/>
  <c r="CG15" i="41"/>
  <c r="CW15" i="41"/>
  <c r="CO15" i="41"/>
  <c r="CF15" i="41"/>
  <c r="CV15" i="41"/>
  <c r="CN15" i="41"/>
  <c r="CE15" i="41"/>
  <c r="CU15" i="41"/>
  <c r="CM15" i="41"/>
  <c r="CT15" i="41"/>
  <c r="CK15" i="41"/>
  <c r="CD15" i="41"/>
  <c r="BZ15" i="41"/>
  <c r="BT15" i="41"/>
  <c r="BY15" i="41"/>
  <c r="BS15" i="41"/>
  <c r="BX15" i="41"/>
  <c r="BR15" i="41"/>
  <c r="BL15" i="41"/>
  <c r="BP15" i="41"/>
  <c r="BO15" i="41"/>
  <c r="BJ15" i="41"/>
  <c r="BN15" i="41"/>
  <c r="BI15" i="41"/>
  <c r="BG15" i="41"/>
  <c r="BQ15" i="41"/>
  <c r="BM15" i="41"/>
  <c r="BW15" i="41"/>
  <c r="BU15" i="41"/>
  <c r="BH15" i="41"/>
  <c r="BV15" i="41"/>
  <c r="BK15" i="41"/>
  <c r="B16" i="41"/>
  <c r="A4" i="23"/>
  <c r="A4" i="24" s="1"/>
  <c r="B3" i="23"/>
  <c r="B3" i="24" s="1"/>
  <c r="AZ15" i="41"/>
  <c r="AY15" i="41"/>
  <c r="AX15" i="41"/>
  <c r="AW15" i="41"/>
  <c r="AV15" i="41"/>
  <c r="AJ15" i="41"/>
  <c r="AH15" i="41"/>
  <c r="AG15" i="41"/>
  <c r="AK15" i="41"/>
  <c r="AI15" i="41"/>
  <c r="AI16" i="41"/>
  <c r="AJ16" i="41"/>
  <c r="AH16" i="41"/>
  <c r="AG16" i="41"/>
  <c r="AK16" i="41"/>
  <c r="A17" i="41"/>
  <c r="A5" i="23" s="1"/>
  <c r="A5" i="24" s="1"/>
  <c r="AT16" i="41"/>
  <c r="AL16" i="41"/>
  <c r="AS16" i="41"/>
  <c r="AX16" i="41"/>
  <c r="AZ16" i="41"/>
  <c r="AR16" i="41"/>
  <c r="AP16" i="41"/>
  <c r="AY16" i="41"/>
  <c r="AQ16" i="41"/>
  <c r="AW16" i="41"/>
  <c r="AO16" i="41"/>
  <c r="AV16" i="41"/>
  <c r="AN16" i="41"/>
  <c r="AU16" i="41"/>
  <c r="AM16" i="41"/>
  <c r="AR15" i="41"/>
  <c r="AQ15" i="41"/>
  <c r="AP15" i="41"/>
  <c r="AN15" i="41"/>
  <c r="AO15" i="41"/>
  <c r="AT15" i="41"/>
  <c r="AU15" i="41"/>
  <c r="AM15" i="41"/>
  <c r="AL15" i="41"/>
  <c r="AS15" i="41"/>
  <c r="D16" i="41"/>
  <c r="D15" i="41"/>
  <c r="D3" i="23" l="1"/>
  <c r="E3" i="24" s="1"/>
  <c r="D4" i="23"/>
  <c r="E4" i="24" s="1"/>
  <c r="CX15" i="41"/>
  <c r="P15" i="41" s="1"/>
  <c r="CL16" i="41"/>
  <c r="CG16" i="41"/>
  <c r="CP16" i="41"/>
  <c r="CH16" i="41"/>
  <c r="CQ16" i="41"/>
  <c r="CI16" i="41"/>
  <c r="CR16" i="41"/>
  <c r="CJ16" i="41"/>
  <c r="CS16" i="41"/>
  <c r="CK16" i="41"/>
  <c r="CT16" i="41"/>
  <c r="CF16" i="41"/>
  <c r="CM16" i="41"/>
  <c r="CN16" i="41"/>
  <c r="CO16" i="41"/>
  <c r="CU16" i="41"/>
  <c r="CV16" i="41"/>
  <c r="CD16" i="41"/>
  <c r="CW16" i="41"/>
  <c r="CE16" i="41"/>
  <c r="BW16" i="41"/>
  <c r="BX16" i="41"/>
  <c r="BP16" i="41"/>
  <c r="BY16" i="41"/>
  <c r="BZ16" i="41"/>
  <c r="BQ16" i="41"/>
  <c r="BS16" i="41"/>
  <c r="BL16" i="41"/>
  <c r="BJ16" i="41"/>
  <c r="BT16" i="41"/>
  <c r="BM16" i="41"/>
  <c r="BG16" i="41"/>
  <c r="BR16" i="41"/>
  <c r="BK16" i="41"/>
  <c r="BU16" i="41"/>
  <c r="BN16" i="41"/>
  <c r="BH16" i="41"/>
  <c r="BI16" i="41"/>
  <c r="BV16" i="41"/>
  <c r="BO16" i="41"/>
  <c r="B4" i="23"/>
  <c r="B4" i="24" s="1"/>
  <c r="BA15" i="41"/>
  <c r="CA15" i="41"/>
  <c r="O15" i="41" s="1"/>
  <c r="BA16" i="41"/>
  <c r="A18" i="41"/>
  <c r="A6" i="23" s="1"/>
  <c r="A6" i="24" s="1"/>
  <c r="B17" i="41"/>
  <c r="BB16" i="41"/>
  <c r="BB15" i="41"/>
  <c r="Z15" i="41" l="1"/>
  <c r="CA16" i="41"/>
  <c r="O16" i="41" s="1"/>
  <c r="CX16" i="41"/>
  <c r="P16" i="41" s="1"/>
  <c r="CL17" i="41"/>
  <c r="CD17" i="41"/>
  <c r="CM17" i="41"/>
  <c r="CU17" i="41"/>
  <c r="CE17" i="41"/>
  <c r="CN17" i="41"/>
  <c r="CV17" i="41"/>
  <c r="CF17" i="41"/>
  <c r="CO17" i="41"/>
  <c r="CW17" i="41"/>
  <c r="CG17" i="41"/>
  <c r="CP17" i="41"/>
  <c r="CH17" i="41"/>
  <c r="CQ17" i="41"/>
  <c r="CJ17" i="41"/>
  <c r="CK17" i="41"/>
  <c r="CR17" i="41"/>
  <c r="CS17" i="41"/>
  <c r="CT17" i="41"/>
  <c r="CI17" i="41"/>
  <c r="BR17" i="41"/>
  <c r="BS17" i="41"/>
  <c r="BL17" i="41"/>
  <c r="BT17" i="41"/>
  <c r="BM17" i="41"/>
  <c r="BZ17" i="41"/>
  <c r="BH17" i="41"/>
  <c r="BP17" i="41"/>
  <c r="BI17" i="41"/>
  <c r="BN17" i="41"/>
  <c r="BO17" i="41"/>
  <c r="BG17" i="41"/>
  <c r="BJ17" i="41"/>
  <c r="BK17" i="41"/>
  <c r="BQ17" i="41"/>
  <c r="BV17" i="41"/>
  <c r="BU17" i="41"/>
  <c r="BW17" i="41"/>
  <c r="BX17" i="41"/>
  <c r="BY17" i="41"/>
  <c r="B5" i="23"/>
  <c r="B5" i="24" s="1"/>
  <c r="N16" i="41"/>
  <c r="AJ17" i="41"/>
  <c r="AH17" i="41"/>
  <c r="AG17" i="41"/>
  <c r="AK17" i="41"/>
  <c r="N15" i="41"/>
  <c r="Q15" i="41" s="1"/>
  <c r="AU17" i="41"/>
  <c r="AY17" i="41"/>
  <c r="AM17" i="41"/>
  <c r="AQ17" i="41"/>
  <c r="AW17" i="41"/>
  <c r="AT17" i="41"/>
  <c r="AI17" i="41"/>
  <c r="AO17" i="41"/>
  <c r="AL17" i="41"/>
  <c r="AX17" i="41"/>
  <c r="AS17" i="41"/>
  <c r="AP17" i="41"/>
  <c r="AV17" i="41"/>
  <c r="AZ17" i="41"/>
  <c r="D17" i="41"/>
  <c r="AN17" i="41"/>
  <c r="AR17" i="41"/>
  <c r="A19" i="41"/>
  <c r="A7" i="23" s="1"/>
  <c r="A7" i="24" s="1"/>
  <c r="B18" i="41"/>
  <c r="Q16" i="41" l="1"/>
  <c r="Y16" i="41"/>
  <c r="FN16" i="41" s="1"/>
  <c r="D5" i="23"/>
  <c r="E5" i="24" s="1"/>
  <c r="CX17" i="41"/>
  <c r="P17" i="41" s="1"/>
  <c r="CL18" i="41"/>
  <c r="CI18" i="41"/>
  <c r="CR18" i="41"/>
  <c r="CJ18" i="41"/>
  <c r="CS18" i="41"/>
  <c r="CK18" i="41"/>
  <c r="CT18" i="41"/>
  <c r="CD18" i="41"/>
  <c r="CM18" i="41"/>
  <c r="CU18" i="41"/>
  <c r="CE18" i="41"/>
  <c r="CN18" i="41"/>
  <c r="CV18" i="41"/>
  <c r="CO18" i="41"/>
  <c r="CP18" i="41"/>
  <c r="CQ18" i="41"/>
  <c r="CW18" i="41"/>
  <c r="CF18" i="41"/>
  <c r="CG18" i="41"/>
  <c r="CH18" i="41"/>
  <c r="BV18" i="41"/>
  <c r="BU18" i="41"/>
  <c r="BN18" i="41"/>
  <c r="BW18" i="41"/>
  <c r="BX18" i="41"/>
  <c r="BT18" i="41"/>
  <c r="BM18" i="41"/>
  <c r="BI18" i="41"/>
  <c r="BY18" i="41"/>
  <c r="BO18" i="41"/>
  <c r="BS18" i="41"/>
  <c r="BZ18" i="41"/>
  <c r="BP18" i="41"/>
  <c r="BG18" i="41"/>
  <c r="BQ18" i="41"/>
  <c r="BR18" i="41"/>
  <c r="BL18" i="41"/>
  <c r="BK18" i="41"/>
  <c r="BH18" i="41"/>
  <c r="BJ18" i="41"/>
  <c r="B6" i="23"/>
  <c r="B6" i="24" s="1"/>
  <c r="Y15" i="41"/>
  <c r="CA17" i="41"/>
  <c r="O17" i="41" s="1"/>
  <c r="BA17" i="41"/>
  <c r="N17" i="41" s="1"/>
  <c r="AJ18" i="41"/>
  <c r="AH18" i="41"/>
  <c r="AG18" i="41"/>
  <c r="AK18" i="41"/>
  <c r="AY18" i="41"/>
  <c r="AO18" i="41"/>
  <c r="AQ18" i="41"/>
  <c r="AW18" i="41"/>
  <c r="AI18" i="41"/>
  <c r="AN18" i="41"/>
  <c r="D18" i="41"/>
  <c r="AV18" i="41"/>
  <c r="AU18" i="41"/>
  <c r="AX18" i="41"/>
  <c r="AM18" i="41"/>
  <c r="AZ18" i="41"/>
  <c r="AP18" i="41"/>
  <c r="AT18" i="41"/>
  <c r="AS18" i="41"/>
  <c r="AR18" i="41"/>
  <c r="AL18" i="41"/>
  <c r="A20" i="41"/>
  <c r="A8" i="23" s="1"/>
  <c r="A8" i="24" s="1"/>
  <c r="B19" i="41"/>
  <c r="BB17" i="41"/>
  <c r="Q17" i="41" l="1"/>
  <c r="FL16" i="41"/>
  <c r="D6" i="23"/>
  <c r="E6" i="24" s="1"/>
  <c r="CL19" i="41"/>
  <c r="CF19" i="41"/>
  <c r="CO19" i="41"/>
  <c r="CW19" i="41"/>
  <c r="CG19" i="41"/>
  <c r="CH19" i="41"/>
  <c r="CI19" i="41"/>
  <c r="CR19" i="41"/>
  <c r="CJ19" i="41"/>
  <c r="CS19" i="41"/>
  <c r="CN19" i="41"/>
  <c r="CP19" i="41"/>
  <c r="CQ19" i="41"/>
  <c r="CT19" i="41"/>
  <c r="CD19" i="41"/>
  <c r="CU19" i="41"/>
  <c r="CE19" i="41"/>
  <c r="CV19" i="41"/>
  <c r="CK19" i="41"/>
  <c r="CM19" i="41"/>
  <c r="BY19" i="41"/>
  <c r="BZ19" i="41"/>
  <c r="BQ19" i="41"/>
  <c r="BR19" i="41"/>
  <c r="BH19" i="41"/>
  <c r="BK19" i="41"/>
  <c r="BM19" i="41"/>
  <c r="BS19" i="41"/>
  <c r="BI19" i="41"/>
  <c r="BO19" i="41"/>
  <c r="BT19" i="41"/>
  <c r="BJ19" i="41"/>
  <c r="BP19" i="41"/>
  <c r="BV19" i="41"/>
  <c r="BU19" i="41"/>
  <c r="BL19" i="41"/>
  <c r="BW19" i="41"/>
  <c r="BN19" i="41"/>
  <c r="BX19" i="41"/>
  <c r="BG19" i="41"/>
  <c r="CX18" i="41"/>
  <c r="P18" i="41" s="1"/>
  <c r="Y17" i="41"/>
  <c r="B7" i="23"/>
  <c r="B7" i="24" s="1"/>
  <c r="CA18" i="41"/>
  <c r="O18" i="41" s="1"/>
  <c r="BA18" i="41"/>
  <c r="AJ19" i="41"/>
  <c r="AH19" i="41"/>
  <c r="AG19" i="41"/>
  <c r="AZ19" i="41"/>
  <c r="AW19" i="41"/>
  <c r="D19" i="41"/>
  <c r="AU19" i="41"/>
  <c r="AR19" i="41"/>
  <c r="AO19" i="41"/>
  <c r="AM19" i="41"/>
  <c r="AY19" i="41"/>
  <c r="AQ19" i="41"/>
  <c r="AV19" i="41"/>
  <c r="AT19" i="41"/>
  <c r="AI19" i="41"/>
  <c r="AN19" i="41"/>
  <c r="AL19" i="41"/>
  <c r="AX19" i="41"/>
  <c r="AS19" i="41"/>
  <c r="AP19" i="41"/>
  <c r="AK19" i="41"/>
  <c r="A21" i="41"/>
  <c r="A9" i="23" s="1"/>
  <c r="A9" i="24" s="1"/>
  <c r="B20" i="41"/>
  <c r="BB18" i="41"/>
  <c r="D7" i="23" l="1"/>
  <c r="E7" i="24" s="1"/>
  <c r="CX19" i="41"/>
  <c r="P19" i="41" s="1"/>
  <c r="CL20" i="41"/>
  <c r="CK20" i="41"/>
  <c r="CT20" i="41"/>
  <c r="CF20" i="41"/>
  <c r="CO20" i="41"/>
  <c r="CW20" i="41"/>
  <c r="CG20" i="41"/>
  <c r="CP20" i="41"/>
  <c r="CH20" i="41"/>
  <c r="CU20" i="41"/>
  <c r="CI20" i="41"/>
  <c r="CV20" i="41"/>
  <c r="CJ20" i="41"/>
  <c r="CM20" i="41"/>
  <c r="CN20" i="41"/>
  <c r="CQ20" i="41"/>
  <c r="CD20" i="41"/>
  <c r="CR20" i="41"/>
  <c r="CE20" i="41"/>
  <c r="CS20" i="41"/>
  <c r="BS20" i="41"/>
  <c r="BT20" i="41"/>
  <c r="BV20" i="41"/>
  <c r="BU20" i="41"/>
  <c r="BY20" i="41"/>
  <c r="BL20" i="41"/>
  <c r="BZ20" i="41"/>
  <c r="BM20" i="41"/>
  <c r="BI20" i="41"/>
  <c r="BR20" i="41"/>
  <c r="BX20" i="41"/>
  <c r="BN20" i="41"/>
  <c r="BO20" i="41"/>
  <c r="BK20" i="41"/>
  <c r="BG20" i="41"/>
  <c r="BQ20" i="41"/>
  <c r="BP20" i="41"/>
  <c r="BJ20" i="41"/>
  <c r="BW20" i="41"/>
  <c r="BH20" i="41"/>
  <c r="FL17" i="41"/>
  <c r="FN17" i="41"/>
  <c r="B8" i="23"/>
  <c r="B8" i="24" s="1"/>
  <c r="N18" i="41"/>
  <c r="Y18" i="41" s="1"/>
  <c r="CA19" i="41"/>
  <c r="O19" i="41" s="1"/>
  <c r="BA19" i="41"/>
  <c r="N19" i="41" s="1"/>
  <c r="Y19" i="41" s="1"/>
  <c r="AJ20" i="41"/>
  <c r="AH20" i="41"/>
  <c r="AG20" i="41"/>
  <c r="AS20" i="41"/>
  <c r="AQ20" i="41"/>
  <c r="AW20" i="41"/>
  <c r="AT20" i="41"/>
  <c r="AI20" i="41"/>
  <c r="AP20" i="41"/>
  <c r="AO20" i="41"/>
  <c r="AL20" i="41"/>
  <c r="AX20" i="41"/>
  <c r="AK20" i="41"/>
  <c r="AV20" i="41"/>
  <c r="AZ20" i="41"/>
  <c r="AN20" i="41"/>
  <c r="AR20" i="41"/>
  <c r="D20" i="41"/>
  <c r="AU20" i="41"/>
  <c r="AM20" i="41"/>
  <c r="AY20" i="41"/>
  <c r="BB19" i="41"/>
  <c r="B21" i="41"/>
  <c r="A22" i="41"/>
  <c r="Q18" i="41" l="1"/>
  <c r="Q19" i="41"/>
  <c r="FL19" i="41"/>
  <c r="FN19" i="41"/>
  <c r="FN18" i="41"/>
  <c r="FL18" i="41"/>
  <c r="D8" i="23"/>
  <c r="E8" i="24" s="1"/>
  <c r="A10" i="23"/>
  <c r="A10" i="24" s="1"/>
  <c r="B22" i="41"/>
  <c r="CL21" i="41"/>
  <c r="CH21" i="41"/>
  <c r="CQ21" i="41"/>
  <c r="CD21" i="41"/>
  <c r="CM21" i="41"/>
  <c r="CU21" i="41"/>
  <c r="CN21" i="41"/>
  <c r="CO21" i="41"/>
  <c r="CE21" i="41"/>
  <c r="CP21" i="41"/>
  <c r="CF21" i="41"/>
  <c r="CR21" i="41"/>
  <c r="CG21" i="41"/>
  <c r="CS21" i="41"/>
  <c r="CI21" i="41"/>
  <c r="CT21" i="41"/>
  <c r="CJ21" i="41"/>
  <c r="CV21" i="41"/>
  <c r="CK21" i="41"/>
  <c r="CW21" i="41"/>
  <c r="BW21" i="41"/>
  <c r="BX21" i="41"/>
  <c r="BY21" i="41"/>
  <c r="BS21" i="41"/>
  <c r="BO21" i="41"/>
  <c r="BJ21" i="41"/>
  <c r="BT21" i="41"/>
  <c r="BP21" i="41"/>
  <c r="BK21" i="41"/>
  <c r="BH21" i="41"/>
  <c r="BV21" i="41"/>
  <c r="BU21" i="41"/>
  <c r="BR21" i="41"/>
  <c r="BN21" i="41"/>
  <c r="BZ21" i="41"/>
  <c r="BL21" i="41"/>
  <c r="BM21" i="41"/>
  <c r="BG21" i="41"/>
  <c r="BQ21" i="41"/>
  <c r="BI21" i="41"/>
  <c r="CX20" i="41"/>
  <c r="P20" i="41" s="1"/>
  <c r="B9" i="23"/>
  <c r="B9" i="24" s="1"/>
  <c r="CA20" i="41"/>
  <c r="O20" i="41" s="1"/>
  <c r="BA20" i="41"/>
  <c r="N20" i="41" s="1"/>
  <c r="AJ21" i="41"/>
  <c r="AH21" i="41"/>
  <c r="AG21" i="41"/>
  <c r="A23" i="41"/>
  <c r="A11" i="23" s="1"/>
  <c r="A11" i="24" s="1"/>
  <c r="AR21" i="41"/>
  <c r="AK21" i="41"/>
  <c r="AN21" i="41"/>
  <c r="D21" i="41"/>
  <c r="AL21" i="41"/>
  <c r="AY21" i="41"/>
  <c r="AX21" i="41"/>
  <c r="AT21" i="41"/>
  <c r="AQ21" i="41"/>
  <c r="AS21" i="41"/>
  <c r="AW21" i="41"/>
  <c r="AO21" i="41"/>
  <c r="AI21" i="41"/>
  <c r="AM21" i="41"/>
  <c r="AV21" i="41"/>
  <c r="AU21" i="41"/>
  <c r="AP21" i="41"/>
  <c r="AZ21" i="41"/>
  <c r="BB20" i="41"/>
  <c r="Z20" i="41" l="1"/>
  <c r="Q20" i="41"/>
  <c r="Y20" i="41"/>
  <c r="FN20" i="41" s="1"/>
  <c r="CL22" i="41"/>
  <c r="CE22" i="41"/>
  <c r="CN22" i="41"/>
  <c r="CV22" i="41"/>
  <c r="BX22" i="41"/>
  <c r="BL22" i="41"/>
  <c r="BK22" i="41"/>
  <c r="BN22" i="41"/>
  <c r="BO22" i="41"/>
  <c r="BP22" i="41"/>
  <c r="CS22" i="41"/>
  <c r="BT22" i="41"/>
  <c r="CM22" i="41"/>
  <c r="BI22" i="41"/>
  <c r="CF22" i="41"/>
  <c r="CO22" i="41"/>
  <c r="CW22" i="41"/>
  <c r="BY22" i="41"/>
  <c r="BM22" i="41"/>
  <c r="BZ22" i="41"/>
  <c r="CI22" i="41"/>
  <c r="BS22" i="41"/>
  <c r="BV22" i="41"/>
  <c r="CU22" i="41"/>
  <c r="CG22" i="41"/>
  <c r="CP22" i="41"/>
  <c r="BR22" i="41"/>
  <c r="BG22" i="41"/>
  <c r="CK22" i="41"/>
  <c r="BH22" i="41"/>
  <c r="BW22" i="41"/>
  <c r="CH22" i="41"/>
  <c r="CQ22" i="41"/>
  <c r="BQ22" i="41"/>
  <c r="CR22" i="41"/>
  <c r="CJ22" i="41"/>
  <c r="CT22" i="41"/>
  <c r="CD22" i="41"/>
  <c r="BU22" i="41"/>
  <c r="BJ22" i="41"/>
  <c r="D9" i="23"/>
  <c r="E9" i="24" s="1"/>
  <c r="CX21" i="41"/>
  <c r="P21" i="41" s="1"/>
  <c r="FL20" i="41"/>
  <c r="B10" i="23"/>
  <c r="B10" i="24" s="1"/>
  <c r="CA21" i="41"/>
  <c r="O21" i="41" s="1"/>
  <c r="BA21" i="41"/>
  <c r="N21" i="41" s="1"/>
  <c r="AG22" i="41"/>
  <c r="AH22" i="41"/>
  <c r="AJ22" i="41"/>
  <c r="AY22" i="41"/>
  <c r="AU22" i="41"/>
  <c r="AP22" i="41"/>
  <c r="D22" i="41"/>
  <c r="AM22" i="41"/>
  <c r="AO22" i="41"/>
  <c r="AI22" i="41"/>
  <c r="AQ22" i="41"/>
  <c r="AZ22" i="41"/>
  <c r="AX22" i="41"/>
  <c r="AN22" i="41"/>
  <c r="AR22" i="41"/>
  <c r="AL22" i="41"/>
  <c r="AT22" i="41"/>
  <c r="AW22" i="41"/>
  <c r="AS22" i="41"/>
  <c r="AV22" i="41"/>
  <c r="AK22" i="41"/>
  <c r="A24" i="41"/>
  <c r="A12" i="23" s="1"/>
  <c r="A12" i="24" s="1"/>
  <c r="B23" i="41"/>
  <c r="BB21" i="41"/>
  <c r="Z21" i="41" l="1"/>
  <c r="Q21" i="41"/>
  <c r="CX22" i="41"/>
  <c r="P22" i="41" s="1"/>
  <c r="D10" i="23"/>
  <c r="E10" i="24" s="1"/>
  <c r="CL23" i="41"/>
  <c r="CI23" i="41"/>
  <c r="CR23" i="41"/>
  <c r="CJ23" i="41"/>
  <c r="CS23" i="41"/>
  <c r="CK23" i="41"/>
  <c r="CT23" i="41"/>
  <c r="CD23" i="41"/>
  <c r="CM23" i="41"/>
  <c r="CU23" i="41"/>
  <c r="CE23" i="41"/>
  <c r="CN23" i="41"/>
  <c r="CV23" i="41"/>
  <c r="CF23" i="41"/>
  <c r="CO23" i="41"/>
  <c r="CW23" i="41"/>
  <c r="CG23" i="41"/>
  <c r="CP23" i="41"/>
  <c r="CH23" i="41"/>
  <c r="CQ23" i="41"/>
  <c r="BT23" i="41"/>
  <c r="BV23" i="41"/>
  <c r="BU23" i="41"/>
  <c r="BW23" i="41"/>
  <c r="BQ23" i="41"/>
  <c r="BM23" i="41"/>
  <c r="BX23" i="41"/>
  <c r="BR23" i="41"/>
  <c r="BN23" i="41"/>
  <c r="BH23" i="41"/>
  <c r="BL23" i="41"/>
  <c r="BY23" i="41"/>
  <c r="BS23" i="41"/>
  <c r="BO23" i="41"/>
  <c r="BP23" i="41"/>
  <c r="BG23" i="41"/>
  <c r="BJ23" i="41"/>
  <c r="BZ23" i="41"/>
  <c r="BI23" i="41"/>
  <c r="BK23" i="41"/>
  <c r="B11" i="23"/>
  <c r="B11" i="24" s="1"/>
  <c r="Y21" i="41"/>
  <c r="CA22" i="41"/>
  <c r="O22" i="41" s="1"/>
  <c r="BA22" i="41"/>
  <c r="AJ23" i="41"/>
  <c r="AG23" i="41"/>
  <c r="BB22" i="41"/>
  <c r="AS23" i="41"/>
  <c r="AY23" i="41"/>
  <c r="AI23" i="41"/>
  <c r="AO23" i="41"/>
  <c r="AU23" i="41"/>
  <c r="AR23" i="41"/>
  <c r="AX23" i="41"/>
  <c r="AM23" i="41"/>
  <c r="AH23" i="41"/>
  <c r="AN23" i="41"/>
  <c r="D23" i="41"/>
  <c r="AZ23" i="41"/>
  <c r="AT23" i="41"/>
  <c r="AQ23" i="41"/>
  <c r="AW23" i="41"/>
  <c r="AL23" i="41"/>
  <c r="AK23" i="41"/>
  <c r="AV23" i="41"/>
  <c r="AP23" i="41"/>
  <c r="B24" i="41"/>
  <c r="A25" i="41"/>
  <c r="A13" i="23" s="1"/>
  <c r="A13" i="24" s="1"/>
  <c r="D11" i="23" l="1"/>
  <c r="E11" i="24" s="1"/>
  <c r="CX23" i="41"/>
  <c r="P23" i="41" s="1"/>
  <c r="CL24" i="41"/>
  <c r="CF24" i="41"/>
  <c r="CO24" i="41"/>
  <c r="CW24" i="41"/>
  <c r="CG24" i="41"/>
  <c r="CP24" i="41"/>
  <c r="CH24" i="41"/>
  <c r="CQ24" i="41"/>
  <c r="CI24" i="41"/>
  <c r="CR24" i="41"/>
  <c r="CJ24" i="41"/>
  <c r="CS24" i="41"/>
  <c r="CK24" i="41"/>
  <c r="CT24" i="41"/>
  <c r="CD24" i="41"/>
  <c r="CM24" i="41"/>
  <c r="CU24" i="41"/>
  <c r="CE24" i="41"/>
  <c r="CN24" i="41"/>
  <c r="CV24" i="41"/>
  <c r="BX24" i="41"/>
  <c r="BY24" i="41"/>
  <c r="BZ24" i="41"/>
  <c r="BQ24" i="41"/>
  <c r="BP24" i="41"/>
  <c r="BG24" i="41"/>
  <c r="BH24" i="41"/>
  <c r="BW24" i="41"/>
  <c r="BT24" i="41"/>
  <c r="BM24" i="41"/>
  <c r="BI24" i="41"/>
  <c r="BK24" i="41"/>
  <c r="BL24" i="41"/>
  <c r="BJ24" i="41"/>
  <c r="BN24" i="41"/>
  <c r="BO24" i="41"/>
  <c r="BR24" i="41"/>
  <c r="BV24" i="41"/>
  <c r="BS24" i="41"/>
  <c r="BU24" i="41"/>
  <c r="FN21" i="41"/>
  <c r="FL21" i="41"/>
  <c r="B12" i="23"/>
  <c r="B12" i="24" s="1"/>
  <c r="N22" i="41"/>
  <c r="Q22" i="41" s="1"/>
  <c r="CA23" i="41"/>
  <c r="O23" i="41" s="1"/>
  <c r="BA23" i="41"/>
  <c r="AJ24" i="41"/>
  <c r="AG24" i="41"/>
  <c r="BB23" i="41"/>
  <c r="B25" i="41"/>
  <c r="A26" i="41"/>
  <c r="A14" i="23" s="1"/>
  <c r="A14" i="24" s="1"/>
  <c r="AH24" i="41"/>
  <c r="AU24" i="41"/>
  <c r="AZ24" i="41"/>
  <c r="AQ24" i="41"/>
  <c r="AK24" i="41"/>
  <c r="AT24" i="41"/>
  <c r="AY24" i="41"/>
  <c r="AW24" i="41"/>
  <c r="AO24" i="41"/>
  <c r="AP24" i="41"/>
  <c r="AS24" i="41"/>
  <c r="AV24" i="41"/>
  <c r="AM24" i="41"/>
  <c r="AI24" i="41"/>
  <c r="AX24" i="41"/>
  <c r="AN24" i="41"/>
  <c r="AR24" i="41"/>
  <c r="AL24" i="41"/>
  <c r="D24" i="41"/>
  <c r="D12" i="23" l="1"/>
  <c r="E12" i="24" s="1"/>
  <c r="CX24" i="41"/>
  <c r="P24" i="41" s="1"/>
  <c r="CL25" i="41"/>
  <c r="CK25" i="41"/>
  <c r="CT25" i="41"/>
  <c r="CD25" i="41"/>
  <c r="CM25" i="41"/>
  <c r="CU25" i="41"/>
  <c r="CE25" i="41"/>
  <c r="CN25" i="41"/>
  <c r="CV25" i="41"/>
  <c r="CF25" i="41"/>
  <c r="CO25" i="41"/>
  <c r="CW25" i="41"/>
  <c r="CG25" i="41"/>
  <c r="CP25" i="41"/>
  <c r="CH25" i="41"/>
  <c r="CQ25" i="41"/>
  <c r="CI25" i="41"/>
  <c r="CR25" i="41"/>
  <c r="CJ25" i="41"/>
  <c r="CS25" i="41"/>
  <c r="BR25" i="41"/>
  <c r="BS25" i="41"/>
  <c r="BT25" i="41"/>
  <c r="BX25" i="41"/>
  <c r="BU25" i="41"/>
  <c r="BO25" i="41"/>
  <c r="BH25" i="41"/>
  <c r="BI25" i="41"/>
  <c r="BJ25" i="41"/>
  <c r="BY25" i="41"/>
  <c r="BL25" i="41"/>
  <c r="BG25" i="41"/>
  <c r="BP25" i="41"/>
  <c r="BW25" i="41"/>
  <c r="BZ25" i="41"/>
  <c r="BM25" i="41"/>
  <c r="BN25" i="41"/>
  <c r="BQ25" i="41"/>
  <c r="BK25" i="41"/>
  <c r="BV25" i="41"/>
  <c r="B13" i="23"/>
  <c r="B13" i="24" s="1"/>
  <c r="Y22" i="41"/>
  <c r="N23" i="41"/>
  <c r="Q23" i="41" s="1"/>
  <c r="CA24" i="41"/>
  <c r="BA24" i="41"/>
  <c r="AG25" i="41"/>
  <c r="A27" i="41"/>
  <c r="A15" i="23" s="1"/>
  <c r="A15" i="24" s="1"/>
  <c r="B26" i="41"/>
  <c r="AH25" i="41"/>
  <c r="AK25" i="41"/>
  <c r="AV25" i="41"/>
  <c r="AO25" i="41"/>
  <c r="AZ25" i="41"/>
  <c r="AT25" i="41"/>
  <c r="AJ25" i="41"/>
  <c r="AI25" i="41"/>
  <c r="AL25" i="41"/>
  <c r="AN25" i="41"/>
  <c r="AY25" i="41"/>
  <c r="AW25" i="41"/>
  <c r="AS25" i="41"/>
  <c r="AM25" i="41"/>
  <c r="AR25" i="41"/>
  <c r="AQ25" i="41"/>
  <c r="AX25" i="41"/>
  <c r="D25" i="41"/>
  <c r="AP25" i="41"/>
  <c r="AU25" i="41"/>
  <c r="BB24" i="41"/>
  <c r="D13" i="23" l="1"/>
  <c r="E13" i="24" s="1"/>
  <c r="CX25" i="41"/>
  <c r="P25" i="41" s="1"/>
  <c r="CL26" i="41"/>
  <c r="CI26" i="41"/>
  <c r="CT26" i="41"/>
  <c r="CJ26" i="41"/>
  <c r="CU26" i="41"/>
  <c r="CK26" i="41"/>
  <c r="CV26" i="41"/>
  <c r="CM26" i="41"/>
  <c r="CW26" i="41"/>
  <c r="CE26" i="41"/>
  <c r="CO26" i="41"/>
  <c r="CF26" i="41"/>
  <c r="CP26" i="41"/>
  <c r="CG26" i="41"/>
  <c r="CQ26" i="41"/>
  <c r="CH26" i="41"/>
  <c r="CR26" i="41"/>
  <c r="BW26" i="41"/>
  <c r="BU26" i="41"/>
  <c r="BX26" i="41"/>
  <c r="BY26" i="41"/>
  <c r="BO26" i="41"/>
  <c r="BH26" i="41"/>
  <c r="BK26" i="41"/>
  <c r="BM26" i="41"/>
  <c r="BQ26" i="41"/>
  <c r="BP26" i="41"/>
  <c r="BI26" i="41"/>
  <c r="BN26" i="41"/>
  <c r="BR26" i="41"/>
  <c r="BJ26" i="41"/>
  <c r="BZ26" i="41"/>
  <c r="BS26" i="41"/>
  <c r="BT26" i="41"/>
  <c r="BV26" i="41"/>
  <c r="CS26" i="41"/>
  <c r="BL26" i="41"/>
  <c r="CN26" i="41"/>
  <c r="BG26" i="41"/>
  <c r="CD26" i="41"/>
  <c r="FL22" i="41"/>
  <c r="FN22" i="41"/>
  <c r="B14" i="23"/>
  <c r="B14" i="24" s="1"/>
  <c r="Y23" i="41"/>
  <c r="N24" i="41"/>
  <c r="CA25" i="41"/>
  <c r="O25" i="41" s="1"/>
  <c r="O24" i="41"/>
  <c r="BA25" i="41"/>
  <c r="N25" i="41" s="1"/>
  <c r="AG26" i="41"/>
  <c r="BB25" i="41"/>
  <c r="AK26" i="41"/>
  <c r="AM26" i="41"/>
  <c r="AO26" i="41"/>
  <c r="AX26" i="41"/>
  <c r="AH26" i="41"/>
  <c r="AZ26" i="41"/>
  <c r="AT26" i="41"/>
  <c r="AU26" i="41"/>
  <c r="AR26" i="41"/>
  <c r="AL26" i="41"/>
  <c r="D26" i="41"/>
  <c r="AJ26" i="41"/>
  <c r="AW26" i="41"/>
  <c r="AQ26" i="41"/>
  <c r="AY26" i="41"/>
  <c r="AP26" i="41"/>
  <c r="AV26" i="41"/>
  <c r="AN26" i="41"/>
  <c r="AI26" i="41"/>
  <c r="AS26" i="41"/>
  <c r="A28" i="41"/>
  <c r="A16" i="23" s="1"/>
  <c r="A16" i="24" s="1"/>
  <c r="B27" i="41"/>
  <c r="Q24" i="41" l="1"/>
  <c r="Q25" i="41"/>
  <c r="Y25" i="41"/>
  <c r="Y24" i="41"/>
  <c r="FN24" i="41" s="1"/>
  <c r="D14" i="23"/>
  <c r="E14" i="24" s="1"/>
  <c r="CL27" i="41"/>
  <c r="CH27" i="41"/>
  <c r="CS27" i="41"/>
  <c r="CI27" i="41"/>
  <c r="CU27" i="41"/>
  <c r="CK27" i="41"/>
  <c r="CV27" i="41"/>
  <c r="CM27" i="41"/>
  <c r="CW27" i="41"/>
  <c r="CD27" i="41"/>
  <c r="CN27" i="41"/>
  <c r="CE27" i="41"/>
  <c r="CP27" i="41"/>
  <c r="CF27" i="41"/>
  <c r="CQ27" i="41"/>
  <c r="CG27" i="41"/>
  <c r="CR27" i="41"/>
  <c r="BQ27" i="41"/>
  <c r="BS27" i="41"/>
  <c r="BL27" i="41"/>
  <c r="BG27" i="41"/>
  <c r="BN27" i="41"/>
  <c r="BO27" i="41"/>
  <c r="BI27" i="41"/>
  <c r="BX27" i="41"/>
  <c r="BP27" i="41"/>
  <c r="BZ27" i="41"/>
  <c r="BT27" i="41"/>
  <c r="BJ27" i="41"/>
  <c r="BU27" i="41"/>
  <c r="BV27" i="41"/>
  <c r="BY27" i="41"/>
  <c r="BK27" i="41"/>
  <c r="BM27" i="41"/>
  <c r="CT27" i="41"/>
  <c r="CO27" i="41"/>
  <c r="BR27" i="41"/>
  <c r="BH27" i="41"/>
  <c r="CJ27" i="41"/>
  <c r="BW27" i="41"/>
  <c r="CX26" i="41"/>
  <c r="P26" i="41" s="1"/>
  <c r="FL25" i="41"/>
  <c r="FN25" i="41"/>
  <c r="FN23" i="41"/>
  <c r="FL23" i="41"/>
  <c r="B15" i="23"/>
  <c r="B15" i="24" s="1"/>
  <c r="CA26" i="41"/>
  <c r="BA26" i="41"/>
  <c r="AG27" i="41"/>
  <c r="AL27" i="41"/>
  <c r="AI27" i="41"/>
  <c r="AW27" i="41"/>
  <c r="D27" i="41"/>
  <c r="AS27" i="41"/>
  <c r="AX27" i="41"/>
  <c r="AH27" i="41"/>
  <c r="AP27" i="41"/>
  <c r="AM27" i="41"/>
  <c r="AK27" i="41"/>
  <c r="AV27" i="41"/>
  <c r="AJ27" i="41"/>
  <c r="AN27" i="41"/>
  <c r="AO27" i="41"/>
  <c r="AQ27" i="41"/>
  <c r="AU27" i="41"/>
  <c r="AZ27" i="41"/>
  <c r="AR27" i="41"/>
  <c r="AT27" i="41"/>
  <c r="AY27" i="41"/>
  <c r="BB26" i="41"/>
  <c r="A29" i="41"/>
  <c r="A17" i="23" s="1"/>
  <c r="A17" i="24" s="1"/>
  <c r="B28" i="41"/>
  <c r="FL24" i="41" l="1"/>
  <c r="D15" i="23"/>
  <c r="E15" i="24" s="1"/>
  <c r="CL28" i="41"/>
  <c r="CI28" i="41"/>
  <c r="CT28" i="41"/>
  <c r="CJ28" i="41"/>
  <c r="CV28" i="41"/>
  <c r="CM28" i="41"/>
  <c r="CW28" i="41"/>
  <c r="CN28" i="41"/>
  <c r="CD28" i="41"/>
  <c r="CO28" i="41"/>
  <c r="CE28" i="41"/>
  <c r="CQ28" i="41"/>
  <c r="CG28" i="41"/>
  <c r="CR28" i="41"/>
  <c r="CH28" i="41"/>
  <c r="CS28" i="41"/>
  <c r="BV28" i="41"/>
  <c r="BU28" i="41"/>
  <c r="BW28" i="41"/>
  <c r="BY28" i="41"/>
  <c r="BZ28" i="41"/>
  <c r="BR28" i="41"/>
  <c r="BO28" i="41"/>
  <c r="BJ28" i="41"/>
  <c r="BG28" i="41"/>
  <c r="BT28" i="41"/>
  <c r="BP28" i="41"/>
  <c r="BK28" i="41"/>
  <c r="BL28" i="41"/>
  <c r="BH28" i="41"/>
  <c r="BQ28" i="41"/>
  <c r="BM28" i="41"/>
  <c r="BI28" i="41"/>
  <c r="BX28" i="41"/>
  <c r="BN28" i="41"/>
  <c r="CP28" i="41"/>
  <c r="BS28" i="41"/>
  <c r="CF28" i="41"/>
  <c r="CU28" i="41"/>
  <c r="CK28" i="41"/>
  <c r="CX27" i="41"/>
  <c r="P27" i="41" s="1"/>
  <c r="B16" i="23"/>
  <c r="B16" i="24" s="1"/>
  <c r="N26" i="41"/>
  <c r="Y26" i="41" s="1"/>
  <c r="CA27" i="41"/>
  <c r="O27" i="41" s="1"/>
  <c r="O26" i="41"/>
  <c r="Q26" i="41" s="1"/>
  <c r="BA27" i="41"/>
  <c r="N27" i="41" s="1"/>
  <c r="AG28" i="41"/>
  <c r="A30" i="41"/>
  <c r="A18" i="23" s="1"/>
  <c r="A18" i="24" s="1"/>
  <c r="B29" i="41"/>
  <c r="BB27" i="41"/>
  <c r="AN28" i="41"/>
  <c r="AJ28" i="41"/>
  <c r="AI28" i="41"/>
  <c r="AX28" i="41"/>
  <c r="AU28" i="41"/>
  <c r="AY28" i="41"/>
  <c r="AM28" i="41"/>
  <c r="D28" i="41"/>
  <c r="AV28" i="41"/>
  <c r="AP28" i="41"/>
  <c r="AK28" i="41"/>
  <c r="AH28" i="41"/>
  <c r="AR28" i="41"/>
  <c r="AT28" i="41"/>
  <c r="AQ28" i="41"/>
  <c r="AW28" i="41"/>
  <c r="AS28" i="41"/>
  <c r="AO28" i="41"/>
  <c r="AZ28" i="41"/>
  <c r="AL28" i="41"/>
  <c r="Q27" i="41" l="1"/>
  <c r="FN26" i="41"/>
  <c r="FL26" i="41"/>
  <c r="Y27" i="41"/>
  <c r="FL27" i="41" s="1"/>
  <c r="D16" i="23"/>
  <c r="E16" i="24" s="1"/>
  <c r="CJ29" i="41"/>
  <c r="CT29" i="41"/>
  <c r="CK29" i="41"/>
  <c r="CU29" i="41"/>
  <c r="CM29" i="41"/>
  <c r="CV29" i="41"/>
  <c r="CD29" i="41"/>
  <c r="CN29" i="41"/>
  <c r="CW29" i="41"/>
  <c r="CE29" i="41"/>
  <c r="CO29" i="41"/>
  <c r="CF29" i="41"/>
  <c r="CP29" i="41"/>
  <c r="CH29" i="41"/>
  <c r="CR29" i="41"/>
  <c r="CI29" i="41"/>
  <c r="CS29" i="41"/>
  <c r="BQ29" i="41"/>
  <c r="BR29" i="41"/>
  <c r="BV29" i="41"/>
  <c r="BG29" i="41"/>
  <c r="BK29" i="41"/>
  <c r="BW29" i="41"/>
  <c r="BS29" i="41"/>
  <c r="BL29" i="41"/>
  <c r="BH29" i="41"/>
  <c r="BM29" i="41"/>
  <c r="BX29" i="41"/>
  <c r="BU29" i="41"/>
  <c r="BI29" i="41"/>
  <c r="BN29" i="41"/>
  <c r="BZ29" i="41"/>
  <c r="BP29" i="41"/>
  <c r="BY29" i="41"/>
  <c r="CG29" i="41"/>
  <c r="CL29" i="41"/>
  <c r="CQ29" i="41"/>
  <c r="BJ29" i="41"/>
  <c r="BT29" i="41"/>
  <c r="BO29" i="41"/>
  <c r="CX28" i="41"/>
  <c r="P28" i="41" s="1"/>
  <c r="B17" i="23"/>
  <c r="B17" i="24" s="1"/>
  <c r="CA28" i="41"/>
  <c r="BA28" i="41"/>
  <c r="N28" i="41" s="1"/>
  <c r="BB28" i="41"/>
  <c r="AZ29" i="41"/>
  <c r="AP29" i="41"/>
  <c r="AR29" i="41"/>
  <c r="AO29" i="41"/>
  <c r="AJ29" i="41"/>
  <c r="AN29" i="41"/>
  <c r="AH29" i="41"/>
  <c r="AY29" i="41"/>
  <c r="AM29" i="41"/>
  <c r="AT29" i="41"/>
  <c r="AQ29" i="41"/>
  <c r="AX29" i="41"/>
  <c r="AL29" i="41"/>
  <c r="AI29" i="41"/>
  <c r="D29" i="41"/>
  <c r="AS29" i="41"/>
  <c r="AV29" i="41"/>
  <c r="AW29" i="41"/>
  <c r="AK29" i="41"/>
  <c r="AU29" i="41"/>
  <c r="AG29" i="41"/>
  <c r="B30" i="41"/>
  <c r="A31" i="41"/>
  <c r="A19" i="23" s="1"/>
  <c r="A19" i="24" s="1"/>
  <c r="FN27" i="41" l="1"/>
  <c r="Y28" i="41"/>
  <c r="D17" i="23"/>
  <c r="E17" i="24" s="1"/>
  <c r="CL30" i="41"/>
  <c r="CI30" i="41"/>
  <c r="CT30" i="41"/>
  <c r="CJ30" i="41"/>
  <c r="CU30" i="41"/>
  <c r="CK30" i="41"/>
  <c r="CV30" i="41"/>
  <c r="CN30" i="41"/>
  <c r="CD30" i="41"/>
  <c r="CO30" i="41"/>
  <c r="CE30" i="41"/>
  <c r="CP30" i="41"/>
  <c r="CF30" i="41"/>
  <c r="CQ30" i="41"/>
  <c r="CG30" i="41"/>
  <c r="CS30" i="41"/>
  <c r="BV30" i="41"/>
  <c r="BT30" i="41"/>
  <c r="BW30" i="41"/>
  <c r="BX30" i="41"/>
  <c r="BN30" i="41"/>
  <c r="BS30" i="41"/>
  <c r="BO30" i="41"/>
  <c r="BY30" i="41"/>
  <c r="BR30" i="41"/>
  <c r="BG30" i="41"/>
  <c r="BM30" i="41"/>
  <c r="BJ30" i="41"/>
  <c r="BL30" i="41"/>
  <c r="BQ30" i="41"/>
  <c r="BH30" i="41"/>
  <c r="BI30" i="41"/>
  <c r="BZ30" i="41"/>
  <c r="BU30" i="41"/>
  <c r="CM30" i="41"/>
  <c r="CH30" i="41"/>
  <c r="CR30" i="41"/>
  <c r="BP30" i="41"/>
  <c r="BK30" i="41"/>
  <c r="CW30" i="41"/>
  <c r="CX29" i="41"/>
  <c r="P29" i="41" s="1"/>
  <c r="FN28" i="41"/>
  <c r="FL28" i="41"/>
  <c r="B18" i="23"/>
  <c r="B18" i="24" s="1"/>
  <c r="CA29" i="41"/>
  <c r="O29" i="41" s="1"/>
  <c r="O28" i="41"/>
  <c r="Q28" i="41" s="1"/>
  <c r="BA29" i="41"/>
  <c r="BB29" i="41"/>
  <c r="B31" i="41"/>
  <c r="A32" i="41"/>
  <c r="A20" i="23" s="1"/>
  <c r="A20" i="24" s="1"/>
  <c r="AL30" i="41"/>
  <c r="AR30" i="41"/>
  <c r="AO30" i="41"/>
  <c r="AS30" i="41"/>
  <c r="AQ30" i="41"/>
  <c r="D30" i="41"/>
  <c r="AY30" i="41"/>
  <c r="AW30" i="41"/>
  <c r="AT30" i="41"/>
  <c r="AK30" i="41"/>
  <c r="AP30" i="41"/>
  <c r="AJ30" i="41"/>
  <c r="AI30" i="41"/>
  <c r="AV30" i="41"/>
  <c r="AX30" i="41"/>
  <c r="AN30" i="41"/>
  <c r="AU30" i="41"/>
  <c r="AH30" i="41"/>
  <c r="AZ30" i="41"/>
  <c r="AM30" i="41"/>
  <c r="AG30" i="41"/>
  <c r="D18" i="23" l="1"/>
  <c r="E18" i="24" s="1"/>
  <c r="CL31" i="41"/>
  <c r="CI31" i="41"/>
  <c r="CR31" i="41"/>
  <c r="CJ31" i="41"/>
  <c r="CS31" i="41"/>
  <c r="CK31" i="41"/>
  <c r="CT31" i="41"/>
  <c r="CD31" i="41"/>
  <c r="CM31" i="41"/>
  <c r="CU31" i="41"/>
  <c r="CE31" i="41"/>
  <c r="CN31" i="41"/>
  <c r="CV31" i="41"/>
  <c r="CF31" i="41"/>
  <c r="CO31" i="41"/>
  <c r="CW31" i="41"/>
  <c r="CG31" i="41"/>
  <c r="CP31" i="41"/>
  <c r="CH31" i="41"/>
  <c r="CQ31" i="41"/>
  <c r="BZ31" i="41"/>
  <c r="BQ31" i="41"/>
  <c r="BR31" i="41"/>
  <c r="BX31" i="41"/>
  <c r="BT31" i="41"/>
  <c r="BH31" i="41"/>
  <c r="BN31" i="41"/>
  <c r="BY31" i="41"/>
  <c r="BU31" i="41"/>
  <c r="BI31" i="41"/>
  <c r="BK31" i="41"/>
  <c r="BW31" i="41"/>
  <c r="BL31" i="41"/>
  <c r="BJ31" i="41"/>
  <c r="BM31" i="41"/>
  <c r="BP31" i="41"/>
  <c r="BS31" i="41"/>
  <c r="BO31" i="41"/>
  <c r="BG31" i="41"/>
  <c r="BV31" i="41"/>
  <c r="CX30" i="41"/>
  <c r="P30" i="41" s="1"/>
  <c r="B19" i="23"/>
  <c r="B19" i="24" s="1"/>
  <c r="Z28" i="41"/>
  <c r="N29" i="41"/>
  <c r="Q29" i="41" s="1"/>
  <c r="CA30" i="41"/>
  <c r="BA30" i="41"/>
  <c r="N30" i="41" s="1"/>
  <c r="A33" i="41"/>
  <c r="A21" i="23" s="1"/>
  <c r="A21" i="24" s="1"/>
  <c r="B32" i="41"/>
  <c r="AY31" i="41"/>
  <c r="AW31" i="41"/>
  <c r="AR31" i="41"/>
  <c r="AQ31" i="41"/>
  <c r="AN31" i="41"/>
  <c r="AI31" i="41"/>
  <c r="AU31" i="41"/>
  <c r="AX31" i="41"/>
  <c r="AV31" i="41"/>
  <c r="AT31" i="41"/>
  <c r="D31" i="41"/>
  <c r="AP31" i="41"/>
  <c r="AM31" i="41"/>
  <c r="AK31" i="41"/>
  <c r="AH31" i="41"/>
  <c r="AZ31" i="41"/>
  <c r="AL31" i="41"/>
  <c r="AO31" i="41"/>
  <c r="AS31" i="41"/>
  <c r="AG31" i="41"/>
  <c r="AJ31" i="41"/>
  <c r="BB30" i="41"/>
  <c r="D19" i="23" l="1"/>
  <c r="E19" i="24" s="1"/>
  <c r="CX31" i="41"/>
  <c r="P31" i="41" s="1"/>
  <c r="CL32" i="41"/>
  <c r="CF32" i="41"/>
  <c r="CO32" i="41"/>
  <c r="CW32" i="41"/>
  <c r="CG32" i="41"/>
  <c r="CP32" i="41"/>
  <c r="CH32" i="41"/>
  <c r="CQ32" i="41"/>
  <c r="CI32" i="41"/>
  <c r="CR32" i="41"/>
  <c r="CJ32" i="41"/>
  <c r="CS32" i="41"/>
  <c r="CK32" i="41"/>
  <c r="CT32" i="41"/>
  <c r="CD32" i="41"/>
  <c r="CM32" i="41"/>
  <c r="CU32" i="41"/>
  <c r="CE32" i="41"/>
  <c r="CN32" i="41"/>
  <c r="CV32" i="41"/>
  <c r="BS32" i="41"/>
  <c r="BV32" i="41"/>
  <c r="BT32" i="41"/>
  <c r="BW32" i="41"/>
  <c r="BU32" i="41"/>
  <c r="BM32" i="41"/>
  <c r="BH32" i="41"/>
  <c r="BN32" i="41"/>
  <c r="BI32" i="41"/>
  <c r="BG32" i="41"/>
  <c r="BK32" i="41"/>
  <c r="BX32" i="41"/>
  <c r="BQ32" i="41"/>
  <c r="BO32" i="41"/>
  <c r="BP32" i="41"/>
  <c r="BL32" i="41"/>
  <c r="BY32" i="41"/>
  <c r="BR32" i="41"/>
  <c r="BZ32" i="41"/>
  <c r="BJ32" i="41"/>
  <c r="B20" i="23"/>
  <c r="B20" i="24" s="1"/>
  <c r="Y30" i="41"/>
  <c r="CA31" i="41"/>
  <c r="O31" i="41" s="1"/>
  <c r="O30" i="41"/>
  <c r="BA31" i="41"/>
  <c r="N31" i="41" s="1"/>
  <c r="BB31" i="41"/>
  <c r="AM32" i="41"/>
  <c r="AV32" i="41"/>
  <c r="AH32" i="41"/>
  <c r="AP32" i="41"/>
  <c r="AR32" i="41"/>
  <c r="AT32" i="41"/>
  <c r="AQ32" i="41"/>
  <c r="AW32" i="41"/>
  <c r="AL32" i="41"/>
  <c r="AG32" i="41"/>
  <c r="AS32" i="41"/>
  <c r="AO32" i="41"/>
  <c r="D32" i="41"/>
  <c r="AN32" i="41"/>
  <c r="AJ32" i="41"/>
  <c r="AK32" i="41"/>
  <c r="AZ32" i="41"/>
  <c r="AY32" i="41"/>
  <c r="AX32" i="41"/>
  <c r="AI32" i="41"/>
  <c r="AU32" i="41"/>
  <c r="B33" i="41"/>
  <c r="A34" i="41"/>
  <c r="A22" i="23" s="1"/>
  <c r="A22" i="24" s="1"/>
  <c r="Q31" i="41" l="1"/>
  <c r="Z30" i="41"/>
  <c r="Q30" i="41"/>
  <c r="D20" i="23"/>
  <c r="E20" i="24" s="1"/>
  <c r="CX32" i="41"/>
  <c r="P32" i="41" s="1"/>
  <c r="CL33" i="41"/>
  <c r="CM33" i="41"/>
  <c r="CW33" i="41"/>
  <c r="CE33" i="41"/>
  <c r="CO33" i="41"/>
  <c r="CF33" i="41"/>
  <c r="CP33" i="41"/>
  <c r="CG33" i="41"/>
  <c r="CQ33" i="41"/>
  <c r="CH33" i="41"/>
  <c r="CR33" i="41"/>
  <c r="CI33" i="41"/>
  <c r="CT33" i="41"/>
  <c r="CJ33" i="41"/>
  <c r="CU33" i="41"/>
  <c r="CK33" i="41"/>
  <c r="CV33" i="41"/>
  <c r="BY33" i="41"/>
  <c r="BZ33" i="41"/>
  <c r="BU33" i="41"/>
  <c r="BP33" i="41"/>
  <c r="BH33" i="41"/>
  <c r="BK33" i="41"/>
  <c r="BR33" i="41"/>
  <c r="BI33" i="41"/>
  <c r="BL33" i="41"/>
  <c r="BM33" i="41"/>
  <c r="BS33" i="41"/>
  <c r="BO33" i="41"/>
  <c r="BJ33" i="41"/>
  <c r="BT33" i="41"/>
  <c r="BW33" i="41"/>
  <c r="BQ33" i="41"/>
  <c r="BN33" i="41"/>
  <c r="BX33" i="41"/>
  <c r="CS33" i="41"/>
  <c r="BV33" i="41"/>
  <c r="CN33" i="41"/>
  <c r="CD33" i="41"/>
  <c r="BG33" i="41"/>
  <c r="FL30" i="41"/>
  <c r="FN30" i="41"/>
  <c r="B21" i="23"/>
  <c r="B21" i="24" s="1"/>
  <c r="CA32" i="41"/>
  <c r="BA32" i="41"/>
  <c r="BB32" i="41"/>
  <c r="B34" i="41"/>
  <c r="A35" i="41"/>
  <c r="A23" i="23" s="1"/>
  <c r="A23" i="24" s="1"/>
  <c r="AW33" i="41"/>
  <c r="AL33" i="41"/>
  <c r="AZ33" i="41"/>
  <c r="AO33" i="41"/>
  <c r="AX33" i="41"/>
  <c r="AJ33" i="41"/>
  <c r="AI33" i="41"/>
  <c r="AG33" i="41"/>
  <c r="AH33" i="41"/>
  <c r="AY33" i="41"/>
  <c r="AS33" i="41"/>
  <c r="AN33" i="41"/>
  <c r="AR33" i="41"/>
  <c r="D33" i="41"/>
  <c r="AQ33" i="41"/>
  <c r="AP33" i="41"/>
  <c r="AV33" i="41"/>
  <c r="AU33" i="41"/>
  <c r="AM33" i="41"/>
  <c r="AT33" i="41"/>
  <c r="AK33" i="41"/>
  <c r="D21" i="23" l="1"/>
  <c r="E21" i="24" s="1"/>
  <c r="CX33" i="41"/>
  <c r="P33" i="41" s="1"/>
  <c r="CL34" i="41"/>
  <c r="CN34" i="41"/>
  <c r="CD34" i="41"/>
  <c r="CP34" i="41"/>
  <c r="CF34" i="41"/>
  <c r="CQ34" i="41"/>
  <c r="CG34" i="41"/>
  <c r="CR34" i="41"/>
  <c r="CH34" i="41"/>
  <c r="CS34" i="41"/>
  <c r="CI34" i="41"/>
  <c r="CU34" i="41"/>
  <c r="CK34" i="41"/>
  <c r="CV34" i="41"/>
  <c r="CM34" i="41"/>
  <c r="CW34" i="41"/>
  <c r="BQ34" i="41"/>
  <c r="BS34" i="41"/>
  <c r="BV34" i="41"/>
  <c r="BT34" i="41"/>
  <c r="BY34" i="41"/>
  <c r="BG34" i="41"/>
  <c r="BP34" i="41"/>
  <c r="BZ34" i="41"/>
  <c r="BU34" i="41"/>
  <c r="BL34" i="41"/>
  <c r="BX34" i="41"/>
  <c r="BN34" i="41"/>
  <c r="BO34" i="41"/>
  <c r="BJ34" i="41"/>
  <c r="BK34" i="41"/>
  <c r="BI34" i="41"/>
  <c r="BR34" i="41"/>
  <c r="CJ34" i="41"/>
  <c r="CE34" i="41"/>
  <c r="CT34" i="41"/>
  <c r="CO34" i="41"/>
  <c r="BW34" i="41"/>
  <c r="BM34" i="41"/>
  <c r="BH34" i="41"/>
  <c r="Y31" i="41"/>
  <c r="B22" i="23"/>
  <c r="B22" i="24" s="1"/>
  <c r="N32" i="41"/>
  <c r="CA33" i="41"/>
  <c r="O33" i="41" s="1"/>
  <c r="O32" i="41"/>
  <c r="Q32" i="41" s="1"/>
  <c r="BA33" i="41"/>
  <c r="N33" i="41" s="1"/>
  <c r="BB33" i="41"/>
  <c r="A36" i="41"/>
  <c r="A24" i="23" s="1"/>
  <c r="A24" i="24" s="1"/>
  <c r="B35" i="41"/>
  <c r="AQ34" i="41"/>
  <c r="AV34" i="41"/>
  <c r="AM34" i="41"/>
  <c r="AI34" i="41"/>
  <c r="AN34" i="41"/>
  <c r="AL34" i="41"/>
  <c r="AX34" i="41"/>
  <c r="AK34" i="41"/>
  <c r="AZ34" i="41"/>
  <c r="AJ34" i="41"/>
  <c r="AH34" i="41"/>
  <c r="AU34" i="41"/>
  <c r="D34" i="41"/>
  <c r="AT34" i="41"/>
  <c r="AS34" i="41"/>
  <c r="AW34" i="41"/>
  <c r="AO34" i="41"/>
  <c r="AP34" i="41"/>
  <c r="AY34" i="41"/>
  <c r="AG34" i="41"/>
  <c r="AR34" i="41"/>
  <c r="Q33" i="41" l="1"/>
  <c r="Y32" i="41"/>
  <c r="Y33" i="41"/>
  <c r="FL33" i="41" s="1"/>
  <c r="D22" i="23"/>
  <c r="E22" i="24" s="1"/>
  <c r="CX34" i="41"/>
  <c r="P34" i="41" s="1"/>
  <c r="CL35" i="41"/>
  <c r="CD35" i="41"/>
  <c r="CO35" i="41"/>
  <c r="CE35" i="41"/>
  <c r="CQ35" i="41"/>
  <c r="CG35" i="41"/>
  <c r="CR35" i="41"/>
  <c r="CH35" i="41"/>
  <c r="CS35" i="41"/>
  <c r="CI35" i="41"/>
  <c r="CT35" i="41"/>
  <c r="CJ35" i="41"/>
  <c r="CV35" i="41"/>
  <c r="CM35" i="41"/>
  <c r="CW35" i="41"/>
  <c r="CN35" i="41"/>
  <c r="BY35" i="41"/>
  <c r="BZ35" i="41"/>
  <c r="BP35" i="41"/>
  <c r="BJ35" i="41"/>
  <c r="BL35" i="41"/>
  <c r="BG35" i="41"/>
  <c r="BK35" i="41"/>
  <c r="BV35" i="41"/>
  <c r="BQ35" i="41"/>
  <c r="BR35" i="41"/>
  <c r="BO35" i="41"/>
  <c r="BH35" i="41"/>
  <c r="BW35" i="41"/>
  <c r="BT35" i="41"/>
  <c r="BU35" i="41"/>
  <c r="BM35" i="41"/>
  <c r="BN35" i="41"/>
  <c r="BI35" i="41"/>
  <c r="CK35" i="41"/>
  <c r="BS35" i="41"/>
  <c r="CF35" i="41"/>
  <c r="CU35" i="41"/>
  <c r="BX35" i="41"/>
  <c r="CP35" i="41"/>
  <c r="FN33" i="41"/>
  <c r="FN32" i="41"/>
  <c r="FL32" i="41"/>
  <c r="FN31" i="41"/>
  <c r="FL31" i="41"/>
  <c r="B23" i="23"/>
  <c r="B23" i="24" s="1"/>
  <c r="CA34" i="41"/>
  <c r="O34" i="41" s="1"/>
  <c r="BA34" i="41"/>
  <c r="N34" i="41" s="1"/>
  <c r="Y34" i="41" s="1"/>
  <c r="BB34" i="41"/>
  <c r="AZ35" i="41"/>
  <c r="AH35" i="41"/>
  <c r="AN35" i="41"/>
  <c r="AW35" i="41"/>
  <c r="AR35" i="41"/>
  <c r="AL35" i="41"/>
  <c r="AM35" i="41"/>
  <c r="AJ35" i="41"/>
  <c r="AQ35" i="41"/>
  <c r="AV35" i="41"/>
  <c r="AT35" i="41"/>
  <c r="AY35" i="41"/>
  <c r="AG35" i="41"/>
  <c r="D35" i="41"/>
  <c r="AI35" i="41"/>
  <c r="AU35" i="41"/>
  <c r="AS35" i="41"/>
  <c r="AX35" i="41"/>
  <c r="AK35" i="41"/>
  <c r="AP35" i="41"/>
  <c r="AO35" i="41"/>
  <c r="A37" i="41"/>
  <c r="A25" i="23" s="1"/>
  <c r="A25" i="24" s="1"/>
  <c r="B36" i="41"/>
  <c r="Q34" i="41" l="1"/>
  <c r="FL34" i="41"/>
  <c r="FN34" i="41"/>
  <c r="D23" i="23"/>
  <c r="E23" i="24" s="1"/>
  <c r="CX35" i="41"/>
  <c r="P35" i="41" s="1"/>
  <c r="CE36" i="41"/>
  <c r="CO36" i="41"/>
  <c r="CF36" i="41"/>
  <c r="CP36" i="41"/>
  <c r="CH36" i="41"/>
  <c r="CR36" i="41"/>
  <c r="CI36" i="41"/>
  <c r="CS36" i="41"/>
  <c r="CJ36" i="41"/>
  <c r="CT36" i="41"/>
  <c r="CK36" i="41"/>
  <c r="CU36" i="41"/>
  <c r="CM36" i="41"/>
  <c r="CW36" i="41"/>
  <c r="CD36" i="41"/>
  <c r="CN36" i="41"/>
  <c r="BQ36" i="41"/>
  <c r="BR36" i="41"/>
  <c r="BV36" i="41"/>
  <c r="BS36" i="41"/>
  <c r="BL36" i="41"/>
  <c r="BI36" i="41"/>
  <c r="BP36" i="41"/>
  <c r="BK36" i="41"/>
  <c r="BM36" i="41"/>
  <c r="BG36" i="41"/>
  <c r="BH36" i="41"/>
  <c r="BN36" i="41"/>
  <c r="BU36" i="41"/>
  <c r="BW36" i="41"/>
  <c r="BX36" i="41"/>
  <c r="BZ36" i="41"/>
  <c r="CQ36" i="41"/>
  <c r="BJ36" i="41"/>
  <c r="CV36" i="41"/>
  <c r="BY36" i="41"/>
  <c r="CL36" i="41"/>
  <c r="CG36" i="41"/>
  <c r="BT36" i="41"/>
  <c r="BO36" i="41"/>
  <c r="B24" i="23"/>
  <c r="B24" i="24" s="1"/>
  <c r="CA35" i="41"/>
  <c r="O35" i="41" s="1"/>
  <c r="BA35" i="41"/>
  <c r="AM36" i="41"/>
  <c r="AN36" i="41"/>
  <c r="AQ36" i="41"/>
  <c r="AT36" i="41"/>
  <c r="AY36" i="41"/>
  <c r="AP36" i="41"/>
  <c r="AL36" i="41"/>
  <c r="AI36" i="41"/>
  <c r="AO36" i="41"/>
  <c r="D36" i="41"/>
  <c r="AW36" i="41"/>
  <c r="AS36" i="41"/>
  <c r="AX36" i="41"/>
  <c r="AK36" i="41"/>
  <c r="AZ36" i="41"/>
  <c r="AH36" i="41"/>
  <c r="AR36" i="41"/>
  <c r="AG36" i="41"/>
  <c r="AU36" i="41"/>
  <c r="AJ36" i="41"/>
  <c r="AV36" i="41"/>
  <c r="A38" i="41"/>
  <c r="A26" i="23" s="1"/>
  <c r="A26" i="24" s="1"/>
  <c r="B37" i="41"/>
  <c r="BB35" i="41"/>
  <c r="D24" i="23" l="1"/>
  <c r="E24" i="24" s="1"/>
  <c r="CX36" i="41"/>
  <c r="P36" i="41" s="1"/>
  <c r="CL37" i="41"/>
  <c r="CE37" i="41"/>
  <c r="CP37" i="41"/>
  <c r="CF37" i="41"/>
  <c r="CQ37" i="41"/>
  <c r="CG37" i="41"/>
  <c r="CS37" i="41"/>
  <c r="CI37" i="41"/>
  <c r="CT37" i="41"/>
  <c r="CJ37" i="41"/>
  <c r="CU37" i="41"/>
  <c r="CK37" i="41"/>
  <c r="CV37" i="41"/>
  <c r="CN37" i="41"/>
  <c r="CD37" i="41"/>
  <c r="CO37" i="41"/>
  <c r="BX37" i="41"/>
  <c r="BY37" i="41"/>
  <c r="BW37" i="41"/>
  <c r="BR37" i="41"/>
  <c r="BO37" i="41"/>
  <c r="BH37" i="41"/>
  <c r="BM37" i="41"/>
  <c r="BI37" i="41"/>
  <c r="BS37" i="41"/>
  <c r="BV37" i="41"/>
  <c r="BJ37" i="41"/>
  <c r="BT37" i="41"/>
  <c r="BG37" i="41"/>
  <c r="BQ37" i="41"/>
  <c r="BL37" i="41"/>
  <c r="BN37" i="41"/>
  <c r="CH37" i="41"/>
  <c r="BU37" i="41"/>
  <c r="BP37" i="41"/>
  <c r="BK37" i="41"/>
  <c r="BZ37" i="41"/>
  <c r="CW37" i="41"/>
  <c r="CM37" i="41"/>
  <c r="CR37" i="41"/>
  <c r="B25" i="23"/>
  <c r="B25" i="24" s="1"/>
  <c r="N35" i="41"/>
  <c r="Y35" i="41" s="1"/>
  <c r="BA36" i="41"/>
  <c r="N36" i="41" s="1"/>
  <c r="Y36" i="41" s="1"/>
  <c r="CA36" i="41"/>
  <c r="O36" i="41" s="1"/>
  <c r="BB36" i="41"/>
  <c r="AN37" i="41"/>
  <c r="AK37" i="41"/>
  <c r="AT37" i="41"/>
  <c r="AX37" i="41"/>
  <c r="AU37" i="41"/>
  <c r="AJ37" i="41"/>
  <c r="AM37" i="41"/>
  <c r="AH37" i="41"/>
  <c r="AG37" i="41"/>
  <c r="AP37" i="41"/>
  <c r="AI37" i="41"/>
  <c r="AZ37" i="41"/>
  <c r="AW37" i="41"/>
  <c r="AL37" i="41"/>
  <c r="AY37" i="41"/>
  <c r="D37" i="41"/>
  <c r="AO37" i="41"/>
  <c r="AR37" i="41"/>
  <c r="AS37" i="41"/>
  <c r="AV37" i="41"/>
  <c r="AQ37" i="41"/>
  <c r="B38" i="41"/>
  <c r="A39" i="41"/>
  <c r="A27" i="23" s="1"/>
  <c r="A27" i="24" s="1"/>
  <c r="Q35" i="41" l="1"/>
  <c r="Q36" i="41"/>
  <c r="FN36" i="41"/>
  <c r="FL36" i="41"/>
  <c r="FL35" i="41"/>
  <c r="FN35" i="41"/>
  <c r="D25" i="23"/>
  <c r="E25" i="24" s="1"/>
  <c r="CX37" i="41"/>
  <c r="P37" i="41" s="1"/>
  <c r="CL38" i="41"/>
  <c r="CF38" i="41"/>
  <c r="CO38" i="41"/>
  <c r="CW38" i="41"/>
  <c r="CG38" i="41"/>
  <c r="CP38" i="41"/>
  <c r="CH38" i="41"/>
  <c r="CQ38" i="41"/>
  <c r="CI38" i="41"/>
  <c r="CR38" i="41"/>
  <c r="CJ38" i="41"/>
  <c r="CS38" i="41"/>
  <c r="CK38" i="41"/>
  <c r="CT38" i="41"/>
  <c r="CD38" i="41"/>
  <c r="CM38" i="41"/>
  <c r="CU38" i="41"/>
  <c r="CE38" i="41"/>
  <c r="CN38" i="41"/>
  <c r="CV38" i="41"/>
  <c r="BQ38" i="41"/>
  <c r="BR38" i="41"/>
  <c r="BV38" i="41"/>
  <c r="BS38" i="41"/>
  <c r="BH38" i="41"/>
  <c r="BK38" i="41"/>
  <c r="BO38" i="41"/>
  <c r="BG38" i="41"/>
  <c r="BW38" i="41"/>
  <c r="BL38" i="41"/>
  <c r="BI38" i="41"/>
  <c r="BN38" i="41"/>
  <c r="BP38" i="41"/>
  <c r="BX38" i="41"/>
  <c r="BM38" i="41"/>
  <c r="BJ38" i="41"/>
  <c r="BY38" i="41"/>
  <c r="BT38" i="41"/>
  <c r="BZ38" i="41"/>
  <c r="BU38" i="41"/>
  <c r="B26" i="23"/>
  <c r="B26" i="24" s="1"/>
  <c r="CA37" i="41"/>
  <c r="O37" i="41" s="1"/>
  <c r="BA37" i="41"/>
  <c r="AI38" i="41"/>
  <c r="AN38" i="41"/>
  <c r="AH38" i="41"/>
  <c r="AT38" i="41"/>
  <c r="AX38" i="41"/>
  <c r="AS38" i="41"/>
  <c r="AZ38" i="41"/>
  <c r="AY38" i="41"/>
  <c r="AP38" i="41"/>
  <c r="AM38" i="41"/>
  <c r="AG38" i="41"/>
  <c r="AL38" i="41"/>
  <c r="AR38" i="41"/>
  <c r="AW38" i="41"/>
  <c r="AK38" i="41"/>
  <c r="D38" i="41"/>
  <c r="AJ38" i="41"/>
  <c r="AO38" i="41"/>
  <c r="AU38" i="41"/>
  <c r="AQ38" i="41"/>
  <c r="AV38" i="41"/>
  <c r="A40" i="41"/>
  <c r="A28" i="23" s="1"/>
  <c r="A28" i="24" s="1"/>
  <c r="B39" i="41"/>
  <c r="BB37" i="41"/>
  <c r="D26" i="23" l="1"/>
  <c r="E26" i="24" s="1"/>
  <c r="CX38" i="41"/>
  <c r="P38" i="41" s="1"/>
  <c r="CL39" i="41"/>
  <c r="CK39" i="41"/>
  <c r="CT39" i="41"/>
  <c r="CD39" i="41"/>
  <c r="CM39" i="41"/>
  <c r="CU39" i="41"/>
  <c r="CE39" i="41"/>
  <c r="CN39" i="41"/>
  <c r="CV39" i="41"/>
  <c r="CF39" i="41"/>
  <c r="CO39" i="41"/>
  <c r="CW39" i="41"/>
  <c r="CG39" i="41"/>
  <c r="CP39" i="41"/>
  <c r="CH39" i="41"/>
  <c r="CQ39" i="41"/>
  <c r="CI39" i="41"/>
  <c r="CR39" i="41"/>
  <c r="CJ39" i="41"/>
  <c r="CS39" i="41"/>
  <c r="BW39" i="41"/>
  <c r="BT39" i="41"/>
  <c r="BX39" i="41"/>
  <c r="BU39" i="41"/>
  <c r="BY39" i="41"/>
  <c r="BN39" i="41"/>
  <c r="BO39" i="41"/>
  <c r="BV39" i="41"/>
  <c r="BZ39" i="41"/>
  <c r="BL39" i="41"/>
  <c r="BM39" i="41"/>
  <c r="BP39" i="41"/>
  <c r="BH39" i="41"/>
  <c r="BQ39" i="41"/>
  <c r="BS39" i="41"/>
  <c r="BK39" i="41"/>
  <c r="BG39" i="41"/>
  <c r="BI39" i="41"/>
  <c r="BR39" i="41"/>
  <c r="BJ39" i="41"/>
  <c r="B27" i="23"/>
  <c r="B27" i="24" s="1"/>
  <c r="N37" i="41"/>
  <c r="Y37" i="41" s="1"/>
  <c r="CA38" i="41"/>
  <c r="O38" i="41" s="1"/>
  <c r="BA38" i="41"/>
  <c r="N38" i="41" s="1"/>
  <c r="AZ39" i="41"/>
  <c r="AH39" i="41"/>
  <c r="AM39" i="41"/>
  <c r="AG39" i="41"/>
  <c r="AR39" i="41"/>
  <c r="AN39" i="41"/>
  <c r="AY39" i="41"/>
  <c r="AJ39" i="41"/>
  <c r="AT39" i="41"/>
  <c r="AQ39" i="41"/>
  <c r="AW39" i="41"/>
  <c r="D39" i="41"/>
  <c r="AL39" i="41"/>
  <c r="AI39" i="41"/>
  <c r="AV39" i="41"/>
  <c r="AS39" i="41"/>
  <c r="AX39" i="41"/>
  <c r="AU39" i="41"/>
  <c r="AK39" i="41"/>
  <c r="AP39" i="41"/>
  <c r="AO39" i="41"/>
  <c r="BB38" i="41"/>
  <c r="B40" i="41"/>
  <c r="A41" i="41"/>
  <c r="A29" i="23" s="1"/>
  <c r="A29" i="24" s="1"/>
  <c r="Q37" i="41" l="1"/>
  <c r="J38" i="61"/>
  <c r="Q38" i="41"/>
  <c r="FL37" i="41"/>
  <c r="FN37" i="41"/>
  <c r="CX39" i="41"/>
  <c r="P39" i="41" s="1"/>
  <c r="D27" i="23"/>
  <c r="E27" i="24" s="1"/>
  <c r="CL40" i="41"/>
  <c r="CI40" i="41"/>
  <c r="CT40" i="41"/>
  <c r="CJ40" i="41"/>
  <c r="CU40" i="41"/>
  <c r="CK40" i="41"/>
  <c r="CV40" i="41"/>
  <c r="CM40" i="41"/>
  <c r="CW40" i="41"/>
  <c r="CE40" i="41"/>
  <c r="CO40" i="41"/>
  <c r="CF40" i="41"/>
  <c r="CP40" i="41"/>
  <c r="CG40" i="41"/>
  <c r="CQ40" i="41"/>
  <c r="CH40" i="41"/>
  <c r="CR40" i="41"/>
  <c r="BZ40" i="41"/>
  <c r="BQ40" i="41"/>
  <c r="BW40" i="41"/>
  <c r="BR40" i="41"/>
  <c r="BH40" i="41"/>
  <c r="BM40" i="41"/>
  <c r="BO40" i="41"/>
  <c r="BX40" i="41"/>
  <c r="BS40" i="41"/>
  <c r="BI40" i="41"/>
  <c r="BK40" i="41"/>
  <c r="BN40" i="41"/>
  <c r="BV40" i="41"/>
  <c r="BY40" i="41"/>
  <c r="BT40" i="41"/>
  <c r="BJ40" i="41"/>
  <c r="BU40" i="41"/>
  <c r="BP40" i="41"/>
  <c r="BL40" i="41"/>
  <c r="CS40" i="41"/>
  <c r="CN40" i="41"/>
  <c r="CD40" i="41"/>
  <c r="BG40" i="41"/>
  <c r="B28" i="23"/>
  <c r="B28" i="24" s="1"/>
  <c r="Y38" i="41"/>
  <c r="CA39" i="41"/>
  <c r="O39" i="41" s="1"/>
  <c r="BA39" i="41"/>
  <c r="N39" i="41" s="1"/>
  <c r="Y39" i="41" s="1"/>
  <c r="B41" i="41"/>
  <c r="A42" i="41"/>
  <c r="A30" i="23" s="1"/>
  <c r="A30" i="24" s="1"/>
  <c r="AT40" i="41"/>
  <c r="AQ40" i="41"/>
  <c r="AH40" i="41"/>
  <c r="AP40" i="41"/>
  <c r="AL40" i="41"/>
  <c r="AI40" i="41"/>
  <c r="AG40" i="41"/>
  <c r="AJ40" i="41"/>
  <c r="AS40" i="41"/>
  <c r="AK40" i="41"/>
  <c r="AV40" i="41"/>
  <c r="AZ40" i="41"/>
  <c r="AX40" i="41"/>
  <c r="D40" i="41"/>
  <c r="AN40" i="41"/>
  <c r="AR40" i="41"/>
  <c r="AW40" i="41"/>
  <c r="AO40" i="41"/>
  <c r="AU40" i="41"/>
  <c r="AM40" i="41"/>
  <c r="AY40" i="41"/>
  <c r="BB39" i="41"/>
  <c r="Q39" i="41" l="1"/>
  <c r="FL39" i="41"/>
  <c r="FN39" i="41"/>
  <c r="CX40" i="41"/>
  <c r="P40" i="41" s="1"/>
  <c r="D28" i="23"/>
  <c r="E28" i="24" s="1"/>
  <c r="CL41" i="41"/>
  <c r="CI41" i="41"/>
  <c r="CU41" i="41"/>
  <c r="CK41" i="41"/>
  <c r="CV41" i="41"/>
  <c r="CM41" i="41"/>
  <c r="CW41" i="41"/>
  <c r="CN41" i="41"/>
  <c r="CD41" i="41"/>
  <c r="CP41" i="41"/>
  <c r="CF41" i="41"/>
  <c r="CQ41" i="41"/>
  <c r="CG41" i="41"/>
  <c r="CR41" i="41"/>
  <c r="CH41" i="41"/>
  <c r="CS41" i="41"/>
  <c r="BS41" i="41"/>
  <c r="BV41" i="41"/>
  <c r="BT41" i="41"/>
  <c r="BX41" i="41"/>
  <c r="BU41" i="41"/>
  <c r="BN41" i="41"/>
  <c r="BI41" i="41"/>
  <c r="BO41" i="41"/>
  <c r="BP41" i="41"/>
  <c r="BL41" i="41"/>
  <c r="BY41" i="41"/>
  <c r="BZ41" i="41"/>
  <c r="BQ41" i="41"/>
  <c r="BJ41" i="41"/>
  <c r="BG41" i="41"/>
  <c r="BK41" i="41"/>
  <c r="CO41" i="41"/>
  <c r="BR41" i="41"/>
  <c r="BW41" i="41"/>
  <c r="BH41" i="41"/>
  <c r="CE41" i="41"/>
  <c r="BM41" i="41"/>
  <c r="CT41" i="41"/>
  <c r="CJ41" i="41"/>
  <c r="FN38" i="41"/>
  <c r="FL38" i="41"/>
  <c r="B29" i="23"/>
  <c r="B29" i="24" s="1"/>
  <c r="CA40" i="41"/>
  <c r="O40" i="41" s="1"/>
  <c r="BA40" i="41"/>
  <c r="N40" i="41" s="1"/>
  <c r="BB40" i="41"/>
  <c r="A43" i="41"/>
  <c r="A31" i="23" s="1"/>
  <c r="A31" i="24" s="1"/>
  <c r="B42" i="41"/>
  <c r="AV41" i="41"/>
  <c r="AZ41" i="41"/>
  <c r="AU41" i="41"/>
  <c r="AM41" i="41"/>
  <c r="D41" i="41"/>
  <c r="AN41" i="41"/>
  <c r="AY41" i="41"/>
  <c r="AR41" i="41"/>
  <c r="AQ41" i="41"/>
  <c r="AI41" i="41"/>
  <c r="AX41" i="41"/>
  <c r="AS41" i="41"/>
  <c r="AP41" i="41"/>
  <c r="AH41" i="41"/>
  <c r="AT41" i="41"/>
  <c r="AJ41" i="41"/>
  <c r="AW41" i="41"/>
  <c r="AL41" i="41"/>
  <c r="AO41" i="41"/>
  <c r="AG41" i="41"/>
  <c r="AK41" i="41"/>
  <c r="Q40" i="41" l="1"/>
  <c r="D29" i="23"/>
  <c r="E29" i="24" s="1"/>
  <c r="CL42" i="41"/>
  <c r="CJ42" i="41"/>
  <c r="CV42" i="41"/>
  <c r="CM42" i="41"/>
  <c r="CW42" i="41"/>
  <c r="CN42" i="41"/>
  <c r="CD42" i="41"/>
  <c r="CO42" i="41"/>
  <c r="CE42" i="41"/>
  <c r="CQ42" i="41"/>
  <c r="CG42" i="41"/>
  <c r="CR42" i="41"/>
  <c r="CH42" i="41"/>
  <c r="CS42" i="41"/>
  <c r="CI42" i="41"/>
  <c r="CT42" i="41"/>
  <c r="BY42" i="41"/>
  <c r="BZ42" i="41"/>
  <c r="BU42" i="41"/>
  <c r="BJ42" i="41"/>
  <c r="BV42" i="41"/>
  <c r="BW42" i="41"/>
  <c r="BK42" i="41"/>
  <c r="BP42" i="41"/>
  <c r="BX42" i="41"/>
  <c r="BH42" i="41"/>
  <c r="BL42" i="41"/>
  <c r="BM42" i="41"/>
  <c r="BO42" i="41"/>
  <c r="BT42" i="41"/>
  <c r="BG42" i="41"/>
  <c r="BQ42" i="41"/>
  <c r="BR42" i="41"/>
  <c r="CU42" i="41"/>
  <c r="CK42" i="41"/>
  <c r="CF42" i="41"/>
  <c r="CP42" i="41"/>
  <c r="BI42" i="41"/>
  <c r="BS42" i="41"/>
  <c r="BN42" i="41"/>
  <c r="CX41" i="41"/>
  <c r="P41" i="41" s="1"/>
  <c r="B30" i="23"/>
  <c r="B30" i="24" s="1"/>
  <c r="CA41" i="41"/>
  <c r="O41" i="41" s="1"/>
  <c r="BA41" i="41"/>
  <c r="N41" i="41" s="1"/>
  <c r="BB41" i="41"/>
  <c r="AX42" i="41"/>
  <c r="AU42" i="41"/>
  <c r="AT42" i="41"/>
  <c r="AW42" i="41"/>
  <c r="AP42" i="41"/>
  <c r="AM42" i="41"/>
  <c r="AZ42" i="41"/>
  <c r="AH42" i="41"/>
  <c r="AR42" i="41"/>
  <c r="AL42" i="41"/>
  <c r="AJ42" i="41"/>
  <c r="AO42" i="41"/>
  <c r="AS42" i="41"/>
  <c r="D42" i="41"/>
  <c r="AG42" i="41"/>
  <c r="AV42" i="41"/>
  <c r="AY42" i="41"/>
  <c r="AK42" i="41"/>
  <c r="AQ42" i="41"/>
  <c r="AI42" i="41"/>
  <c r="AN42" i="41"/>
  <c r="A44" i="41"/>
  <c r="A32" i="23" s="1"/>
  <c r="A32" i="24" s="1"/>
  <c r="B43" i="41"/>
  <c r="Q41" i="41" l="1"/>
  <c r="D30" i="23"/>
  <c r="E30" i="24" s="1"/>
  <c r="CX42" i="41"/>
  <c r="P42" i="41" s="1"/>
  <c r="CK43" i="41"/>
  <c r="CU43" i="41"/>
  <c r="CM43" i="41"/>
  <c r="CW43" i="41"/>
  <c r="CD43" i="41"/>
  <c r="CN43" i="41"/>
  <c r="CE43" i="41"/>
  <c r="CO43" i="41"/>
  <c r="CF43" i="41"/>
  <c r="CP43" i="41"/>
  <c r="CH43" i="41"/>
  <c r="CR43" i="41"/>
  <c r="CI43" i="41"/>
  <c r="CS43" i="41"/>
  <c r="CJ43" i="41"/>
  <c r="CT43" i="41"/>
  <c r="BR43" i="41"/>
  <c r="BS43" i="41"/>
  <c r="BV43" i="41"/>
  <c r="BU43" i="41"/>
  <c r="BW43" i="41"/>
  <c r="BM43" i="41"/>
  <c r="BG43" i="41"/>
  <c r="BI43" i="41"/>
  <c r="BX43" i="41"/>
  <c r="BQ43" i="41"/>
  <c r="BN43" i="41"/>
  <c r="BK43" i="41"/>
  <c r="BL43" i="41"/>
  <c r="BY43" i="41"/>
  <c r="BP43" i="41"/>
  <c r="BH43" i="41"/>
  <c r="BZ43" i="41"/>
  <c r="BT43" i="41"/>
  <c r="CL43" i="41"/>
  <c r="CG43" i="41"/>
  <c r="CV43" i="41"/>
  <c r="BJ43" i="41"/>
  <c r="CQ43" i="41"/>
  <c r="BO43" i="41"/>
  <c r="B31" i="23"/>
  <c r="B31" i="24" s="1"/>
  <c r="CA42" i="41"/>
  <c r="O42" i="41" s="1"/>
  <c r="BA42" i="41"/>
  <c r="N42" i="41" s="1"/>
  <c r="Y42" i="41" s="1"/>
  <c r="BB42" i="41"/>
  <c r="A45" i="41"/>
  <c r="B44" i="41"/>
  <c r="AZ43" i="41"/>
  <c r="AH43" i="41"/>
  <c r="AJ43" i="41"/>
  <c r="AQ43" i="41"/>
  <c r="AR43" i="41"/>
  <c r="AW43" i="41"/>
  <c r="AU43" i="41"/>
  <c r="AO43" i="41"/>
  <c r="D43" i="41"/>
  <c r="AY43" i="41"/>
  <c r="AG43" i="41"/>
  <c r="AV43" i="41"/>
  <c r="AT43" i="41"/>
  <c r="AL43" i="41"/>
  <c r="AI43" i="41"/>
  <c r="AN43" i="41"/>
  <c r="AS43" i="41"/>
  <c r="AX43" i="41"/>
  <c r="AK43" i="41"/>
  <c r="AP43" i="41"/>
  <c r="AM43" i="41"/>
  <c r="Q42" i="41" l="1"/>
  <c r="FL42" i="41"/>
  <c r="FN42" i="41"/>
  <c r="D31" i="23"/>
  <c r="E31" i="24" s="1"/>
  <c r="CX43" i="41"/>
  <c r="P43" i="41" s="1"/>
  <c r="B32" i="23"/>
  <c r="B32" i="24" s="1"/>
  <c r="CL44" i="41"/>
  <c r="CK44" i="41"/>
  <c r="CV44" i="41"/>
  <c r="CN44" i="41"/>
  <c r="CD44" i="41"/>
  <c r="CO44" i="41"/>
  <c r="CE44" i="41"/>
  <c r="CP44" i="41"/>
  <c r="CF44" i="41"/>
  <c r="CQ44" i="41"/>
  <c r="CG44" i="41"/>
  <c r="CS44" i="41"/>
  <c r="CI44" i="41"/>
  <c r="CT44" i="41"/>
  <c r="CJ44" i="41"/>
  <c r="CU44" i="41"/>
  <c r="BW44" i="41"/>
  <c r="BX44" i="41"/>
  <c r="BY44" i="41"/>
  <c r="BT44" i="41"/>
  <c r="BG44" i="41"/>
  <c r="BM44" i="41"/>
  <c r="BH44" i="41"/>
  <c r="BQ44" i="41"/>
  <c r="BL44" i="41"/>
  <c r="BO44" i="41"/>
  <c r="BR44" i="41"/>
  <c r="BN44" i="41"/>
  <c r="BV44" i="41"/>
  <c r="BS44" i="41"/>
  <c r="BI44" i="41"/>
  <c r="BJ44" i="41"/>
  <c r="BU44" i="41"/>
  <c r="CM44" i="41"/>
  <c r="CH44" i="41"/>
  <c r="BK44" i="41"/>
  <c r="BP44" i="41"/>
  <c r="BZ44" i="41"/>
  <c r="CW44" i="41"/>
  <c r="CR44" i="41"/>
  <c r="B45" i="41"/>
  <c r="E48" i="43" s="1"/>
  <c r="A33" i="23"/>
  <c r="A33" i="24" s="1"/>
  <c r="G76" i="41"/>
  <c r="U48" i="43" s="1"/>
  <c r="G87" i="41"/>
  <c r="AU48" i="43" s="1"/>
  <c r="G78" i="41"/>
  <c r="Y48" i="43" s="1"/>
  <c r="G71" i="41"/>
  <c r="I48" i="43" s="1"/>
  <c r="G89" i="41"/>
  <c r="AY48" i="43" s="1"/>
  <c r="G79" i="41"/>
  <c r="AA48" i="43" s="1"/>
  <c r="G88" i="41"/>
  <c r="AW48" i="43" s="1"/>
  <c r="G82" i="41"/>
  <c r="AI48" i="43" s="1"/>
  <c r="G70" i="41"/>
  <c r="G48" i="43" s="1"/>
  <c r="G91" i="41"/>
  <c r="BC48" i="43" s="1"/>
  <c r="G72" i="41"/>
  <c r="K48" i="43" s="1"/>
  <c r="G77" i="41"/>
  <c r="W48" i="43" s="1"/>
  <c r="G75" i="41"/>
  <c r="S48" i="43" s="1"/>
  <c r="K86" i="1" s="1"/>
  <c r="G83" i="41"/>
  <c r="AK48" i="43" s="1"/>
  <c r="G81" i="41"/>
  <c r="AG48" i="43" s="1"/>
  <c r="G90" i="41"/>
  <c r="BA48" i="43" s="1"/>
  <c r="G73" i="41"/>
  <c r="M48" i="43" s="1"/>
  <c r="G84" i="41"/>
  <c r="AM48" i="43" s="1"/>
  <c r="G85" i="41"/>
  <c r="AO48" i="43" s="1"/>
  <c r="CA43" i="41"/>
  <c r="O43" i="41" s="1"/>
  <c r="BA43" i="41"/>
  <c r="AB46" i="41"/>
  <c r="I72" i="1" s="1"/>
  <c r="J34" i="1" s="1"/>
  <c r="AV44" i="41"/>
  <c r="AZ44" i="41"/>
  <c r="AP44" i="41"/>
  <c r="D44" i="41"/>
  <c r="AN44" i="41"/>
  <c r="AR44" i="41"/>
  <c r="AH44" i="41"/>
  <c r="AU44" i="41"/>
  <c r="AJ44" i="41"/>
  <c r="AW44" i="41"/>
  <c r="AM44" i="41"/>
  <c r="AY44" i="41"/>
  <c r="AO44" i="41"/>
  <c r="AT44" i="41"/>
  <c r="AQ44" i="41"/>
  <c r="AG44" i="41"/>
  <c r="DZ46" i="41" s="1"/>
  <c r="Q71" i="41" s="1"/>
  <c r="AL44" i="41"/>
  <c r="AI44" i="41"/>
  <c r="AS44" i="41"/>
  <c r="AK44" i="41"/>
  <c r="AX44" i="41"/>
  <c r="AX45" i="41"/>
  <c r="AR45" i="41"/>
  <c r="AP45" i="41"/>
  <c r="AZ45" i="41"/>
  <c r="AH45" i="41"/>
  <c r="AV45" i="41"/>
  <c r="AT45" i="41"/>
  <c r="AN45" i="41"/>
  <c r="AL45" i="41"/>
  <c r="AJ45" i="41"/>
  <c r="D45" i="41"/>
  <c r="AY45" i="41"/>
  <c r="AW45" i="41"/>
  <c r="AO45" i="41"/>
  <c r="AU45" i="41"/>
  <c r="AS45" i="41"/>
  <c r="AQ45" i="41"/>
  <c r="AG45" i="41"/>
  <c r="AM45" i="41"/>
  <c r="AK45" i="41"/>
  <c r="AI45" i="41"/>
  <c r="BB43" i="41"/>
  <c r="Z43" i="41" l="1"/>
  <c r="Z46" i="41" s="1"/>
  <c r="D32" i="23"/>
  <c r="E32" i="24" s="1"/>
  <c r="CX44" i="41"/>
  <c r="P44" i="41" s="1"/>
  <c r="CL45" i="41"/>
  <c r="CK45" i="41"/>
  <c r="CT45" i="41"/>
  <c r="CD45" i="41"/>
  <c r="CM45" i="41"/>
  <c r="CU45" i="41"/>
  <c r="CE45" i="41"/>
  <c r="CN45" i="41"/>
  <c r="CV45" i="41"/>
  <c r="CF45" i="41"/>
  <c r="CO45" i="41"/>
  <c r="CW45" i="41"/>
  <c r="CG45" i="41"/>
  <c r="CP45" i="41"/>
  <c r="CH45" i="41"/>
  <c r="CQ45" i="41"/>
  <c r="CI45" i="41"/>
  <c r="CR45" i="41"/>
  <c r="CJ45" i="41"/>
  <c r="CS45" i="41"/>
  <c r="BT45" i="41"/>
  <c r="BU45" i="41"/>
  <c r="BY45" i="41"/>
  <c r="BM45" i="41"/>
  <c r="BH45" i="41"/>
  <c r="BK45" i="41"/>
  <c r="BZ45" i="41"/>
  <c r="BN45" i="41"/>
  <c r="BI45" i="41"/>
  <c r="BV45" i="41"/>
  <c r="BX45" i="41"/>
  <c r="BO45" i="41"/>
  <c r="BG45" i="41"/>
  <c r="BJ45" i="41"/>
  <c r="BP45" i="41"/>
  <c r="BL45" i="41"/>
  <c r="BR45" i="41"/>
  <c r="BS45" i="41"/>
  <c r="BQ45" i="41"/>
  <c r="BW45" i="41"/>
  <c r="L99" i="1"/>
  <c r="K99" i="1"/>
  <c r="L88" i="1"/>
  <c r="K88" i="1"/>
  <c r="L79" i="1"/>
  <c r="K79" i="1"/>
  <c r="L98" i="1"/>
  <c r="K98" i="1"/>
  <c r="K80" i="1"/>
  <c r="L80" i="1"/>
  <c r="L89" i="1"/>
  <c r="K89" i="1"/>
  <c r="K81" i="1"/>
  <c r="L81" i="1"/>
  <c r="L78" i="1"/>
  <c r="K78" i="1"/>
  <c r="L87" i="1"/>
  <c r="K87" i="1"/>
  <c r="L95" i="1"/>
  <c r="K95" i="1"/>
  <c r="L96" i="1"/>
  <c r="K96" i="1"/>
  <c r="L97" i="1"/>
  <c r="K97" i="1"/>
  <c r="K77" i="1"/>
  <c r="L77" i="1"/>
  <c r="L90" i="1"/>
  <c r="K90" i="1"/>
  <c r="K108" i="1"/>
  <c r="L108" i="1"/>
  <c r="K104" i="1"/>
  <c r="L104" i="1"/>
  <c r="K107" i="1"/>
  <c r="L107" i="1"/>
  <c r="K105" i="1"/>
  <c r="L105" i="1"/>
  <c r="L106" i="1"/>
  <c r="K106" i="1"/>
  <c r="L86" i="1"/>
  <c r="G86" i="1" s="1"/>
  <c r="D99" i="1"/>
  <c r="F99" i="1"/>
  <c r="D88" i="1"/>
  <c r="F88" i="1"/>
  <c r="D79" i="1"/>
  <c r="F79" i="1"/>
  <c r="D89" i="1"/>
  <c r="F89" i="1"/>
  <c r="D87" i="1"/>
  <c r="F87" i="1"/>
  <c r="D98" i="1"/>
  <c r="F98" i="1"/>
  <c r="D104" i="1"/>
  <c r="F104" i="1"/>
  <c r="D95" i="1"/>
  <c r="F95" i="1"/>
  <c r="D96" i="1"/>
  <c r="F96" i="1"/>
  <c r="D108" i="1"/>
  <c r="F108" i="1"/>
  <c r="D78" i="1"/>
  <c r="F78" i="1"/>
  <c r="D105" i="1"/>
  <c r="J20" i="44" s="1"/>
  <c r="F105" i="1"/>
  <c r="D81" i="1"/>
  <c r="F81" i="1"/>
  <c r="D107" i="1"/>
  <c r="F107" i="1"/>
  <c r="D97" i="1"/>
  <c r="F97" i="1"/>
  <c r="F77" i="1"/>
  <c r="D90" i="1"/>
  <c r="F90" i="1"/>
  <c r="D80" i="1"/>
  <c r="F80" i="1"/>
  <c r="D86" i="1"/>
  <c r="F86" i="1"/>
  <c r="D106" i="1"/>
  <c r="J21" i="44" s="1"/>
  <c r="F106" i="1"/>
  <c r="AO53" i="43"/>
  <c r="AO56" i="43"/>
  <c r="W53" i="43"/>
  <c r="W56" i="43"/>
  <c r="I56" i="43"/>
  <c r="I53" i="43"/>
  <c r="AM53" i="43"/>
  <c r="AM56" i="43"/>
  <c r="K53" i="43"/>
  <c r="K56" i="43"/>
  <c r="Y56" i="43"/>
  <c r="Y53" i="43"/>
  <c r="BC53" i="43"/>
  <c r="BC56" i="43"/>
  <c r="AU56" i="43"/>
  <c r="AU53" i="43"/>
  <c r="G56" i="43"/>
  <c r="G53" i="43"/>
  <c r="U56" i="43"/>
  <c r="U53" i="43"/>
  <c r="BA56" i="43"/>
  <c r="BA53" i="43"/>
  <c r="AG56" i="43"/>
  <c r="AG53" i="43"/>
  <c r="AI56" i="43"/>
  <c r="AI53" i="43"/>
  <c r="AK56" i="43"/>
  <c r="AK53" i="43"/>
  <c r="AW56" i="43"/>
  <c r="AW53" i="43"/>
  <c r="M56" i="43"/>
  <c r="M53" i="43"/>
  <c r="E56" i="43"/>
  <c r="BD48" i="43"/>
  <c r="I69" i="1" s="1"/>
  <c r="I45" i="1" s="1"/>
  <c r="B41" i="1" s="1"/>
  <c r="E53" i="43"/>
  <c r="AA56" i="43"/>
  <c r="AA53" i="43"/>
  <c r="S56" i="43"/>
  <c r="S53" i="43"/>
  <c r="AY53" i="43"/>
  <c r="AY56" i="43"/>
  <c r="AF46" i="41"/>
  <c r="J57" i="1" s="1"/>
  <c r="D33" i="23"/>
  <c r="E33" i="24" s="1"/>
  <c r="B33" i="23"/>
  <c r="B33" i="24" s="1"/>
  <c r="G92" i="41"/>
  <c r="G37" i="23" s="1"/>
  <c r="D77" i="1"/>
  <c r="N43" i="41"/>
  <c r="Q43" i="41" s="1"/>
  <c r="CA44" i="41"/>
  <c r="O44" i="41" s="1"/>
  <c r="BA45" i="41"/>
  <c r="BA44" i="41"/>
  <c r="BB45" i="41"/>
  <c r="BB44" i="41"/>
  <c r="H37" i="25" l="1"/>
  <c r="H40" i="25" s="1"/>
  <c r="A6" i="93"/>
  <c r="CA45" i="41"/>
  <c r="O45" i="41" s="1"/>
  <c r="CX45" i="41"/>
  <c r="P45" i="41" s="1"/>
  <c r="J38" i="1"/>
  <c r="J16" i="44"/>
  <c r="I26" i="1"/>
  <c r="I28" i="1" s="1"/>
  <c r="K28" i="1" s="1"/>
  <c r="B48" i="1"/>
  <c r="I47" i="1"/>
  <c r="K47" i="1" s="1"/>
  <c r="D111" i="1"/>
  <c r="BD56" i="43"/>
  <c r="G80" i="1"/>
  <c r="H80" i="1" s="1"/>
  <c r="G78" i="1"/>
  <c r="H78" i="1" s="1"/>
  <c r="G81" i="1"/>
  <c r="H81" i="1" s="1"/>
  <c r="G90" i="1"/>
  <c r="H90" i="1" s="1"/>
  <c r="G89" i="1"/>
  <c r="H89" i="1" s="1"/>
  <c r="G88" i="1"/>
  <c r="H88" i="1" s="1"/>
  <c r="G79" i="1"/>
  <c r="H79" i="1" s="1"/>
  <c r="G77" i="1"/>
  <c r="H77" i="1" s="1"/>
  <c r="G97" i="1"/>
  <c r="H97" i="1" s="1"/>
  <c r="G98" i="1"/>
  <c r="H98" i="1" s="1"/>
  <c r="G96" i="1"/>
  <c r="H96" i="1" s="1"/>
  <c r="G95" i="1"/>
  <c r="H95" i="1" s="1"/>
  <c r="G87" i="1"/>
  <c r="G99" i="1"/>
  <c r="H99" i="1" s="1"/>
  <c r="G106" i="1"/>
  <c r="H106" i="1" s="1"/>
  <c r="G107" i="1"/>
  <c r="H107" i="1" s="1"/>
  <c r="G104" i="1"/>
  <c r="H104" i="1" s="1"/>
  <c r="G105" i="1"/>
  <c r="H105" i="1" s="1"/>
  <c r="G108" i="1"/>
  <c r="H86" i="1"/>
  <c r="F91" i="1"/>
  <c r="F109" i="1"/>
  <c r="F100" i="1"/>
  <c r="F82" i="1"/>
  <c r="BD53" i="43"/>
  <c r="Y43" i="41"/>
  <c r="AM37" i="23"/>
  <c r="H36" i="24"/>
  <c r="H39" i="24" s="1"/>
  <c r="I17" i="1"/>
  <c r="G35" i="23"/>
  <c r="CC46" i="41"/>
  <c r="CB46" i="41"/>
  <c r="BD57" i="43" s="1"/>
  <c r="N45" i="41"/>
  <c r="BA46" i="41"/>
  <c r="N44" i="41"/>
  <c r="Q44" i="41" s="1"/>
  <c r="O46" i="41" l="1"/>
  <c r="Q45" i="41"/>
  <c r="FO46" i="41"/>
  <c r="I54" i="41" s="1"/>
  <c r="CA46" i="41"/>
  <c r="FL43" i="41"/>
  <c r="FL46" i="41" s="1"/>
  <c r="FN43" i="41"/>
  <c r="FN46" i="41" s="1"/>
  <c r="J63" i="1"/>
  <c r="Y46" i="41"/>
  <c r="J61" i="1"/>
  <c r="J23" i="44" s="1"/>
  <c r="J3" i="61"/>
  <c r="G82" i="1"/>
  <c r="G91" i="1"/>
  <c r="H87" i="1"/>
  <c r="H91" i="1" s="1"/>
  <c r="H82" i="1"/>
  <c r="H100" i="1"/>
  <c r="G100" i="1"/>
  <c r="G109" i="1"/>
  <c r="H108" i="1"/>
  <c r="H109" i="1" s="1"/>
  <c r="I71" i="1"/>
  <c r="N46" i="41"/>
  <c r="I53" i="41" s="1"/>
  <c r="I55" i="41" s="1"/>
  <c r="J58" i="1" s="1"/>
  <c r="AN57" i="43"/>
  <c r="J39" i="1" l="1"/>
  <c r="J17" i="44"/>
  <c r="J59" i="1"/>
  <c r="J18" i="44" s="1"/>
  <c r="EQ46" i="41"/>
  <c r="ER46" i="41"/>
  <c r="EI46" i="41"/>
  <c r="EJ46" i="41"/>
  <c r="Q46" i="41"/>
  <c r="FJ46" i="41"/>
  <c r="FI46" i="41"/>
  <c r="FH46" i="41"/>
  <c r="FG46" i="41"/>
  <c r="I49" i="41"/>
  <c r="I52" i="41" s="1"/>
  <c r="C10" i="50" s="1"/>
  <c r="H52" i="41"/>
  <c r="Q73" i="41" l="1"/>
  <c r="V50" i="41" s="1"/>
  <c r="V52" i="41" s="1"/>
  <c r="P79" i="41"/>
  <c r="P74" i="41"/>
  <c r="J40" i="1"/>
  <c r="I57" i="41"/>
  <c r="E10" i="50" s="1"/>
  <c r="E29" i="50" s="1"/>
  <c r="E32" i="50" s="1"/>
  <c r="C22" i="50"/>
  <c r="C29" i="50"/>
  <c r="C32" i="50" s="1"/>
  <c r="D10" i="50"/>
  <c r="D29" i="50" s="1"/>
  <c r="D32" i="50" s="1"/>
  <c r="V49" i="41" l="1"/>
  <c r="V59" i="41"/>
  <c r="F10" i="50"/>
  <c r="H10" i="50" s="1"/>
  <c r="E34" i="50"/>
  <c r="D22" i="50"/>
  <c r="E22" i="50"/>
  <c r="E24" i="50" s="1"/>
  <c r="E33" i="50"/>
  <c r="D20" i="2"/>
  <c r="H21" i="2" s="1"/>
  <c r="H25" i="2" s="1"/>
  <c r="H20" i="2"/>
  <c r="G20" i="2"/>
  <c r="F20" i="2"/>
  <c r="E20" i="2"/>
  <c r="E33" i="2" s="1"/>
  <c r="C4" i="2"/>
  <c r="C2" i="2"/>
  <c r="C3" i="2"/>
  <c r="E31" i="2"/>
  <c r="E32" i="2"/>
  <c r="E30" i="2"/>
  <c r="E26" i="2"/>
  <c r="V49" i="63" l="1"/>
  <c r="V50" i="63" s="1"/>
  <c r="V57" i="63" s="1"/>
  <c r="V50" i="64" s="1"/>
  <c r="V51" i="64" s="1"/>
  <c r="V58" i="64" s="1"/>
  <c r="V49" i="65" s="1"/>
  <c r="V50" i="65" s="1"/>
  <c r="V57" i="65" s="1"/>
  <c r="V50" i="66" s="1"/>
  <c r="V51" i="66" s="1"/>
  <c r="V58" i="66" s="1"/>
  <c r="V50" i="67" s="1"/>
  <c r="V51" i="67" s="1"/>
  <c r="V58" i="67" s="1"/>
  <c r="V48" i="68" s="1"/>
  <c r="V49" i="68" s="1"/>
  <c r="V56" i="68" s="1"/>
  <c r="V50" i="69" s="1"/>
  <c r="V51" i="69" s="1"/>
  <c r="V58" i="69" s="1"/>
  <c r="V49" i="70" s="1"/>
  <c r="V50" i="70" s="1"/>
  <c r="V57" i="70" s="1"/>
  <c r="V50" i="71" s="1"/>
  <c r="V51" i="71" s="1"/>
  <c r="V58" i="71" s="1"/>
  <c r="V49" i="72" s="1"/>
  <c r="V50" i="72" s="1"/>
  <c r="V57" i="72" s="1"/>
  <c r="V50" i="73" s="1"/>
  <c r="V51" i="73" s="1"/>
  <c r="V58" i="73" s="1"/>
  <c r="F29" i="50"/>
  <c r="F32" i="50" s="1"/>
  <c r="H32" i="50" s="1"/>
  <c r="F22" i="50"/>
  <c r="H29" i="50"/>
  <c r="H11" i="50"/>
  <c r="E63" i="50"/>
  <c r="E23" i="50"/>
  <c r="H12" i="50" l="1"/>
  <c r="H30" i="50"/>
  <c r="G20" i="1"/>
  <c r="B21" i="1" s="1"/>
  <c r="I20" i="1"/>
  <c r="J12" i="44" l="1"/>
  <c r="A3" i="93"/>
  <c r="H31" i="50"/>
  <c r="H13" i="50"/>
  <c r="J22" i="44"/>
  <c r="J19" i="44"/>
  <c r="J53" i="1"/>
  <c r="J33" i="1" s="1"/>
  <c r="J41" i="1" s="1"/>
  <c r="B42" i="1" s="1"/>
  <c r="H14" i="50" l="1"/>
  <c r="H38" i="50"/>
  <c r="J60" i="1"/>
  <c r="D112" i="1" s="1"/>
  <c r="J22" i="61"/>
  <c r="A14" i="93" l="1"/>
  <c r="H15" i="50"/>
  <c r="H39" i="50"/>
  <c r="J24" i="61"/>
  <c r="I73" i="1"/>
  <c r="I48" i="1" s="1"/>
  <c r="K71" i="1"/>
  <c r="A15" i="93" l="1"/>
  <c r="K56" i="44"/>
  <c r="J39" i="61"/>
  <c r="H16" i="50"/>
  <c r="H40" i="50"/>
  <c r="H41" i="50" s="1"/>
  <c r="J64" i="1"/>
  <c r="P46" i="41"/>
  <c r="H17" i="50" l="1"/>
  <c r="H47" i="50"/>
  <c r="I74" i="1"/>
  <c r="H18" i="50" l="1"/>
  <c r="H48" i="50"/>
  <c r="P19" i="69"/>
  <c r="P45" i="69" l="1"/>
  <c r="H36" i="62" s="1"/>
  <c r="Q19" i="69"/>
  <c r="Q45" i="69" s="1"/>
  <c r="H19" i="50"/>
  <c r="H49" i="50"/>
  <c r="H50" i="50" s="1"/>
  <c r="J25" i="44" l="1"/>
  <c r="H20" i="50"/>
  <c r="H56" i="50"/>
  <c r="J26" i="44" l="1"/>
  <c r="K30" i="44" s="1"/>
  <c r="K57" i="44" s="1"/>
  <c r="K75" i="44"/>
  <c r="A16" i="93" s="1"/>
  <c r="H21" i="50"/>
  <c r="H57" i="50"/>
  <c r="H22" i="50" l="1"/>
  <c r="H58" i="50"/>
  <c r="H59" i="50" s="1"/>
  <c r="H25" i="50" l="1"/>
  <c r="E64"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tc={2BE12B20-6EE1-DB41-B134-44AC5D77B008}</author>
  </authors>
  <commentList>
    <comment ref="B18" authorId="0" shapeId="0" xr:uid="{2BE12B20-6EE1-DB41-B134-44AC5D77B008}">
      <text>
        <t>[Trådet kommentar]
Din version af Excel lader dig læse denne trådede kommentar. Eventuelle ændringer vil dog blive fjernet, hvis filen åbnes i en nyere version af Excel. Få mere at vide: https://go.microsoft.com/fwlink/?linkid=870924
Kommentar:
    Beskæftigelsesgraden aftalt i ansættelsesbrevet.</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8" authorId="0" shapeId="0" xr:uid="{A4E37D1F-B005-AE43-8754-8FC73FFAB202}">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8" authorId="0" shapeId="0" xr:uid="{4877F9F9-D9D8-1944-BBAC-A9DAFD894F87}">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7" authorId="0" shapeId="0" xr:uid="{7CB81461-70F5-5E44-A871-C8DDA70B5E1D}">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7" authorId="0" shapeId="0" xr:uid="{8FDD572D-B610-2140-BD9D-A505BA87BAA4}">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8" authorId="0" shapeId="0" xr:uid="{B64B80C7-8224-AC4D-B249-527D5F923FDD}">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8" authorId="0" shapeId="0" xr:uid="{AAB8B58C-53F9-1E4F-9075-B55D922008A4}">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 ref="I59" authorId="0" shapeId="0" xr:uid="{CBE50238-BDE8-7E4E-8593-0320544F79B2}">
      <text>
        <r>
          <rPr>
            <b/>
            <sz val="10"/>
            <color rgb="FF000000"/>
            <rFont val="Tahoma"/>
            <family val="2"/>
          </rPr>
          <t>Tove Dohn:</t>
        </r>
        <r>
          <rPr>
            <sz val="10"/>
            <color rgb="FF000000"/>
            <rFont val="Tahoma"/>
            <family val="2"/>
          </rPr>
          <t xml:space="preserve">
</t>
        </r>
        <r>
          <rPr>
            <sz val="10"/>
            <color rgb="FF000000"/>
            <rFont val="Tahoma"/>
            <family val="2"/>
          </rPr>
          <t>Skriv her antal særlige feriedage optjent i sidste kalenderår, og som skal afvikles i perioden 1. maj til 30. april. Der optjenes 0,42 særlige feriedage pr. måneds ansættelse. BEMÆRK optjeningsåret er SIDSTE kalenderår.</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7" authorId="0" shapeId="0" xr:uid="{61A7A3D4-A37D-E040-880F-BD2AF6627E95}">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7" authorId="0" shapeId="0" xr:uid="{7001AAC1-1D85-8E4E-AE37-C98AD447DE52}">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8" authorId="0" shapeId="0" xr:uid="{7FEC9397-7F0B-754A-9D87-4E5A0C56D836}">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8" authorId="0" shapeId="0" xr:uid="{E70CA7A3-54A9-014F-A0CB-BAE9BA5CCC1E}">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tc={53CDCF47-1C18-B74C-8FCD-1F187581EE76}</author>
    <author>tc={BA36B4C6-FE51-0449-BB6B-4BA6729AA314}</author>
    <author>tc={D2586241-4B4C-8149-AF7C-3A976D71E50B}</author>
    <author>tc={6299BD54-428F-0942-AF97-B33CF2909EA6}</author>
  </authors>
  <commentList>
    <comment ref="I28" authorId="0" shapeId="0" xr:uid="{53CDCF47-1C18-B74C-8FCD-1F187581EE76}">
      <text>
        <t xml:space="preserve">[Trådet kommentar]
Din version af Excel lader dig læse denne trådede kommentar. Eventuelle ændringer vil dog blive fjernet, hvis filen åbnes i en nyere version af Excel. Få mere at vide: https://go.microsoft.com/fwlink/?linkid=870924
Kommentar:
    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
      </text>
    </comment>
    <comment ref="I47" authorId="1" shapeId="0" xr:uid="{BA36B4C6-FE51-0449-BB6B-4BA6729AA314}">
      <text>
        <t xml:space="preserve">[Trådet kommentar]
Din version af Excel lader dig læse denne trådede kommentar. Eventuelle ændringer vil dog blive fjernet, hvis filen åbnes i en nyere version af Excel. Få mere at vide: https://go.microsoft.com/fwlink/?linkid=870924
Kommentar:
    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
      </text>
    </comment>
    <comment ref="I71" authorId="2" shapeId="0" xr:uid="{D2586241-4B4C-8149-AF7C-3A976D71E50B}">
      <text>
        <t xml:space="preserve">[Trådet kommentar]
Din version af Excel lader dig læse denne trådede kommentar. Eventuelle ændringer vil dog blive fjernet, hvis filen åbnes i en nyere version af Excel. Få mere at vide: https://go.microsoft.com/fwlink/?linkid=870924
Kommentar:
    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
      </text>
    </comment>
    <comment ref="D112" authorId="3" shapeId="0" xr:uid="{6299BD54-428F-0942-AF97-B33CF2909EA6}">
      <text>
        <t>[Trådet kommentar]
Din version af Excel lader dig læse denne trådede kommentar. Eventuelle ændringer vil dog blive fjernet, hvis filen åbnes i en nyere version af Excel. Få mere at vide: https://go.microsoft.com/fwlink/?linkid=870924
Kommentar:
    Tallet her viser hvor meget arbejdstid der ikke er planlagt med, ELLER hvor meget arbejdstid der er planlagt for meget med. Planlæg ALDRIG i overtid. Er der overtid betyder det at den ansatte har for mange opgaver. Er dette bevidst skal der laves en plustidsaftale der giver den ansatte en beskæftigelse over 100% med tilsvarende løn/pension. Er der planlagt med få timer i undertid, er det timer skolens ledelse endnu ikke har planlagt, og som kan bruges til uforudset opgaver.</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C14" authorId="0" shapeId="0" xr:uid="{C89DD0C6-C678-B04A-AB83-BB9BF7EA7595}">
      <text>
        <r>
          <rPr>
            <b/>
            <sz val="10"/>
            <color rgb="FF000000"/>
            <rFont val="Tahoma"/>
            <family val="2"/>
          </rPr>
          <t>Tove Dohn:</t>
        </r>
        <r>
          <rPr>
            <sz val="10"/>
            <color rgb="FF000000"/>
            <rFont val="Tahoma"/>
            <family val="2"/>
          </rPr>
          <t xml:space="preserve">
</t>
        </r>
        <r>
          <rPr>
            <sz val="10"/>
            <color rgb="FF000000"/>
            <rFont val="Tahoma"/>
            <family val="2"/>
          </rPr>
          <t>HUSK: Brug kolon og ikke punktum.</t>
        </r>
      </text>
    </comment>
    <comment ref="A16" authorId="0" shapeId="0" xr:uid="{D9794971-D943-7644-8825-1577D47FE47E}">
      <text>
        <r>
          <rPr>
            <b/>
            <sz val="10"/>
            <color rgb="FF000000"/>
            <rFont val="Tahoma"/>
            <family val="2"/>
          </rPr>
          <t>Tove Dohn:</t>
        </r>
        <r>
          <rPr>
            <sz val="10"/>
            <color rgb="FF000000"/>
            <rFont val="Tahoma"/>
            <family val="2"/>
          </rPr>
          <t xml:space="preserve">
</t>
        </r>
        <r>
          <rPr>
            <sz val="10"/>
            <color rgb="FF000000"/>
            <rFont val="Tahoma"/>
            <family val="2"/>
          </rPr>
          <t>HUSK: Brug kolon og ikke punktum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9" authorId="0" shapeId="0" xr:uid="{6F22AF57-3F5C-924A-B7B0-B45967DC6023}">
      <text>
        <r>
          <rPr>
            <b/>
            <sz val="18"/>
            <color rgb="FF000000"/>
            <rFont val="Calibri"/>
            <family val="2"/>
          </rPr>
          <t>Tove Dohn:</t>
        </r>
        <r>
          <rPr>
            <sz val="10"/>
            <color rgb="FF000000"/>
            <rFont val="Calibri"/>
            <family val="2"/>
          </rPr>
          <t xml:space="preserve">
</t>
        </r>
        <r>
          <rPr>
            <sz val="18"/>
            <color rgb="FF000000"/>
            <rFont val="Calibri"/>
            <family val="2"/>
          </rPr>
          <t>Der er ret til 2 omsorgsdage pr. barn pr. kalenderår til og med det år barnet fylder 7 år. Omsorgsdagene skal afvikles inden d. 31. december. Kun omsorgsdage der har været hindret pga. barsel kan overføres til kalenderåret efter.</t>
        </r>
        <r>
          <rPr>
            <sz val="10"/>
            <color rgb="FF000000"/>
            <rFont val="Calibri"/>
            <family val="2"/>
          </rPr>
          <t xml:space="preserve">
</t>
        </r>
        <r>
          <rPr>
            <b/>
            <sz val="10"/>
            <color rgb="FF000000"/>
            <rFont val="Tahoma"/>
            <family val="2"/>
          </rPr>
          <t xml:space="preserve">
</t>
        </r>
      </text>
    </comment>
    <comment ref="I59" authorId="0" shapeId="0" xr:uid="{1A4C1399-AF61-5141-9C27-A5AD19E3FF96}">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7" authorId="0" shapeId="0" xr:uid="{6309774A-E9FF-A54C-A6AB-01C067D0FB26}">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7" authorId="0" shapeId="0" xr:uid="{338C6573-F8F9-0449-94B5-C8E40DA85F9E}">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8" authorId="0" shapeId="0" xr:uid="{F4F390B9-C214-964A-A8D7-4954F7A6317D}">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8" authorId="0" shapeId="0" xr:uid="{D19D114E-7B74-6C45-86D8-350C6F46B6E5}">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7" authorId="0" shapeId="0" xr:uid="{19EC6B05-C19F-0449-8E1A-A9C36090A285}">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7" authorId="0" shapeId="0" xr:uid="{3C312695-FAEF-004F-A35F-6A774C4E806E}">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8" authorId="0" shapeId="0" xr:uid="{5E0B5984-DA35-5045-8287-6EB22BD68BB2}">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8" authorId="0" shapeId="0" xr:uid="{084667DB-E7DD-2144-8C73-A778263412B4}">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8" authorId="0" shapeId="0" xr:uid="{9E1DD7E1-C23F-2042-B7DE-019F7CEBBFDA}">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b/>
            <sz val="10"/>
            <color rgb="FF000000"/>
            <rFont val="Calibri"/>
            <family val="2"/>
          </rPr>
          <t>Ny seniorbonusordning - fra april 2022</t>
        </r>
        <r>
          <rPr>
            <sz val="10"/>
            <color rgb="FF000000"/>
            <rFont val="Calibri"/>
            <family val="2"/>
          </rPr>
          <t xml:space="preserve">
</t>
        </r>
        <r>
          <rPr>
            <b/>
            <sz val="10"/>
            <color rgb="FF000000"/>
            <rFont val="Calibri"/>
            <family val="2"/>
          </rPr>
          <t>Gældende for ledere, lærere, børnehaveklasseledere, 3F og HK</t>
        </r>
        <r>
          <rPr>
            <sz val="10"/>
            <color rgb="FF000000"/>
            <rFont val="Calibri"/>
            <family val="2"/>
          </rPr>
          <t xml:space="preserve">
</t>
        </r>
        <r>
          <rPr>
            <b/>
            <sz val="10"/>
            <color rgb="FF000000"/>
            <rFont val="Calibri"/>
            <family val="2"/>
          </rPr>
          <t>Ansatte har fra og med det kalenderår, hvori de fylder 62 år, ret til en årlig seniorbonus på 0,8 pct. af den sædvanlige årsløn. Seniorbonussen kan konverteres til hhv. 2 seniorfridage eller pension.</t>
        </r>
        <r>
          <rPr>
            <sz val="10"/>
            <color rgb="FF000000"/>
            <rFont val="Calibri"/>
            <family val="2"/>
          </rPr>
          <t xml:space="preserve">
</t>
        </r>
      </text>
    </comment>
    <comment ref="I58" authorId="0" shapeId="0" xr:uid="{6AC96B7B-87F6-8143-B146-74F22C2A551D}">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 ref="H59" authorId="0" shapeId="0" xr:uid="{5F025768-52AC-EC4F-BB66-640DE4A05D5F}">
      <text>
        <r>
          <rPr>
            <b/>
            <sz val="10"/>
            <color rgb="FF000000"/>
            <rFont val="Tahoma"/>
            <family val="2"/>
          </rPr>
          <t>Tove Dohn:</t>
        </r>
        <r>
          <rPr>
            <sz val="10"/>
            <color rgb="FF000000"/>
            <rFont val="Tahoma"/>
            <family val="2"/>
          </rPr>
          <t xml:space="preserve">
</t>
        </r>
        <r>
          <rPr>
            <sz val="10"/>
            <color rgb="FF000000"/>
            <rFont val="Tahoma"/>
            <family val="2"/>
          </rPr>
          <t>Da omsorgsdag eller evt. seniorbonusdage skal afvikles senest d. 31. december overføres evt. ikke brugte omsorgsdage fra sidste år ikke automatisk. Er der skyldige omsorgsdage der pga. barsel ikke er afholdt tastes disse i celle "H55". Ellers oplyses de omsorgsdage den ansatte har vedr. det nye år. Det samme gælder seniorbonusdage. Er dagene forhindret i at afholdes af arbejdsgiver overføres de ikke afviklede.</t>
        </r>
      </text>
    </comment>
    <comment ref="I59" authorId="0" shapeId="0" xr:uid="{A7DED186-643F-864C-B502-54648EC218E5}">
      <text>
        <r>
          <rPr>
            <b/>
            <sz val="10"/>
            <color rgb="FF000000"/>
            <rFont val="Tahoma"/>
            <family val="2"/>
          </rPr>
          <t>Tove Dohn:</t>
        </r>
        <r>
          <rPr>
            <sz val="10"/>
            <color rgb="FF000000"/>
            <rFont val="Tahoma"/>
            <family val="2"/>
          </rPr>
          <t xml:space="preserve">
</t>
        </r>
        <r>
          <rPr>
            <sz val="10"/>
            <color rgb="FF000000"/>
            <rFont val="Tahoma"/>
            <family val="2"/>
          </rPr>
          <t>Ikke afholdte eller planlagte særlige feriedage optjent forrige år og som skal afvikles senest d. 30. april i år, kan pr. 1. januar af ledelsen varsles med 30 dages varsel.</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6" authorId="0" shapeId="0" xr:uid="{A0714147-58D0-AE49-91BA-3F84B33CB848}">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6" authorId="0" shapeId="0" xr:uid="{0F2A44B5-8FC8-ED4C-8681-4AB917A641C1}">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sharedStrings.xml><?xml version="1.0" encoding="utf-8"?>
<sst xmlns="http://schemas.openxmlformats.org/spreadsheetml/2006/main" count="7356" uniqueCount="793">
  <si>
    <t>Opgaveoversigt</t>
  </si>
  <si>
    <t>Skolens navn</t>
  </si>
  <si>
    <t>lærerens navn</t>
  </si>
  <si>
    <t>vedr. skoleåret</t>
  </si>
  <si>
    <t>Skriv kun i de gule felter</t>
  </si>
  <si>
    <t>Dansk</t>
  </si>
  <si>
    <t>Matematik</t>
  </si>
  <si>
    <t>Musik</t>
  </si>
  <si>
    <t>Engelsk</t>
  </si>
  <si>
    <t>Antal skoledage</t>
  </si>
  <si>
    <t>Antal dage</t>
  </si>
  <si>
    <t>Ekskursioner</t>
  </si>
  <si>
    <t>Bornholm - 110 timer i alt</t>
  </si>
  <si>
    <t>Uv. Timer pr. dag</t>
  </si>
  <si>
    <t>Uv. I alt</t>
  </si>
  <si>
    <t>Andre opgaver</t>
  </si>
  <si>
    <t>Tilsyn - ovf. Fra lejreskole, ekskursioner</t>
  </si>
  <si>
    <t>El-museet</t>
  </si>
  <si>
    <t>Klasselærer</t>
  </si>
  <si>
    <t>Årgang/hold</t>
  </si>
  <si>
    <t>Undervisningstimer i alt</t>
  </si>
  <si>
    <t>Ansvar for natur/teknik lokalet</t>
  </si>
  <si>
    <t>Danfoss Univerce</t>
  </si>
  <si>
    <t>Dette skema er tænkt som en summarisk opgaveoversigt, herudover bør suppleres med arbejdsbeskrivelser af de enkelte opgaver - ligesom i de »gamle« lokalaftaler.</t>
  </si>
  <si>
    <t>Skole:</t>
  </si>
  <si>
    <t>Periodens samlede arbejdstid</t>
  </si>
  <si>
    <t>Beskæftigelsesgrad:</t>
  </si>
  <si>
    <t>Fra:</t>
  </si>
  <si>
    <t>Til:</t>
  </si>
  <si>
    <t>Perioden denne arbejdstidsoversigt er gældende for:</t>
  </si>
  <si>
    <t>Antal timer</t>
  </si>
  <si>
    <t>x</t>
  </si>
  <si>
    <t>Lektioner</t>
  </si>
  <si>
    <t>Lektionernes varrighed</t>
  </si>
  <si>
    <t>Mandag</t>
  </si>
  <si>
    <t>Tirsdag</t>
  </si>
  <si>
    <t>Onsdag</t>
  </si>
  <si>
    <t>Torsdag</t>
  </si>
  <si>
    <t>Fredag</t>
  </si>
  <si>
    <t>Kunst/design</t>
  </si>
  <si>
    <t>Sløjd</t>
  </si>
  <si>
    <t>Tysk</t>
  </si>
  <si>
    <t>Fysik</t>
  </si>
  <si>
    <t>Morgensang</t>
  </si>
  <si>
    <t>Idræt</t>
  </si>
  <si>
    <t>Nyheder</t>
  </si>
  <si>
    <t>Antal "normale undervisningstimer</t>
  </si>
  <si>
    <t>Undervisningstimer i hele normperioden</t>
  </si>
  <si>
    <t>Skoleskema</t>
  </si>
  <si>
    <t xml:space="preserve">Undervisningstimer på lejrskoler </t>
  </si>
  <si>
    <t xml:space="preserve">Undervisningstimer på ekskurtioner </t>
  </si>
  <si>
    <t xml:space="preserve">Undervisningstimer på emnedage og fagdage </t>
  </si>
  <si>
    <t xml:space="preserve">Optælling af skoledagene i række 21, er en optælling af helt almindelige skoledage, hvor der læses dette skoleskema. </t>
  </si>
  <si>
    <t>Medarbejder:</t>
  </si>
  <si>
    <t>Hele klokketimer - teksten kan ændres - flere linier imellem linie 24-26 kan indsættes</t>
  </si>
  <si>
    <t>Antal ugedage i perioden, hvor der læses normalt skoleskema</t>
  </si>
  <si>
    <t xml:space="preserve">Periodens samlede tid </t>
  </si>
  <si>
    <t>Antal klokketimer pr. dag pr. år</t>
  </si>
  <si>
    <t>Mandage</t>
  </si>
  <si>
    <t>Tirsdage</t>
  </si>
  <si>
    <t>Onsdage</t>
  </si>
  <si>
    <t>Torsdage</t>
  </si>
  <si>
    <t>Fredage</t>
  </si>
  <si>
    <t>Evt. overtid/undertid(+/-)</t>
  </si>
  <si>
    <t>Kl. Fra:</t>
  </si>
  <si>
    <t>Kl. Til:</t>
  </si>
  <si>
    <t>Arbejdstidsoversigt for skoleåret:</t>
  </si>
  <si>
    <t>Skolen starter kl.</t>
  </si>
  <si>
    <t>Antal timer til øvrige opgaver</t>
  </si>
  <si>
    <t>Heraf uv. Ifølge skoleskema</t>
  </si>
  <si>
    <t>Gældende for perioden:</t>
  </si>
  <si>
    <t>Dagen slutter kl.</t>
  </si>
  <si>
    <t>Komme og gå-tider:</t>
  </si>
  <si>
    <t>Antal dage med undervisning</t>
  </si>
  <si>
    <t>Ugedag:</t>
  </si>
  <si>
    <t>Beregning af takster for aftentillæg, weekendtillæg og weekendtimer til udbetaling</t>
  </si>
  <si>
    <t>Navn:</t>
  </si>
  <si>
    <t>Lin.</t>
  </si>
  <si>
    <t>AKTUELLE MÅNEDSLØNNINGER:</t>
  </si>
  <si>
    <t>Basisløn</t>
  </si>
  <si>
    <r>
      <t xml:space="preserve">Områdetillæg </t>
    </r>
    <r>
      <rPr>
        <i/>
        <sz val="10"/>
        <color theme="1"/>
        <rFont val="Calibri"/>
        <family val="2"/>
        <scheme val="minor"/>
      </rPr>
      <t>(kun i stedtillægsområde 3 - 6)</t>
    </r>
  </si>
  <si>
    <r>
      <t>OK08-tillæg</t>
    </r>
    <r>
      <rPr>
        <i/>
        <sz val="12"/>
        <color theme="1"/>
        <rFont val="Calibri"/>
        <family val="2"/>
        <scheme val="minor"/>
      </rPr>
      <t xml:space="preserve"> </t>
    </r>
    <r>
      <rPr>
        <i/>
        <sz val="10"/>
        <color theme="1"/>
        <rFont val="Calibri"/>
        <family val="2"/>
        <scheme val="minor"/>
      </rPr>
      <t>(kun til basistrin 1, 2 og 3)</t>
    </r>
  </si>
  <si>
    <r>
      <t>Trin 4-tillæg</t>
    </r>
    <r>
      <rPr>
        <i/>
        <sz val="10"/>
        <color theme="1"/>
        <rFont val="Calibri"/>
        <family val="2"/>
        <scheme val="minor"/>
      </rPr>
      <t xml:space="preserve"> (til de lærere og bhkl.ledere, der pr. 1. april 2013 havde mindst 12 års anciennitet)</t>
    </r>
  </si>
  <si>
    <r>
      <t>Udligningstillæg</t>
    </r>
    <r>
      <rPr>
        <i/>
        <sz val="10"/>
        <color theme="1"/>
        <rFont val="Calibri"/>
        <family val="2"/>
        <scheme val="minor"/>
      </rPr>
      <t xml:space="preserve"> (beregnet 1. aug 2004 v. overgang til basisløn. Ikke samtidig m. trin 4-tillæg!)</t>
    </r>
  </si>
  <si>
    <t>Omregnet til 100% beskæftigelse</t>
  </si>
  <si>
    <t>25% aftentillæg og weekendtillæg, hvis tillægget ikke afspadseres:</t>
  </si>
  <si>
    <t>50% weekendtillæg, hvis tillægget ikke afspadseres</t>
  </si>
  <si>
    <t>Weekendtimetakst, hvis timerne ikke afspadseres</t>
  </si>
  <si>
    <t>Samlet weekendtakst pr. time (ikke pensionsgivende)</t>
  </si>
  <si>
    <t>- Timeforbrug på planlagte arbejdsdage uden undervisning</t>
  </si>
  <si>
    <t>AUGUST</t>
  </si>
  <si>
    <t>SEPTEMBER</t>
  </si>
  <si>
    <t>OKTOBER</t>
  </si>
  <si>
    <t>NOVEMBER</t>
  </si>
  <si>
    <t>DECEMBER</t>
  </si>
  <si>
    <t>JANUAR</t>
  </si>
  <si>
    <t>2. juledag</t>
  </si>
  <si>
    <t>Skoledage i alt:</t>
  </si>
  <si>
    <t>FEBRUAR</t>
  </si>
  <si>
    <t>MARTS</t>
  </si>
  <si>
    <t>APRIL</t>
  </si>
  <si>
    <t>MAJ</t>
  </si>
  <si>
    <t>JUNI</t>
  </si>
  <si>
    <t>JULI</t>
  </si>
  <si>
    <t>Skærtorsdag</t>
  </si>
  <si>
    <t>Arbejdstid pr. uge</t>
  </si>
  <si>
    <t>SÆRLIGE FERIEDAGE</t>
  </si>
  <si>
    <t>I alt</t>
  </si>
  <si>
    <t>feriedage</t>
  </si>
  <si>
    <t>Pæd.dage</t>
  </si>
  <si>
    <t>Lejrskoledg./ekskursion</t>
  </si>
  <si>
    <t>fag/emnedage</t>
  </si>
  <si>
    <t>Sommerferie</t>
  </si>
  <si>
    <t xml:space="preserve"> arbejdsdage</t>
  </si>
  <si>
    <t>Fagdage/emnedage i alt:</t>
  </si>
  <si>
    <t>Pæd. Dage i alt:</t>
  </si>
  <si>
    <t>Alm. skoledage i alt:</t>
  </si>
  <si>
    <t>SH-dag</t>
  </si>
  <si>
    <t>Weekend</t>
  </si>
  <si>
    <t>Lejrskole/ekskursionsdage i alt:</t>
  </si>
  <si>
    <t>SUM(Lin. 1-14)</t>
  </si>
  <si>
    <t>- Timeforbrug på lejrskoler og ekskursioner</t>
  </si>
  <si>
    <t>Lokalaftalt tillæg</t>
  </si>
  <si>
    <t>Undervisningstillæg</t>
  </si>
  <si>
    <t>Nylønstillæg</t>
  </si>
  <si>
    <t>Søgne/helligdag</t>
  </si>
  <si>
    <t>Nul-dag</t>
  </si>
  <si>
    <t>Nytårsaftensdag</t>
  </si>
  <si>
    <t>Juleaftensdag</t>
  </si>
  <si>
    <t>Elevernes vinterferie</t>
  </si>
  <si>
    <t>FERIE(I kalenderen angivet med grønt)</t>
  </si>
  <si>
    <t>ANDERLEDES SKOLEDAGE</t>
  </si>
  <si>
    <t>PÆDAGOGISKE DAGE(I kalenderen angivet med lilla)</t>
  </si>
  <si>
    <t>0-DAGE/REST DAGE (I kalenderen angivet med blåt)</t>
  </si>
  <si>
    <t>Fagdag</t>
  </si>
  <si>
    <t>Lejrskole</t>
  </si>
  <si>
    <t>Ekskursion</t>
  </si>
  <si>
    <t>Pæd.dag</t>
  </si>
  <si>
    <t>Efterårsferie</t>
  </si>
  <si>
    <t>Nytårsdag</t>
  </si>
  <si>
    <t/>
  </si>
  <si>
    <t>Weekenddage i alt:</t>
  </si>
  <si>
    <t>Søgne/helligdage i alt:</t>
  </si>
  <si>
    <t>Kalenderdage i alt</t>
  </si>
  <si>
    <t>Feriedage i  alt:</t>
  </si>
  <si>
    <t>Fag/emnedage i alt:</t>
  </si>
  <si>
    <t>Lejrskole/ekskursionsdg. i alt</t>
  </si>
  <si>
    <t>0-dage i alt:</t>
  </si>
  <si>
    <t>Antal Pædagogiske dage i alt:</t>
  </si>
  <si>
    <t>Antal dage med eleverne</t>
  </si>
  <si>
    <r>
      <t xml:space="preserve">Antal timer pr. dag                   </t>
    </r>
    <r>
      <rPr>
        <sz val="10"/>
        <color theme="1"/>
        <rFont val="Calibri"/>
        <family val="2"/>
        <scheme val="minor"/>
      </rPr>
      <t>(8 timer = 8,00)</t>
    </r>
  </si>
  <si>
    <t>on</t>
  </si>
  <si>
    <t>lø</t>
  </si>
  <si>
    <t>ma</t>
  </si>
  <si>
    <t>to</t>
  </si>
  <si>
    <t>ti</t>
  </si>
  <si>
    <t>fr</t>
  </si>
  <si>
    <t>sø</t>
  </si>
  <si>
    <t>Ikke relevant</t>
  </si>
  <si>
    <t>I alt for normperioden</t>
  </si>
  <si>
    <t>Ikke relevante dage</t>
  </si>
  <si>
    <t>Feriedage i alt:</t>
  </si>
  <si>
    <t>Ikke relevante dage:</t>
  </si>
  <si>
    <t>IKKE RELEVANTE DAGE(I kalenderen angivet med sort)</t>
  </si>
  <si>
    <t>Ikke relevante dage er dage den ansatte ikke er ansat.</t>
  </si>
  <si>
    <t>Langfredag</t>
  </si>
  <si>
    <t>0. Dage i alt</t>
  </si>
  <si>
    <t>- Arbejdstid fra 17-06(indregnes i normperioden)</t>
  </si>
  <si>
    <t>Soucheftillæg</t>
  </si>
  <si>
    <t>Pr. time (Lin. 17 * 12 / 1924)</t>
  </si>
  <si>
    <t>Det samme hvis en lærer slutter før skoleåret slutter. Da vælgers de dage læreren ikke er ansat, og normperioden vil være nemmere at tælle op.</t>
  </si>
  <si>
    <t>Det er en forudsætning, at skolen holder virksomhedslukket i de angivne perioder.</t>
  </si>
  <si>
    <t>Det forudsættes, at normperioden følger skoleåret og starter den 1. august.</t>
  </si>
  <si>
    <t>Palmesøndag</t>
  </si>
  <si>
    <t>Pinsedag</t>
  </si>
  <si>
    <t>Nul-dage</t>
  </si>
  <si>
    <t>Organisationsaftalen for lærere og børnehaveklasseledere gælder følgende:</t>
  </si>
  <si>
    <t>Hvis ikke skolen inden udgangen af august måned varsler anden ferie, anses ferien for afholdt de 5 hverdage i den uge, hvor skolens elever holder efterårsferie. Hvis ikke skolen inden udgangen af marts varsler anden ferie, anses ferien for afholdt de sidste 18 hverdage i juli samt de to første hverdage i august.</t>
  </si>
  <si>
    <r>
      <rPr>
        <b/>
        <i/>
        <sz val="12"/>
        <color theme="1"/>
        <rFont val="Arial"/>
        <family val="2"/>
      </rPr>
      <t xml:space="preserve">OBS </t>
    </r>
    <r>
      <rPr>
        <i/>
        <sz val="12"/>
        <color theme="1"/>
        <rFont val="Arial"/>
        <family val="2"/>
      </rPr>
      <t xml:space="preserve">- følger skolen organisationsaftales ovenstående ferieregler er der i skoleåret 25 feriedage. 2 feriedage i august, 5 feriedage i efterårsferien og 18 feriedage i juli mdr. </t>
    </r>
  </si>
  <si>
    <t>Skolen kan dog altid varsle en anden ferie end ovennævnte. Hovedferien - 3 uger varsles med 3 mdr. og restferien varsles med 1 mdr.</t>
  </si>
  <si>
    <t>Ny beskæftigelsesgrad efter brug af seniorordning</t>
  </si>
  <si>
    <t>Ja</t>
  </si>
  <si>
    <t>Nej</t>
  </si>
  <si>
    <t>Skema 1 Mandag</t>
  </si>
  <si>
    <t>Skema 1 Tirsdag</t>
  </si>
  <si>
    <t>Skema 1 Onsdag</t>
  </si>
  <si>
    <t>Skema 1 Fredag</t>
  </si>
  <si>
    <t>Skema 1 Torsdag</t>
  </si>
  <si>
    <t>Skema 2 Mandag</t>
  </si>
  <si>
    <t>Skema 2 Tirsdag</t>
  </si>
  <si>
    <t>Skema 2 Onsdag</t>
  </si>
  <si>
    <t>Skema 2 Torsdag</t>
  </si>
  <si>
    <t>Skema 2 Fredag</t>
  </si>
  <si>
    <t>Skema 3 Mandag</t>
  </si>
  <si>
    <t>Skema 3 Tirsdag</t>
  </si>
  <si>
    <t>Skema 3 Onsdag</t>
  </si>
  <si>
    <t>Skema 3 Torsdag</t>
  </si>
  <si>
    <t>Skema 3 Fredag</t>
  </si>
  <si>
    <t>Skema 4 Mandag</t>
  </si>
  <si>
    <t>Skema 4 Tirsdag</t>
  </si>
  <si>
    <t>Skema 4 Onsdag</t>
  </si>
  <si>
    <t>Skema 4 Torsdag</t>
  </si>
  <si>
    <t>Skema 4 Fredag</t>
  </si>
  <si>
    <t>Skema 1</t>
  </si>
  <si>
    <t>Skema 2</t>
  </si>
  <si>
    <t>Skema 3</t>
  </si>
  <si>
    <t>Skema 4</t>
  </si>
  <si>
    <t>Feriedag</t>
  </si>
  <si>
    <t>Emnedag</t>
  </si>
  <si>
    <t>Skema 4 ikke formateret</t>
  </si>
  <si>
    <t>Total skema 1 i klokketimer</t>
  </si>
  <si>
    <t>Planlagt arbejdstid</t>
  </si>
  <si>
    <t>Normperiodens arbejdstid</t>
  </si>
  <si>
    <t xml:space="preserve">Normperiodens søgne/helligdage </t>
  </si>
  <si>
    <t>Normperiodens feriedage</t>
  </si>
  <si>
    <t>Grundlovsdag</t>
  </si>
  <si>
    <t>Skemaet dækker perioden:</t>
  </si>
  <si>
    <t>Undervisningstimer ifølge skema</t>
  </si>
  <si>
    <t>Timer</t>
  </si>
  <si>
    <t>Skema 1 - arbejdstid</t>
  </si>
  <si>
    <t>Skema 2 - arbejdstid</t>
  </si>
  <si>
    <t>Skema 3 - arbejdstid</t>
  </si>
  <si>
    <t>Skema 4 - arbejdstid</t>
  </si>
  <si>
    <t>Total arbejdstid ifølge skema</t>
  </si>
  <si>
    <t>Skema 1 - uv</t>
  </si>
  <si>
    <t>Skema 2 - uv</t>
  </si>
  <si>
    <t>Skema 3 - uv</t>
  </si>
  <si>
    <t>Skema 4 uv</t>
  </si>
  <si>
    <t>Total uv. Tid</t>
  </si>
  <si>
    <t>Pause/tilsyn</t>
  </si>
  <si>
    <t>Angiv mdr. opgaven løses i</t>
  </si>
  <si>
    <t>August</t>
  </si>
  <si>
    <t>Estimeret tid</t>
  </si>
  <si>
    <t>September</t>
  </si>
  <si>
    <t>Oktober</t>
  </si>
  <si>
    <t>November</t>
  </si>
  <si>
    <t>Antal mulige arb.dage</t>
  </si>
  <si>
    <t>Tid i alt der planlægges senere på året</t>
  </si>
  <si>
    <t>Estimeret tid/aftalte akorder i alt</t>
  </si>
  <si>
    <t>Ekstra uv-timer til arrangementer der ikke er henført til dage</t>
  </si>
  <si>
    <t>Antal dage tages pt. fra mdr. kalenderen</t>
  </si>
  <si>
    <t>Antal dage der undervises efter skoleskema</t>
  </si>
  <si>
    <t>Antal fag/emnedage</t>
  </si>
  <si>
    <t>Undervisningstimer på skemadage</t>
  </si>
  <si>
    <t>Total uv. Timer skema 1</t>
  </si>
  <si>
    <t>UV-tid på fagdage</t>
  </si>
  <si>
    <t>Uv-tid på emnedage</t>
  </si>
  <si>
    <t>Pause/tilsynstid</t>
  </si>
  <si>
    <t>Pause/tilsyn på fagdage</t>
  </si>
  <si>
    <t>Pause/tilsyn på emnedage</t>
  </si>
  <si>
    <t>Gns. arbejdstid på skoledage</t>
  </si>
  <si>
    <t>Pause/tilsynstid fagdage/emnedage</t>
  </si>
  <si>
    <t>Dage</t>
  </si>
  <si>
    <t>Ulempe og weekendtillæg:</t>
  </si>
  <si>
    <t>Ulempetillæg(25%)</t>
  </si>
  <si>
    <t>Arbejde i weekend samt weekendtillæg(50%)</t>
  </si>
  <si>
    <t>Ulempetimer og weekendtimer til afspadsering:</t>
  </si>
  <si>
    <t>Sammentælling af timer</t>
  </si>
  <si>
    <t>Arbejdstimer</t>
  </si>
  <si>
    <t>UV tid på ekskursion</t>
  </si>
  <si>
    <t>UV tid på Lejrskole</t>
  </si>
  <si>
    <t>UV tid på lejrskole, ekskursion, fag/emnedag</t>
  </si>
  <si>
    <t>Pause tilsynstid skema 1</t>
  </si>
  <si>
    <t>Pause tilsynstid skema 3</t>
  </si>
  <si>
    <t>Pause tilsynstid skema 2</t>
  </si>
  <si>
    <t>Pause tilsynstid skema 4</t>
  </si>
  <si>
    <t>Lokalaftaletid uv-1</t>
  </si>
  <si>
    <t>Lokalaftaletid uv-2</t>
  </si>
  <si>
    <t>Lokalaftaletid uv-3</t>
  </si>
  <si>
    <t>Lokalaftaletid uv-4</t>
  </si>
  <si>
    <t>Lokalaftaletid fag</t>
  </si>
  <si>
    <t>Lokalaftaletid emne</t>
  </si>
  <si>
    <t>Lokalaftaletid lejrskole</t>
  </si>
  <si>
    <t>Lokalaftaletid ekskursion</t>
  </si>
  <si>
    <t>Skema</t>
  </si>
  <si>
    <t>Opgaver der løses i særlige måneder</t>
  </si>
  <si>
    <t>Evt. ændringer i arbejdstiden</t>
  </si>
  <si>
    <t>Evt. ændringer i undervisningstid</t>
  </si>
  <si>
    <t>Ændring i undervisningstimetal</t>
  </si>
  <si>
    <t>December</t>
  </si>
  <si>
    <t>Januar</t>
  </si>
  <si>
    <t>Februar</t>
  </si>
  <si>
    <t>Marts</t>
  </si>
  <si>
    <t>April</t>
  </si>
  <si>
    <t>Maj</t>
  </si>
  <si>
    <t>Juni</t>
  </si>
  <si>
    <t>Juli</t>
  </si>
  <si>
    <t>Ændringer i alt</t>
  </si>
  <si>
    <t xml:space="preserve">Ændringer i arbejdstiden </t>
  </si>
  <si>
    <t>Arbejdsdage på weekenddage</t>
  </si>
  <si>
    <t xml:space="preserve">List her varslet afspadsering. Afspadseringen må ikke være en del af en evt. ændret arbejdstid i kolonne U og V. </t>
  </si>
  <si>
    <t>Rest timer til afspadsering</t>
  </si>
  <si>
    <t>Afspadsringstimer overført fra sidste måned:</t>
  </si>
  <si>
    <t>Opgaver der placeres senere på året:</t>
  </si>
  <si>
    <t>Til</t>
  </si>
  <si>
    <t>SKJUL</t>
  </si>
  <si>
    <t>Undervisningstimer til særlige arrangementer(List herunder arrangement og undervisningstimer):</t>
  </si>
  <si>
    <t>Nettoarbejdstid</t>
  </si>
  <si>
    <t>Afspadsering i alt</t>
  </si>
  <si>
    <t>Pæd.dage, fagdage, emnedage, lejrskole og ekskursionsdage</t>
  </si>
  <si>
    <t>Fagdage og emnedage</t>
  </si>
  <si>
    <t>Ændring i den planlagte arbejdstid og undervisningstid</t>
  </si>
  <si>
    <t>Ændring i arbejdstid</t>
  </si>
  <si>
    <t>Ændring i uv-tid</t>
  </si>
  <si>
    <t>Planlagt uv-tid</t>
  </si>
  <si>
    <t>Differencen imellem arb.tid, uv-tid, pause/tilsynstid</t>
  </si>
  <si>
    <t>Forklarende tekst til udfyldelse af kalenderen</t>
  </si>
  <si>
    <t>Skriv en tekst der beskriver dagen bedst muligt.</t>
  </si>
  <si>
    <t>Ulempetimer og weekendtimer til udbetaling(Timerne udbetales med nettotimelønnen):</t>
  </si>
  <si>
    <t>Har alle mdr med</t>
  </si>
  <si>
    <t>Afspadseringstimer optjent</t>
  </si>
  <si>
    <t>Afspadseringstimer afholdt</t>
  </si>
  <si>
    <t>Arbejdstimer på fagdage og emnedage ifølge mdr.kalender</t>
  </si>
  <si>
    <t>Juledag</t>
  </si>
  <si>
    <t>2. pinsedag</t>
  </si>
  <si>
    <t>Ulempetillæg udbetales med 25% af nettotimelønnen.</t>
  </si>
  <si>
    <t>Weekendtimer og weekendtillæg afspadseres.</t>
  </si>
  <si>
    <t xml:space="preserve">Ulempetillægget udbetales  ved førstkommende lønudbetaling med mindre andet aftales. Ulempetillæg kan efter aftale mellem ledelsen og læreren konverteres til afspadsering eller skolen kan indgå lokalaftale. </t>
  </si>
  <si>
    <t>Vælg med piletasten.</t>
  </si>
  <si>
    <t>Weekendtimer og weekendtillæg udbetales.</t>
  </si>
  <si>
    <t>OBS: Der skal kun angives tal i gule felter. Hvis tal i de lysegrå felter skal disse slettes.</t>
  </si>
  <si>
    <t>Pausetid efter undervisningsskema samt oplyste pausertider v. fagdage/emnedage i månedskalendrene.</t>
  </si>
  <si>
    <t>Er der aftalt akord på pause/tilsynstid - VÆLG JA (hvis NEJ medregnes pause/tilsynstid efter skema og pausetid ved fagdage/emnedage oplyst i månedskalendrene.</t>
  </si>
  <si>
    <t>Pause/tilsynstid:</t>
  </si>
  <si>
    <t>Antal lejrskoledage/ekskursionsdage</t>
  </si>
  <si>
    <t>Undervisningstimer på fagdage, emnedage, lejrskole og eskursionsdage ifølge månedskalender</t>
  </si>
  <si>
    <t>Faktisk arbejdstid(uden afspadsering)</t>
  </si>
  <si>
    <t>Afspadseringstimer saldo</t>
  </si>
  <si>
    <t>Dato format dd.mm.åååå</t>
  </si>
  <si>
    <t>Arbejdstiden fordeler sig således:</t>
  </si>
  <si>
    <t>Oversigt over den planlagte arbejdstid.</t>
  </si>
  <si>
    <t>Arbejdstid til undervisningsdage:</t>
  </si>
  <si>
    <t>Undervisningstimer på fagdage og emnedage</t>
  </si>
  <si>
    <t>Pause/tilsynstid efter skema eller lokalaftale</t>
  </si>
  <si>
    <t>Arbejdstiden på helt alm. skemadage:</t>
  </si>
  <si>
    <t>Antal arbejdstimer på normale skemadage:</t>
  </si>
  <si>
    <r>
      <rPr>
        <b/>
        <sz val="14"/>
        <color theme="4" tint="-0.499984740745262"/>
        <rFont val="Calibri"/>
        <family val="2"/>
        <scheme val="minor"/>
      </rPr>
      <t>Oplys også</t>
    </r>
    <r>
      <rPr>
        <sz val="14"/>
        <color theme="4" tint="-0.499984740745262"/>
        <rFont val="Calibri"/>
        <family val="2"/>
        <scheme val="minor"/>
      </rPr>
      <t xml:space="preserve"> hvordan skolen forholder sig til ulempetillæg, weekendarbejde og weekendtillæg. Herudover skal der svares på om der er indgået lokalaftale omkring pause/tilsynstid eller ikke.</t>
    </r>
  </si>
  <si>
    <t>Antal timer på almindelige skoledage beregnes ud fra periodens samlede arbejdstid fratrukket timer til pædagogiske dage, lejrskole, ekskursioner, planlagt arbejde imellem kl. 17-06 samt arbejdstimer på fagdage/emnedage.</t>
  </si>
  <si>
    <t>Arbejdstiden på helt almindelige skemadage flyttes automatisk over til de enkelte måneders kalender.</t>
  </si>
  <si>
    <t>Måned:</t>
  </si>
  <si>
    <t>Skolen kan nu printe følgende til den ansatte:</t>
  </si>
  <si>
    <t>Skema 1 - 4(til print)</t>
  </si>
  <si>
    <t>Til den lønansvarlige printes skemaet "Undervisningstillæg"</t>
  </si>
  <si>
    <t xml:space="preserve">Til opgørelse af den estimerede tid hver 3. måned eller ved skoleåret slut printes fanen "opgørelse". </t>
  </si>
  <si>
    <t>Fanen "Opgaver"</t>
  </si>
  <si>
    <t>Inden print sikres at undervisningstimer ved særlige arrangementer der ikke er henført til dage er listet.</t>
  </si>
  <si>
    <t>Undervisningstimer i alt i normperioden(Bruges kun til opgørelse af normperioden). Er der undervist flere timer end hvad der er betalt undervisningstillæg efter, udbetales der for de ekstra udførte undervisningstimer.</t>
  </si>
  <si>
    <t>SENIORORDNING: Planlægges der med brug af seniorordning? (vælg Ja eller Nej)</t>
  </si>
  <si>
    <t>Gå nu til fanen "Skemaoplysninger"</t>
  </si>
  <si>
    <t>Undertid</t>
  </si>
  <si>
    <t>Skyldig afspadsering</t>
  </si>
  <si>
    <t>Merarbejde/Overarbejde</t>
  </si>
  <si>
    <t>Gns. tid til øvrige opgaver efter opgaveoversigt på helt almindelige skemadage</t>
  </si>
  <si>
    <t>Gå nu til fanen "opgaver", og list de opgaver den ansatte skal udføre indenfor den tidsramme der er til de øvrige opgaver.</t>
  </si>
  <si>
    <t>Arbejdstid</t>
  </si>
  <si>
    <t>Ulempe/weekend</t>
  </si>
  <si>
    <t>Arbejdstiden planlægges i fanerne: Stamoplysninger, skemaoplysninger, august - juli, arbejdstidsoversigt og opgaver</t>
  </si>
  <si>
    <r>
      <rPr>
        <b/>
        <sz val="12"/>
        <color theme="4" tint="-0.499984740745262"/>
        <rFont val="Arial"/>
        <family val="2"/>
      </rPr>
      <t>ARBEJDSTIDSOVERSIGT:</t>
    </r>
    <r>
      <rPr>
        <sz val="12"/>
        <color theme="1"/>
        <rFont val="Arial"/>
        <family val="2"/>
      </rPr>
      <t xml:space="preserve"> I denne fane rammesætter skolen arbejdstiden på helt almindelige skoledage. Tiden der rammesættes her overføres til de enkelte måneder hvor der læses skemadage. Nederst i fanen beregnes hvordan den planlagte arbejdstid går op i forhold til den ansattes arbejdstid/beskæftigelsesgrad og tiden oplyst i månederne august - juli.</t>
    </r>
  </si>
  <si>
    <r>
      <rPr>
        <b/>
        <sz val="12"/>
        <color theme="4" tint="-0.499984740745262"/>
        <rFont val="Arial"/>
        <family val="2"/>
      </rPr>
      <t>OPGAVER:</t>
    </r>
    <r>
      <rPr>
        <sz val="12"/>
        <color theme="1"/>
        <rFont val="Arial"/>
        <family val="2"/>
      </rPr>
      <t xml:space="preserve"> List her de opgaver den ansatte skal løse i tiden til de øvrige opgaver. Det være forberedelse, opgaver der tæller minimum 60 timer for et skoleår og øvrige opgaver.</t>
    </r>
  </si>
  <si>
    <t>PLANLÆGNING FOR EN DEL AF ET SKOLEÅR.</t>
  </si>
  <si>
    <t>OPGØRELSE AF EN DELPERIODE</t>
  </si>
  <si>
    <t>SKEMA 1-4 DAGE (I kalenderen angivet med blå farver)</t>
  </si>
  <si>
    <t>Som udgangspunkt tilstræbes det at lande på 200 undervisningsdage bestående af skemadage, fagdage, emnedage, lejrskoledage, ekskursionsdage.</t>
  </si>
  <si>
    <r>
      <t xml:space="preserve">Erstatningsferie og nyansatte: </t>
    </r>
    <r>
      <rPr>
        <i/>
        <sz val="12"/>
        <color theme="1"/>
        <rFont val="Arial"/>
        <family val="2"/>
      </rPr>
      <t>Vær OBS på evt. erstatningsferiedage ved ansatte der har været feriehindret - erstatningsdage der skal afvikles inden d. 31. december. Vær OBS på om nyansatte har feriedage med sig fra tidligere arbejdsgiver der tæller flere dage end hvad skoleåret normalt byder på. For ansatte der har været feriehindret og ved nyansatte kan der være flere feriedage end 25 dage for et skoleår.</t>
    </r>
  </si>
  <si>
    <t>OVESIGT OVER DAGE I ET SKOLEÅR:</t>
  </si>
  <si>
    <t>INTRO:</t>
  </si>
  <si>
    <t>SÅDAN ANVENDES VÆRKTØJET:</t>
  </si>
  <si>
    <t>Opgørelse</t>
  </si>
  <si>
    <r>
      <rPr>
        <b/>
        <sz val="14"/>
        <color theme="4" tint="-0.499984740745262"/>
        <rFont val="Calibri"/>
        <family val="2"/>
        <scheme val="minor"/>
      </rPr>
      <t>Stamoplysninger</t>
    </r>
    <r>
      <rPr>
        <sz val="14"/>
        <color theme="4" tint="-0.499984740745262"/>
        <rFont val="Calibri"/>
        <family val="2"/>
        <scheme val="minor"/>
      </rPr>
      <t xml:space="preserve"> er oplysninger om den ansatte der bruges til at beregne arbejdstiden. Oplys navn, planlægningsperiode, planlægges der for et helt skoleår eller ikke, beskæftigelsesgrad og om den ansatte ønsker at gøre brug af seniorordning. </t>
    </r>
  </si>
  <si>
    <r>
      <rPr>
        <b/>
        <sz val="14"/>
        <color theme="4" tint="-0.499984740745262"/>
        <rFont val="Calibri"/>
        <family val="2"/>
        <scheme val="minor"/>
      </rPr>
      <t>Beregning af normtimetallet:</t>
    </r>
    <r>
      <rPr>
        <sz val="14"/>
        <color theme="4" tint="-0.499984740745262"/>
        <rFont val="Calibri"/>
        <family val="2"/>
        <scheme val="minor"/>
      </rPr>
      <t xml:space="preserve"> Planlægges der for et helt skoleår udgør arbejdstiden 1924 timer. Herfra trækkes søgnehelligdage der falder på alm. ugedage og feriedage. Planlægges der for en del af et skoleår eller opgøres arbejdstiden pga. fratrædelse i løbet af normperioden udgør arbejdstiden 7,4 timer pr. mulig arbejdsdag. Mulige arbejdsdage er dage i delperioden der ikke er weekenddage, søgnehelligdage og feriedage.</t>
    </r>
  </si>
  <si>
    <t>Ulempetillæg afspadseres med 25%(Kræver en aftale imellem ledelsen og den ansatte)</t>
  </si>
  <si>
    <t>Der er indgået lokalaftale omkring ulempetillæg(Kræver aftale med TR/FSL)</t>
  </si>
  <si>
    <t>Der er indgået lokalaftale omkring weekendtimer og weekendtillæg.(Kræver aftale med TR/FSL).</t>
  </si>
  <si>
    <t>Der er indgået lokalaftale omkring weekendtimer.(Kræver aftale med TR/FSL) Weekendtillæg afspadseres.</t>
  </si>
  <si>
    <t>Der er indgået lokalaftale omkring weekendtimer(Kræver aftale med TR/FSL). Weekendtillæg udbetales.</t>
  </si>
  <si>
    <t>Der er indgået lokalaftale omkring weekendtillæg(Kræver aftale med TR/FSL). Weekendtimerne afspadseres.</t>
  </si>
  <si>
    <t>Der er indgået lokalaftale omkring weekendtillæg(Kræver aftale med TR/FSL). Weekendtimerne udbetales.</t>
  </si>
  <si>
    <t>Træf evt et valg!</t>
  </si>
  <si>
    <t>Oplys ændret timetal!</t>
  </si>
  <si>
    <r>
      <t xml:space="preserve">Opgaver der placeres senere på året </t>
    </r>
    <r>
      <rPr>
        <sz val="14"/>
        <color theme="4" tint="-0.499984740745262"/>
        <rFont val="Calibri"/>
        <family val="2"/>
        <scheme val="minor"/>
      </rPr>
      <t>listes under skema 1. Skriv opgavens art, vælg måned og oplys estimeret tid til opgaven.</t>
    </r>
  </si>
  <si>
    <t>Tid til øvrige opgaver</t>
  </si>
  <si>
    <t>Tid til øvrige opgaver. (Lejrskole/ekskursion tæller 0 timer)</t>
  </si>
  <si>
    <t xml:space="preserve">I alt </t>
  </si>
  <si>
    <t>Overtid</t>
  </si>
  <si>
    <t>Aug. - Okt.</t>
  </si>
  <si>
    <t>Nov. - Jan.</t>
  </si>
  <si>
    <t>Maj - Jul.</t>
  </si>
  <si>
    <t>Feb. - Apr.</t>
  </si>
  <si>
    <t>Opgørelse for november, december og januar</t>
  </si>
  <si>
    <t>Opgørelse for august, september og oktober</t>
  </si>
  <si>
    <t xml:space="preserve">Afspadseringstimer  </t>
  </si>
  <si>
    <t>Ændring i arbejdstiden</t>
  </si>
  <si>
    <t>Oplys ændringen i arbejdstimer på hverdage imellem kl. 17-06. Ekstra timer tastes som et postivt tal. Færre timer tastes som et negativt tal.</t>
  </si>
  <si>
    <t>Oplys ændringen i undervisningstimetallet. Ekstra uv-timer tastes som et postivt tal. Færre uv-timer tastes som et negativt tal. Bruges kun til opgørelse af normperioden.</t>
  </si>
  <si>
    <r>
      <t xml:space="preserve">Opgørelse total for normperioden </t>
    </r>
    <r>
      <rPr>
        <sz val="12"/>
        <color theme="0"/>
        <rFont val="Calibri (Tekst)"/>
      </rPr>
      <t>(negativ tal = undertid, positiv tal = merarbejde/overarbejde)</t>
    </r>
  </si>
  <si>
    <t>Afspadseringssaldo ved normperioden slut</t>
  </si>
  <si>
    <t>Et skoleår består af gennemsnitlige 200 skoledage. De 200 skoledage består af helt almindelige skoledage hvor der læses et almindeligt skoleskema(skema 1-4) samt evt følgende dage:</t>
  </si>
  <si>
    <t>Fagdage(I kalenderen angivet med orange). I kalenderen udfyldes antal arbejdstimer, undervisningstimer og pause/tilsynstid.</t>
  </si>
  <si>
    <t>Emnedage(I kalenderen angivet med lyserødt). I kalenderen udfyldes antal arbejdstimer, undervisningstimer og pause/tilsynstid.</t>
  </si>
  <si>
    <t>Ekskursionsdage(I kalenderen angivet med gult). I kalenderen udfyldes antal arbejdstimer og undervisningstimer.</t>
  </si>
  <si>
    <t>Pædagogiske dage er dage lærerne er på arbejde, men ikke underviser eleverne. Det kan være forberedelsesdage op til skolestart eller evalueringsdage efter eleverne er gået på sommerferie. Pædagogiske dage kan også være dage hvor det kommende skoleår planlægges eller mødes om et pædagogiske emne. Disse dage kan såvel ligge på skoledage som i weekender. I kalenderen udfyldes antal arbejdstimer. Skriv i kolonne "H" hvis den pædagogiske dag går udover kl. 17.00(dog ikke hvis arrangementet er med overnatning). Vælg særligt "X" i kolonne "I" hvis den pædagogiske dag er en weekend, vælg særligt "X" i kolonne "J" hvis den pædagogiske dag er med overnatning Udfyld herefter de oplyste gule celler.</t>
  </si>
  <si>
    <t>Lejrskoledage(I kalenderen angivet med lyseblåt). I kalenderen udfyldes antal arbejdstimer og undervisningstimer. Bemærk at en lejrskole typisk er med overnatning hvorfor der skal vælges et "X" i kolonne "J". En lejrskoledøgn tæller med 14 timers arbejdstid og 10 timers rådighedstjeneste. Rådighedstjeneste tæller med 1/3. Hermed tæller en lejrskoledøgn på 24 timer med 17,33 timer. Et døgn starter kl. 00:00. Har skolen lokalaftale på lejrskole, oplyses de timer lokalaftalen er aftalt med.</t>
  </si>
  <si>
    <t>TIPS: Ikke relevante dage kan kopieres ned i en hel måned ved først at vælge den første dag som "Ikke relevant" og dernæst at "trække" i cellens nederste højre hjørne - ned i månedens kolonne.</t>
  </si>
  <si>
    <t>3. Arbejdstiden på helt almindelige skoledage</t>
  </si>
  <si>
    <t>Møder og arrangementer i tidsrummet 17-06(Ikke arrangementer med overnatning). OBS: Hvis der skal tilknyttes uv-tillæg skal uv-timerne oplyses i fanen "Undervisningstillæg" under "Ekstra undervisningstimer"</t>
  </si>
  <si>
    <t>Antal undervisningsdage i alt:</t>
  </si>
  <si>
    <t>Orlov</t>
  </si>
  <si>
    <t>Orlovstimer</t>
  </si>
  <si>
    <t>Planlægges der for et helt skoleår - vælg "Ja". Planlægges der for en del af et skoleår pga. tiltrædelse eller opgøres arbejdstiden pga. fratrædelse i løbet af normperioden - vælg "Nej"</t>
  </si>
  <si>
    <t>Orlovsdage</t>
  </si>
  <si>
    <t>Orlov (I kalenderen angivet med mørkegrøn)</t>
  </si>
  <si>
    <t>Sidst i værktøjet vises en årskalender samt 2 halvårskalendere. Disse værktøjer er en direkte kopi af månedskalenderne, og kan bruges som overbliksbilleder. I disse kalendre er der ydermere en optælling af normperiodens dage som kan bruges til "kontrol".</t>
  </si>
  <si>
    <t xml:space="preserve">De 3 sidste kalendre er til eget brug. Her er ingen formler og intet er kopieret fra månedskalendrene. </t>
  </si>
  <si>
    <t>Opgørelse for februar, marts og april</t>
  </si>
  <si>
    <t>Opgørelse for maj, juni og juli</t>
  </si>
  <si>
    <t>Vejledning til planlægningsværtøj vedr.</t>
  </si>
  <si>
    <t>arbejdstid for lærere og børnehaveklasseledere</t>
  </si>
  <si>
    <r>
      <rPr>
        <b/>
        <sz val="12"/>
        <color theme="4" tint="-0.499984740745262"/>
        <rFont val="Arial"/>
        <family val="2"/>
      </rPr>
      <t>AUGUST - JULI/månedskalenderne</t>
    </r>
    <r>
      <rPr>
        <sz val="12"/>
        <color theme="1"/>
        <rFont val="Arial"/>
        <family val="2"/>
      </rPr>
      <t xml:space="preserve"> er her planlægningen af det kommende skoleår sker. Skemaerne anvendes også til ændringer eller opgørelse. VIGTIGT: der er i række 4 en beskrivelse af de enkelte kolonner. LÆS disse!</t>
    </r>
  </si>
  <si>
    <r>
      <rPr>
        <b/>
        <sz val="12"/>
        <color theme="4" tint="-0.499984740745262"/>
        <rFont val="Arial"/>
        <family val="2"/>
      </rPr>
      <t xml:space="preserve">VALG AF DAGE: </t>
    </r>
    <r>
      <rPr>
        <sz val="12"/>
        <color theme="1"/>
        <rFont val="Arial"/>
        <family val="2"/>
      </rPr>
      <t>Nederst på denne fane er listet de dage et skoleår kan byde på, og som skal vælges i månedskalenderne.</t>
    </r>
  </si>
  <si>
    <r>
      <rPr>
        <b/>
        <sz val="12"/>
        <color theme="4" tint="-0.499984740745262"/>
        <rFont val="Arial"/>
        <family val="2"/>
      </rPr>
      <t>OBS:</t>
    </r>
    <r>
      <rPr>
        <sz val="12"/>
        <color theme="1"/>
        <rFont val="Arial"/>
        <family val="2"/>
      </rPr>
      <t xml:space="preserve"> Månedskalenderne er ikke færdige inden fanen "arbejdstidsoversigt" og arbejdstiden på almindelige undervisningsdage er udfyldt.</t>
    </r>
  </si>
  <si>
    <t xml:space="preserve">De lysegrå kolonner: K, L, M, R, V, W og X". Her er det VIGTIGT der kun står tal hvis cellen er gul. </t>
  </si>
  <si>
    <t>Vælg dagene med piletasten. Hvis en måned er "ikke relevant" kan man efter at have valgt "ikke relevant" for månedes første dag, trække valget ned gennem hele måneden ved at "trække" i den lille markør i cellens nederste højre hjørne.</t>
  </si>
  <si>
    <t>Arbejdstiden tages enten fra kolonne "K" eller hvis alm. skemadage fra "Arbejdstidsoversigtens skema 3"</t>
  </si>
  <si>
    <t>Heraf evt. undervisning efter skema eller efter oplyste uv-timer i kolonne L.</t>
  </si>
  <si>
    <t>Oplys her planlagte arbejdstimer imellem 17-06 timer. Tast kun hvis feltet er gult.</t>
  </si>
  <si>
    <t>Vælg "x" hvis ændring i undervisningstimer i forhold til kolonne "O". OBS: Ved sygdom ændres ikke på undervisningstimetal.</t>
  </si>
  <si>
    <t>Vælg "x" hvis ændring i arbejdstiden på hverdage imellem kl. 17-06 i forhold til kolonne "R".</t>
  </si>
  <si>
    <t>Ændring i undervisningstiden i forhold til kolonne "O"</t>
  </si>
  <si>
    <t>Ændring i arbejdstiden i forhold til kolonne "N"</t>
  </si>
  <si>
    <t>Efter at fanerne "stamoplysninger", "skemaoplysninger" og "normperiodens måneder" er udfyldte, er det muligt at beregne hvor mange arbejdstimer der er til helt almindelige skoledage.</t>
  </si>
  <si>
    <t>Herudover beregner skemaet antal timer til øvrige opgaver. Øvrige opgaver er forberedelse, opgaver som estimeres til min. 60 timer pr. år samt andre andre øvrige opgaver. Disse opgaver listes i fanen "Opgaver".</t>
  </si>
  <si>
    <t>BEMÆRK:</t>
  </si>
  <si>
    <t>Arbejdstiden for almindelige skemadage overføres automatisk til månedeskalenderne.</t>
  </si>
  <si>
    <t>Månedskalenderne</t>
  </si>
  <si>
    <t>Beskæftigelsesgrad (hvis 100% skrives 1, hvis 80% skrives 0,8):</t>
  </si>
  <si>
    <t>Planlagt arbejdstid pr. dag i tidsrummet 07:30 - 17:00</t>
  </si>
  <si>
    <t>Skemadage er dage  hvor den ansatte underviser efter helt almindelig skoleskema(de fleste arbejdsdage). Her kan vælges Skema 1, Skema 2, Skema 3 eller Skema 4. Bemærk at arbejdstiden på skemadage først vises efter at fanen "arbejdstidsoversigt" er udfyldt. Skemadage kan kun vælges mandag - fredag. IKKE på weekenddage.</t>
  </si>
  <si>
    <t>Afspadsringstimer overført fra sidste normperiode:</t>
  </si>
  <si>
    <t>Kalendere sidst i værktøjet</t>
  </si>
  <si>
    <t>Ændringer i arbejdstiden der ikke vedrører weekender</t>
  </si>
  <si>
    <t>Heraf planlagte weekendtimer til afspadsering, udbetaling eller hvor der er indgået lokalaftale</t>
  </si>
  <si>
    <t>Heraf weekendtimer der afspadseres, udbetales eller indgået lokalaftale til</t>
  </si>
  <si>
    <t>Tid til øvrige opgaver(Forberedelse samt øvrige opgaver med og uden estimeret tid). Timerne ovf. automatisk til fanen "opgaver".</t>
  </si>
  <si>
    <t>Tid til elevpauser</t>
  </si>
  <si>
    <t>Hvis fagdag eller emnedag oplyses tid til elevpause</t>
  </si>
  <si>
    <t>Heraf tid til elevpauser efter skema, oplyste timer i kolonne "M" eller lokalaftale.</t>
  </si>
  <si>
    <t>Oplys ændring i arbejdstiden. Ekstra timer tastes som et postivt tal. Færre timer tastes som et negativt tal. Ved fravær mere end 4 uger tælles alle mulige arbejdsdage med 7,4 timer * bg.</t>
  </si>
  <si>
    <t>Nederst i skemaet er oplyst tiden til elevpauser(fra fanen "stamoplysniner" eller "skemaoplysninger" samt tiden til opgaver der placeres i særlige måneder(fra fanen "skemaoplysninger).</t>
  </si>
  <si>
    <t>Timer til elevpauser(ikke en del af den samlede tid til øvrige opgaver)</t>
  </si>
  <si>
    <t xml:space="preserve">HUSK at de øvrige opgaver der skal listes er:  estimeret tid til forberedelse, opgaver der tæller min. 60 timer pr. skoleår og øvrige opgaver. Der skal ikke tastes tid til elevpauserd og tid til opgaver der planlægges i særlige måneder. </t>
  </si>
  <si>
    <t>Varslet afspadsering. (Afspadsering varsles med min. 72 timer)</t>
  </si>
  <si>
    <t>Vælg "x" hvis ændring i arbejdstimer i forhold til kolonne "N". Ændring(af fast karakter) i den planlagte arbejdstid uden for tidsrummet 7.30-16.30 skal varsles med mindst 4 uger.</t>
  </si>
  <si>
    <t>Hvis "x" er der pålagt arbejde lør/søn eller på en SH-dag.</t>
  </si>
  <si>
    <t>For planlagt arbejde på hverdage i tidsrummet 17-06 samt weekender, SH-dage, grundlovsdag efter kl. 12 samt juleaftensdag efter kl. 14 ydes der efter §20 et ulempetillæg svarende til 25% af nettotimelønnen(inkl. faste tillæg). Gælder ikke lejrskole, studieture og andre arrangementer med overnatning (overnatningsarrangementer med elever).</t>
  </si>
  <si>
    <t xml:space="preserve">For planlagt arbejde i weekender eller på SH-dage godtgøres arbejdstiden med afspadsering af samme varighed + 50%, eller med timeløn med et tillæg på 50%. Gælder ikke lejrskole, studieture og andre arrangementer med overnatning (overnatningsarrangementer med elever). Der kan også indgåes lokalaftale herom. </t>
  </si>
  <si>
    <t>Aktiviteter fra 7:30 - 17:00. Beskrivelse af dagen</t>
  </si>
  <si>
    <r>
      <t>Angiv her mødetids-punkt</t>
    </r>
    <r>
      <rPr>
        <sz val="10"/>
        <color theme="1"/>
        <rFont val="Calibri"/>
        <family val="2"/>
        <scheme val="minor"/>
      </rPr>
      <t xml:space="preserve">                  (07:45 =  07:45)</t>
    </r>
  </si>
  <si>
    <t>Elevpausetid ifølge skema</t>
  </si>
  <si>
    <t>Vælg</t>
  </si>
  <si>
    <t>Estimeret</t>
  </si>
  <si>
    <t>Aftalt lokalt</t>
  </si>
  <si>
    <t>Er tiden estimeret eller aftalt lokalt? Vælg med "rullelisten"</t>
  </si>
  <si>
    <t>Særlige feriedage</t>
  </si>
  <si>
    <t>Ved månedens start er der antal skyldige:</t>
  </si>
  <si>
    <t>Oplys antal afholdte dage</t>
  </si>
  <si>
    <t>Rest antal dage (videreføres til næste måned)</t>
  </si>
  <si>
    <t>Oplys hvis tilskrevet dage eller hvis den ansatte er startet denne mdr.</t>
  </si>
  <si>
    <t>Oplys evt. ny tilførte dage eller antal skyldige dage ved nyansættelse:</t>
  </si>
  <si>
    <r>
      <t xml:space="preserve">Ved månedens start er der antal skyldige: </t>
    </r>
    <r>
      <rPr>
        <sz val="10"/>
        <rFont val="Arial"/>
        <family val="2"/>
      </rPr>
      <t>Bemærk at et nyt afholdelsesår vedr. de særlige feriedage er startet. Læs noten.</t>
    </r>
  </si>
  <si>
    <r>
      <t xml:space="preserve">Særlige feriedage </t>
    </r>
    <r>
      <rPr>
        <sz val="10"/>
        <rFont val="Arial"/>
        <family val="2"/>
      </rPr>
      <t>(også kaledet 6. ferieuge, feriefridage)</t>
    </r>
  </si>
  <si>
    <t>Hvis "X" vedrører tjenesten lejrskole, studieture eller lign., med elev-overnatning.</t>
  </si>
  <si>
    <t>(forberedelse og opgaver på min. 60 timer)</t>
  </si>
  <si>
    <t>Opgaver der tæller mere end 60 timer</t>
  </si>
  <si>
    <t>Øvrige opgaver som planmæssigt ligger på hverdage imellem kl. 06:00 - 17:00. Listen er over de opgaver der tæller mere en 60 timer, øvrige opgaver, opgaver der placeres senere på året samt elevpausetid.</t>
  </si>
  <si>
    <t>Oplys herunder estimeret tid/aftalte akorder på opgaver der forventes fordelt på skoledage, fagdage og emnedage.</t>
  </si>
  <si>
    <t>Timer til puljen til øvrige opgaver:</t>
  </si>
  <si>
    <t>Hvis begge arrangementer</t>
  </si>
  <si>
    <t>Hvis kun dag</t>
  </si>
  <si>
    <t>Hvis kun aften</t>
  </si>
  <si>
    <r>
      <rPr>
        <b/>
        <sz val="14"/>
        <color theme="4" tint="-0.499984740745262"/>
        <rFont val="Calibri"/>
        <family val="2"/>
        <scheme val="minor"/>
      </rPr>
      <t>Seniorordningen</t>
    </r>
    <r>
      <rPr>
        <sz val="14"/>
        <color theme="4" tint="-0.499984740745262"/>
        <rFont val="Calibri"/>
        <family val="2"/>
        <scheme val="minor"/>
      </rPr>
      <t xml:space="preserve"> er gældende fra den normperiode den ansatte fylder 60 år. Med seniorordningen kan den ansatte gå op til 175 timer ned i arbejdstid(Forudsætter en fuldtidsansættelse. Ellers forholdsvist). For ansatte der d. 31. juli var fyldt 57 år er ordningen med fuld løn og pension. For ansatte der ikke var fyldt 57 år d. 31. juli 2013 er ordningen med tilsvarende lønnedgang - dog med fuld pension.</t>
    </r>
  </si>
  <si>
    <t>UDBETALING: Ulempetimer og weekendtimer til udbetaling(Timerne udbetales med nettotimelønnen):</t>
  </si>
  <si>
    <t>Nederst i fanerne: Stamoplysninger, skemaoplysninger, august, arbejdstidsoversigt og opgaver er skrevet hvad næste "step" er (Markert med blå pil).</t>
  </si>
  <si>
    <r>
      <rPr>
        <b/>
        <sz val="12"/>
        <color theme="4" tint="-0.499984740745262"/>
        <rFont val="Arial"/>
        <family val="2"/>
      </rPr>
      <t>TIMEFORBRUG:</t>
    </r>
    <r>
      <rPr>
        <sz val="12"/>
        <color theme="1"/>
        <rFont val="Arial"/>
        <family val="2"/>
      </rPr>
      <t xml:space="preserve"> Under hver måned optælles den enkelte måned med faktisk timeforbrug i forhold til normperiodens timetal. Er normperioden et helt skoleår tælles normperioden med 1924 fratrukket sh-dage og feriedage. Er normperioden for en del af et skole tælles de mulige arbejdsdage * beskæftigelsesgraden. For at kalenderværtøjet tæller rigtigt er det vigtigt at der i fanen "stamoplysninger" er oplyst om der planlægges for et helt skoleår eller for en delnormperiode.</t>
    </r>
  </si>
  <si>
    <r>
      <rPr>
        <b/>
        <sz val="12"/>
        <color theme="4" tint="-0.499984740745262"/>
        <rFont val="Arial"/>
        <family val="2"/>
      </rPr>
      <t xml:space="preserve">ULEMPE OG WEEKENDTIMER: </t>
    </r>
    <r>
      <rPr>
        <sz val="12"/>
        <color theme="1"/>
        <rFont val="Arial"/>
        <family val="2"/>
      </rPr>
      <t>Herudover tælles ulempe/weekendtimer til udbetaling og eller afspadsering. Her er det vigtigt at skolen i fanen "stamoplysninger" har valgt hvordan skolen forholder sig til ulempe/weekendtimer.</t>
    </r>
  </si>
  <si>
    <t>ARBEJDSTID:</t>
  </si>
  <si>
    <t>AFSPADSERING:</t>
  </si>
  <si>
    <t>SÆRLIE FERIEDAGE</t>
  </si>
  <si>
    <t>Særlige feriedage primo</t>
  </si>
  <si>
    <t>Særlige feriedage afholdt</t>
  </si>
  <si>
    <t>Særlige feriedage rest</t>
  </si>
  <si>
    <t xml:space="preserve">Særlige feriedage  </t>
  </si>
  <si>
    <t>OPGØRELSE AF ARBEJDSTIDEN</t>
  </si>
  <si>
    <t>Særlig feriedag</t>
  </si>
  <si>
    <t>Dato:</t>
  </si>
  <si>
    <t>Ikke afholdte særlige feriedage udbetales pr. 30. april, eller aftales skriftlig ovf. til næste ferieafholdelsesår.</t>
  </si>
  <si>
    <t>Opgaver</t>
  </si>
  <si>
    <t>Hvis den pågældende dag er en fagdag, emnedag, lejrskole eller en ekskursionsdag bliver cellerne herunder gule. Er dagen en pædagogisk dag er det dog kun kolonne "K" der bliver gult. Tast i de gule felter. OBS: Skal der være tid til "øvrige opgaver/forberedelse" skal skolen sikre sig der er arbejdstid udover undervisning og elevpausetid. Check kolonne Q.</t>
  </si>
  <si>
    <t>Antal arbejdstimer på hverdage imellem 17-06 (eks. 2 timer og 15 minutter tastes som 2,25)</t>
  </si>
  <si>
    <t>Antal arbejdstimer. (eks. 7 timer og 30 minutter tastes som 7,50)</t>
  </si>
  <si>
    <t>Antal undervisningstimer (eks. 4 timer og 30 minutter tastes som 4,50)</t>
  </si>
  <si>
    <t>Antal timer til elevpauser (eks. 1 time og 15 minutter tastes som 1,25)</t>
  </si>
  <si>
    <t>Stamdata</t>
  </si>
  <si>
    <t>Skoleårets måneder august - juli</t>
  </si>
  <si>
    <t>Arbejdstidsoversigt</t>
  </si>
  <si>
    <t>Efter at skolen er færdig med at planlægge arbejdstiden for den enkelte lærer og børnehaveklasseleder, kan man med fordel checke følgende:</t>
  </si>
  <si>
    <t>Efter at skolen har planlagt den ansattes arbejdstid, råder vi skolen til at gå fanen "gode råd til check" igennem. Punkterne der her er beskrevet, er de punkter der oftes begås fejl i.</t>
  </si>
  <si>
    <t>Rigtig god arbejdslyst</t>
  </si>
  <si>
    <t>Oplys hvis tilskrevet dage eller hvis den ansatte er startet denne mdr. Tast også her evt. ovf. særlige feriedage fra sidste år (Kræver en skriftlig aftale).</t>
  </si>
  <si>
    <t>Opgaverne er placeret i tidsrummet 7:30 - 17:00</t>
  </si>
  <si>
    <t>Opgaver der placeres senere på året</t>
  </si>
  <si>
    <t>List her opgaverne og vælg med piletasten hvilken måned opgaven/opgaverne løses i samt estimeret tid til opgaven.</t>
  </si>
  <si>
    <t>Udfyld nu hver måned i normperioden. Det er vigtigt at de dage/måneder hvor den ansatte evt. ikke er ansat vælges som "Ikke relevante".</t>
  </si>
  <si>
    <r>
      <rPr>
        <b/>
        <sz val="12"/>
        <color theme="4" tint="-0.499984740745262"/>
        <rFont val="Arial"/>
        <family val="2"/>
      </rPr>
      <t>FORHÅNDSUDFYLDT:</t>
    </r>
    <r>
      <rPr>
        <sz val="12"/>
        <color theme="1"/>
        <rFont val="Arial"/>
        <family val="2"/>
      </rPr>
      <t xml:space="preserve"> Værktøjet er forhåndsudfyldt med weekenddage, søgnehelligdage, 25 feriedage efter organisationsaftalen, 200 skoledage og nuldage. Hvornår en skole starter efter sommerferien, hvordan juleferien planlægges og hvornår sommerferien begynder er forskelligt fra skole til skole og fra kommune til kommune. Check derfor evt. kommunens ferieplan. </t>
    </r>
  </si>
  <si>
    <t>Antal arbejdsdage</t>
  </si>
  <si>
    <t>Antal sh-dage</t>
  </si>
  <si>
    <t xml:space="preserve">Pulje til øvrige opgaver(Opgaver der tæller mindre end 60 timer pr. år). 	</t>
  </si>
  <si>
    <t>SKEMA 1</t>
  </si>
  <si>
    <t>SKEMA 2</t>
  </si>
  <si>
    <t>SKEMA 3</t>
  </si>
  <si>
    <t>SKEMA 4</t>
  </si>
  <si>
    <t>2. Pinsedag</t>
  </si>
  <si>
    <t>Undervisningstimer i normperioden vedr.:</t>
  </si>
  <si>
    <t>Samlede antal undervisningstimer i normperioden:</t>
  </si>
  <si>
    <t>Er undervisningstimerne planlagt for et helt skoleår?</t>
  </si>
  <si>
    <t>Hvis undervisningstimerne ikke vedr. et helt skoleår opregnes undervisningstimerne for delperioden til et skoleår i forhold til antal mulige arbejdsdage. Undervisningstimerne der danner grundlag for udbetaling af undervisningstillæg udgør:</t>
  </si>
  <si>
    <t>Seniorbonus jf. Cirkulære om seniorbonus for tjenestemænd i staten</t>
  </si>
  <si>
    <t xml:space="preserve">Værktøjet kan udover planlægning også bruges til at at udarbejde en statusopgørelse hver 3. måned samt opgøre normperioden. </t>
  </si>
  <si>
    <t>Fanerne: Stamoplysninger, skemaoplysninger, august, arbejdstidsoversigt og opgaver er øverst makeret med en blå pil samt en tekst der beskriver opgaven i den enkelte fane.</t>
  </si>
  <si>
    <r>
      <rPr>
        <b/>
        <sz val="12"/>
        <color theme="4" tint="-0.499984740745262"/>
        <rFont val="Arial"/>
        <family val="2"/>
      </rPr>
      <t>OPGØRELSE:</t>
    </r>
    <r>
      <rPr>
        <b/>
        <sz val="12"/>
        <color theme="1"/>
        <rFont val="Arial"/>
        <family val="2"/>
      </rPr>
      <t xml:space="preserve"> </t>
    </r>
    <r>
      <rPr>
        <sz val="12"/>
        <color theme="1"/>
        <rFont val="Arial"/>
        <family val="2"/>
      </rPr>
      <t xml:space="preserve">Sker der ændringer i den planlagte arbejdstid vælges med et "X" i kolonne S, T og U hvad ændringen vedrører. HUSK afspadsering skal oplyses i hver enkelt måneds afspadseringsskema under kalenderen og IKKE som en ændring. Efter ændringen/ændringerne er valgt med et "X" udfyldes de nu oplyste gule felter med det timetal den planlagte timetal er ændret med. I tilfælde af fravær mere end 4 uger, tælles hver dag(fra dag 1) som 7,4 timer * beskæftigelsesgraden. Bemærk at ved sygdom ændres der IKKE på den planlagte undervisningstid. </t>
    </r>
  </si>
  <si>
    <t>Ansættes en lærer først d. 1. oktober, skal ALLE dage i august og september vælges som "ikke relevante dage". På denne måde får skolen korrekt optælling af normperiodens dage, som nu ikke længere er et helt skoleår.</t>
  </si>
  <si>
    <t>Orlovsdage er dage med ret til frihed efter barselsloven og servicelovens §119(orlov til pasning af nærtstående der ønsker at dø i eget hjem) såfremt orloven varer længere end 30 dage. Orlovsdagene tæller da med 7,4 timer * beskæftigelsesgraden. Orlovsdage vælges på mulige arbejdsdage, og ikke på lørdage, søndage og sh-dage.</t>
  </si>
  <si>
    <t xml:space="preserve">Det totale antal dage fratrukket  ferie, lørdage, søndage, søgne/helligdage, samt 200 skoledage udgør: (365 kalenderdage - 104 lør/søn - 8 S/H-dage - 25 feriedage- 200 skoledage = 28 restdage. Disse 28 dage er i princippet arbejdsdage. Hvis der ikke disponeres over disse dage(Planlægges arbejdstid), vil de blive betragtet som afspadseringsdage - også kaldet 0-dage. Har en ansat ikke en 5 dages arbejdsuge, vælges de arbejdsfrie dage som nuldage. </t>
  </si>
  <si>
    <t>L</t>
  </si>
  <si>
    <t>E</t>
  </si>
  <si>
    <t>Fra kl:</t>
  </si>
  <si>
    <t>Til kl:</t>
  </si>
  <si>
    <t>Vælg m. pil: Lektion eller elevpausetid(Tilsyn)</t>
  </si>
  <si>
    <t>X</t>
  </si>
  <si>
    <t>Ikke relevante ulempetillægstimer</t>
  </si>
  <si>
    <t>Opgørelse af et skoleår</t>
  </si>
  <si>
    <t>Når et skoleår er gået har den ansatte krav på en opgørelse af arbejdstiden.</t>
  </si>
  <si>
    <t>Opgørelse af en del af et skoleår</t>
  </si>
  <si>
    <t>Hvis en lærer afslutter sin ansættelse i løbet af skoleåret, eller læreren får ændret beskæftigelsesgrad skal der ske en opgørelse af delnormperioden.</t>
  </si>
  <si>
    <t>Gør sådan:</t>
  </si>
  <si>
    <t>Skemaoplysning</t>
  </si>
  <si>
    <t>August - juli</t>
  </si>
  <si>
    <t>De dage og måneder der ikke skal tælles med i opgørelsen af delperioden skal nu ændres til "ikke relevante".</t>
  </si>
  <si>
    <t>Ikke relevante vælges derfor for alle de dage den ansatte ikke er ansat eller skal tælle med i opgørelsen.</t>
  </si>
  <si>
    <t>Løbende registrering af ændringer</t>
  </si>
  <si>
    <t>Weekendtimer</t>
  </si>
  <si>
    <t>Weekendtillæg på 50 pct.</t>
  </si>
  <si>
    <t>Til udbetaling</t>
  </si>
  <si>
    <t>Ulempetillæg udbetales med 25% af nettetimelønnen</t>
  </si>
  <si>
    <t>Ulempetillæg afspadseres med 25% af nettotimelønnen</t>
  </si>
  <si>
    <t>Der er indgået lokalaftale omkring ulempetillæg</t>
  </si>
  <si>
    <t>Weekendtimer og weekendtillæg afspadseres</t>
  </si>
  <si>
    <t>Weekentimer og weekendtillæg udbetales</t>
  </si>
  <si>
    <t>Der er indgået lokalaftale omkring weekendtimer og weekendtillæg</t>
  </si>
  <si>
    <t>Der er indgået lokalaftale omkring weekendtimer, weekendtillæg afspadseres</t>
  </si>
  <si>
    <t>Der er indgået lokalaftale omkring weekendtimer, weekendtillæg udbetales</t>
  </si>
  <si>
    <t>Der er indgået lokalaftale omkring weekendtillæg, weekendtimerne afspadseres</t>
  </si>
  <si>
    <t>Der er indgået lokalaftale omkring weekendtillæg, weekendtimerne udbetales</t>
  </si>
  <si>
    <t>Til afsapsering</t>
  </si>
  <si>
    <t>Weekendtimerne. AFSPADSERES</t>
  </si>
  <si>
    <t>Weekendtimerne AFSPADSERES</t>
  </si>
  <si>
    <t>Weekendtimerne. UDBETALES</t>
  </si>
  <si>
    <t>Weekendtimerne UDBETALES</t>
  </si>
  <si>
    <t>Ændring i arbejdstiden der ikke vedrører weekenddage på ikke relevante dage</t>
  </si>
  <si>
    <t>Weekendtimer talt med i månedsnorm. Timerne afspadseres og derfor trækkes de ud igen</t>
  </si>
  <si>
    <t>Bruger til at trække weekendtimer der afspadseres eller udbetales ud af den enkelte måneds timeregnskab da timerne ellers tælles med.</t>
  </si>
  <si>
    <t>Ændringi weekendtimer der ikke skal tælle med</t>
  </si>
  <si>
    <t>Ændringer i weekendtimer der ikke skal tælles med i celle I51.</t>
  </si>
  <si>
    <t>Hvis der ved en fejl står timer ud for en dag der er valgt som weekenddag, skal disse timer ikke tælles med.</t>
  </si>
  <si>
    <t>Celle 49</t>
  </si>
  <si>
    <t>Ved aftale om lokalaftale på weekendtimer, skal timerne trækkes ud af mdr. regnskabet</t>
  </si>
  <si>
    <t>Pkt. 6. Bruges i celle I49</t>
  </si>
  <si>
    <t>Pkt. 4 bruges i celle I49</t>
  </si>
  <si>
    <t>Pkt. 5. bruges i celle I 49</t>
  </si>
  <si>
    <t>Pkt. 7. bruges i celle I 49</t>
  </si>
  <si>
    <t>Pkt. 3. bruges i celle I 49</t>
  </si>
  <si>
    <t>Weekendtimer og weekendtillæg udbetales</t>
  </si>
  <si>
    <t>Pkt. 2. bruges i celle i49</t>
  </si>
  <si>
    <t>Valg Pkt. 1. i stamdate vedr. weekendtimer -  bruges i celle i49</t>
  </si>
  <si>
    <t>Bruges i celle I49</t>
  </si>
  <si>
    <t>Disse udregninger gør at månedens timer tæller korrekt. At weekendtimer tælles ud af månedstimetalles og at det også stemmer hvis dagene efterfølgende rettes til ikke relevante.</t>
  </si>
  <si>
    <t>Opgørelsen kan aflæses i fanen "opgørelse", og forudsætter at skolen løbende har registreret evt. ændringer i forhold til de planlagte timer. Evt. ændringer registreres i fanerne august - juli. Vælg her med et "X" hvorvidt der er tale om en ændring i arbejdstiden, undervisningstiden eller planlagt arbejdstid imellem 17-06. Vælg med et "X" i kolonne S hvis ændringen sker i forhold til den planlagte arbejdstid registreret i kolonne N. Vælg "X" i kolonne T hvis ændringen vedr. undervisningstiden planlagt i kolonne O og vælg "X" i kolonne U hvis ændringen vedr. tid imellem kl. 17-06 i forhold til den planlagte tid i kolonne R. Efter at skolen med et "X" har registreret at der er sket en ændring lyser den eller de celler op i kolonne V, W og X hvor den faktiske ændring skal registreres. Er der tale om flere timer, registreres ændringen med et positivt tal, er der tale om færre timer registreres ændringen med et negativt tal.</t>
  </si>
  <si>
    <t>I kolonne "C" vælges dagene den ansatte ikke er ansat som "ikke relevante", hvorefter dagene bliver sorte og ikke tælles med i opgørelsen. Det er dog vigtigt at ALLE dage ændres til "ikke relevante". Også lørdage, søndage, S/H dage og feriedage.</t>
  </si>
  <si>
    <t>Hvis en lærer feks: opsiger sit arbejde d. 31. december vælges samtlige dage fra og med d. 1. januar til og med d. 31. juli som "ikke relevant". Det gælder både hverdage, weekenddage, s/h-dage og planlagte feriedage.</t>
  </si>
  <si>
    <r>
      <rPr>
        <b/>
        <sz val="12"/>
        <color theme="1"/>
        <rFont val="Calibri (Tekst)"/>
      </rPr>
      <t>TIPS:</t>
    </r>
    <r>
      <rPr>
        <sz val="12"/>
        <color theme="1"/>
        <rFont val="Calibri"/>
        <family val="2"/>
        <scheme val="minor"/>
      </rPr>
      <t xml:space="preserve"> Ikke relevante dage kan kopieres ned i en hel måned ved først at vælge den første dag som "Ikke relevant" og dernæst at "trække" i cellens nederste højre hjørne (den lille firkant) - ned i månedens kolonne. Hvis ikke det er nok at vælge en dag som ikke relevant for at finde den lille firkant i cellens nederste højre hjørne, vælg så to på hinanden følgende dage som "ikke relevante", marker de to dage i kolonne C der nu er "ikke relevante" og træk den lille firkant i nederste højre hjørne ned i hele måneden.</t>
    </r>
  </si>
  <si>
    <t>Når ovennævnte ændringer er sket, kan opgørelsen af skoleåret eller delnormperioden aflæses i fanen "opgørelse".</t>
  </si>
  <si>
    <t>MERTIMER: Timer op til en fuldtidsansættelse honoreres med den ansattes egen timeløn * mertimerne + pension.</t>
  </si>
  <si>
    <t>OVERTIMER: Timer over en fuldtidsnorm honoreres med den ansattes egen timeløn + 50%. Overtidsbetaling er uden pension.</t>
  </si>
  <si>
    <t>AFSPADSERINGSTIMER: Har den ansatte afspadseringstimer der ved normperiodens opgørelse ikke er afspadseret udbetales timerne i henhold til reglerne om ovennævnte mer/overarbejde.</t>
  </si>
  <si>
    <t>Sådan aflæses opgørelsen</t>
  </si>
  <si>
    <t>"E" for elevpause</t>
  </si>
  <si>
    <t>"L" for lektion</t>
  </si>
  <si>
    <t>Lektion vælges i skema 1 i kolonne: D, F, H, J og L. Skema 2 i kolonne R, T, V, X og Y. Skema 3 i kolonne AF, AH, AJ, AL og AN. Skema 4 i kolonne AT, AV, AX, AZ og BB. En lektion er et modul hvortil undervisning er tilknyttet. Oplys antal minutter lektionen varer, og beskriv lektionen. Lektionstimerne overføres automatisk til månederne august - juli og arket "undervisningstillæg".</t>
  </si>
  <si>
    <t>Elevpause vælges i skema 1 i kolonne: D, F, H, J og L. Skema 2 i kolonne R, T, V, X og Y. Skema 3 i kolonne AF, AH, AJ, AL og AN. Skema 4 i kolonne AT, AV, AX, AZ og BB. Elevpausetid er den tid der ligger imellem 2 lektioner og hvor skolen ikke kan forvente læreren udfører opgaver listet i fanen "opgaver". Elevpausetid kan bruges til tilsyn, gårdvagter, pauser eller lign. Oplys antal minutter elevpausetiden varer, og beskriv lærerens opgave i elevpausetiden. Elevpausetiden overføres automatisk til månederne august - juli og  fanen "opgaver".</t>
  </si>
  <si>
    <t>Antal min. modulet er: (45 min. = 0:45)</t>
  </si>
  <si>
    <t xml:space="preserve">17-06 timer til udbetaling kræver der er beskrevet et 17-06 arranement </t>
  </si>
  <si>
    <t>Ulempetillæg ændringer på hverdage. Kræver der er sat kryds i at der er sket en ændring. KOLONNE U</t>
  </si>
  <si>
    <t>Ændring i weekendtimer KRÆVER X I KOLONNE I OG S</t>
  </si>
  <si>
    <t>Ikke relevante weekendtimer</t>
  </si>
  <si>
    <t>Ikke relevante ændringer på weekendtimer og tillæg</t>
  </si>
  <si>
    <t>Ikke relevante weekendtimer og weekendtillæg</t>
  </si>
  <si>
    <t>Ændring i weekendtimer</t>
  </si>
  <si>
    <t>Ikke relevante ændringer i weekendtimer</t>
  </si>
  <si>
    <t>Weekendtimer på weekenddage</t>
  </si>
  <si>
    <t>Omsorgsdage</t>
  </si>
  <si>
    <r>
      <t xml:space="preserve">Vælg med "X" om der afholdes en omsorgsdag eller særlig feriedag samt dato </t>
    </r>
    <r>
      <rPr>
        <sz val="10"/>
        <rFont val="Arial"/>
        <family val="2"/>
      </rPr>
      <t>(Afholdelse af disse dage medfører IKKE en ændring i arbejdstiden, men registreres i dette skema).</t>
    </r>
  </si>
  <si>
    <t>Omsorgsdag</t>
  </si>
  <si>
    <t>Under hver måned er der en opgørelse pr. måned. Herudover er der optælling på den enkelte måneds ulempetillæg/weekendtillæg der skal til udbetaling, samt opgørelse over afspadsering. Er der varslet afspadsering oplyses afspadseringstimerne i dette skema. IKKE som en ændring i kalenderen. Udbetaling sker med den ansattes nettotimeløn. Sidst i dette værktøj findes en beregner til beregning af nettotimelønnen. Det er også muligt for at holde "regnskab" med skyldige særlige feriedage/feriefridage/6. ferieuge og evt. omsorgsdage. Læs noten herom i skemaet.</t>
  </si>
  <si>
    <t>Arbejdstimer 17-06 på ikke relevante. Bruges også i sammentælling af 17-06 timer i arb.tidsoversigten</t>
  </si>
  <si>
    <t>Hvis der i kolonne "I" er valgt et kryds, betyder det at der er planlagt arbejde på en weekend dag eller der er registreret en ændring i arbejdstiden på weekenddagen i kolonne "S". Er der planlagt arbejde på en lørdag eller søndag må dagen ikke være en weekenddag eller skemadag, men skal vælges som feks. emnedag, pædagogiske dag eller en anden dag der ikke har betegnelsen "weekend eller skema 1-4". Hvis det er en weekenddag der ikke er planlagt arbejde på eller registreret en ændring i kolonne "S", må der ikke være valgt et "X" i kolonne I.</t>
  </si>
  <si>
    <t>Check derfor om der er kryds i kolonne "I". Er der et kryds skal weekenddagen være ændret til andet end weekenddag eller skema 1-4 dag, eller at der på weekendagen er registreret en ændring i kolonne "S".</t>
  </si>
  <si>
    <t>Arbejde på weekenddage:</t>
  </si>
  <si>
    <t xml:space="preserve">Fanen arbejdstidsoversigt er fanen hvor den ansattes arbejdstid samles og hvor resttimerne fordeles på skema 1-4 dage. </t>
  </si>
  <si>
    <t>Efter at månedskalenderne er udfyldt har vi nu styr på antal arbejdstimer på emnedage, fagdage, lejrskoledage, 17-06 arrangementer mm. Det eneste vi nu mangler at sætte timer på er skema 1-4, hvilket er det vi bruger resttiden på i fanen "arbejdstidsoversigt".</t>
  </si>
  <si>
    <r>
      <rPr>
        <b/>
        <sz val="12"/>
        <color theme="1"/>
        <rFont val="Calibri"/>
        <family val="2"/>
        <scheme val="minor"/>
      </rPr>
      <t xml:space="preserve">Ændring på en weekenddag: </t>
    </r>
    <r>
      <rPr>
        <sz val="12"/>
        <color theme="1"/>
        <rFont val="Calibri"/>
        <family val="2"/>
        <scheme val="minor"/>
      </rPr>
      <t>Check her at der også er sat et "X" i kolonne "I". Ellers vælges "X" i kolonne I. Dette for at de arbejdstidsbestemte tillæg tæller rigtigt.</t>
    </r>
  </si>
  <si>
    <t>Sørg altid for at hvis der sker ændringer i arbejdstiden i forhold til det planlagte, skal ændringerne registreres i månederne august - juli. Se denne beskrivelse under opgørelse af et helt skoleår - denne fanes række 5 og 6.</t>
  </si>
  <si>
    <t>Særlige feriedage afholdes med de arbejdstimer dagen oprindeligt er planlagt med. Det vil sige at ved afvikling af en særlig feriefridag ændres der IKKE på antal arbejdstimer eller undervisningstillæg. De særlige feriedage skal så vidt muligt repræsentere en helt almindelig arbejdsuge. Har medarbejderen en arbejdsuge på færre en fem dage indgår de arbejdsfriedage i afholdelsen af særlige feriedage. Hvis medarbejderen feks. har en arbejdsuge med 4 arbejdsdage og 1 fridag, er alle 5 optjente særlige feriedage afviklet når medarbejderen har afviklet særlige feriedage på 4 arbejdsdage.</t>
  </si>
  <si>
    <t>Opgørelse af et skoleår eller en del af et skoleår:</t>
  </si>
  <si>
    <t>Arbejdstid til undervisningsdage der fordels i skemaerne herunder:</t>
  </si>
  <si>
    <t>Antal arbejdstimer på normale skemadage jf. Fanen arbejdstidsoversigt skema 3:</t>
  </si>
  <si>
    <t>Arbejdsdage uden undervisning (pædagogiske dage)</t>
  </si>
  <si>
    <t>Tid til øvrige opgaver(Forberedelse samt øvrige opgaver med og uden estimeret tid). Timerne fordeles i skemaet herunder.</t>
  </si>
  <si>
    <t>2. Øvrige opgaver</t>
  </si>
  <si>
    <t>Skjules</t>
  </si>
  <si>
    <t>Skjules række 58 til 66</t>
  </si>
  <si>
    <r>
      <rPr>
        <b/>
        <sz val="14"/>
        <color theme="4" tint="-0.499984740745262"/>
        <rFont val="Calibri"/>
        <family val="2"/>
        <scheme val="minor"/>
      </rPr>
      <t>Skema 1</t>
    </r>
    <r>
      <rPr>
        <sz val="14"/>
        <color theme="4" tint="-0.499984740745262"/>
        <rFont val="Calibri"/>
        <family val="2"/>
        <scheme val="minor"/>
      </rPr>
      <t xml:space="preserve"> viser en fordeling af de opgaver der er planlagt i normperioden samt hvor mange timer der endnu ikke er planlagt og som skal fordeles til øvrige opgaver i skema 2.</t>
    </r>
  </si>
  <si>
    <r>
      <rPr>
        <b/>
        <sz val="14"/>
        <color theme="4" tint="-0.499984740745262"/>
        <rFont val="Calibri"/>
        <family val="2"/>
        <scheme val="minor"/>
      </rPr>
      <t>Skema 2:</t>
    </r>
    <r>
      <rPr>
        <sz val="14"/>
        <color theme="4" tint="-0.499984740745262"/>
        <rFont val="Calibri"/>
        <family val="2"/>
        <scheme val="minor"/>
      </rPr>
      <t xml:space="preserve"> List her tiden til forberedelse og opgaver der estimeres til min. 60 klokketimer for et helt skoleår samt øvrige opgaver. Vælg om tiden er estimeret eller aftalt lokalt. (Bruges kun som en information).</t>
    </r>
  </si>
  <si>
    <t>Check at der er oplyst et timetal i de celler der er oplyst med gult.</t>
  </si>
  <si>
    <t>Oplys her den aftalte akord på pause/tilsynstid (Den oplyste akord skal svare til et helt skoleår bestående af 200 skoledage).</t>
  </si>
  <si>
    <t>I forbindelse med de gældende arbejdstidsregler, har Friskolerne udarbejdet et planlægningsværtøj til planlægning af lærernes og børnehaveklasselederenes arbejdstid.</t>
  </si>
  <si>
    <t>Kr. himmelfartsdag</t>
  </si>
  <si>
    <t>x hvis fagdag</t>
  </si>
  <si>
    <t>x hvis emnedag</t>
  </si>
  <si>
    <t>x hvis ekskursionsdag</t>
  </si>
  <si>
    <t>x hvis pædagogisk dag</t>
  </si>
  <si>
    <t>Hvis kriterier om fagdag, emnedag, ekskursion eller pæd er opfyldt</t>
  </si>
  <si>
    <t>x hvis lejrskoledag</t>
  </si>
  <si>
    <t>x i week, ingen x i lejrskole</t>
  </si>
  <si>
    <r>
      <t xml:space="preserve">17-06 timer på </t>
    </r>
    <r>
      <rPr>
        <sz val="12"/>
        <color rgb="FFFF0000"/>
        <rFont val="Calibri (Tekst)"/>
      </rPr>
      <t>hverdage</t>
    </r>
    <r>
      <rPr>
        <sz val="12"/>
        <color theme="1"/>
        <rFont val="Calibri"/>
        <family val="2"/>
        <scheme val="minor"/>
      </rPr>
      <t xml:space="preserve"> til udbetaling kræver der er beskrevet et 17-06 arranement KOLONNE H</t>
    </r>
  </si>
  <si>
    <r>
      <t xml:space="preserve">Ulempetillæg på </t>
    </r>
    <r>
      <rPr>
        <sz val="12"/>
        <color rgb="FFFF0000"/>
        <rFont val="Calibri (Tekst)"/>
      </rPr>
      <t>weekenddage</t>
    </r>
    <r>
      <rPr>
        <sz val="12"/>
        <color theme="1"/>
        <rFont val="Calibri"/>
        <family val="2"/>
        <scheme val="minor"/>
      </rPr>
      <t xml:space="preserve"> - kræver der er sat kryds i weekendarbejde. KOLONNE I. Minus ved lejrskole.</t>
    </r>
  </si>
  <si>
    <r>
      <t xml:space="preserve">Ulempetillæg </t>
    </r>
    <r>
      <rPr>
        <sz val="10"/>
        <color rgb="FF00B050"/>
        <rFont val="Calibri (Tekst)"/>
      </rPr>
      <t>ændringer</t>
    </r>
    <r>
      <rPr>
        <sz val="10"/>
        <color theme="1"/>
        <rFont val="Calibri"/>
        <family val="2"/>
        <scheme val="minor"/>
      </rPr>
      <t xml:space="preserve"> på </t>
    </r>
    <r>
      <rPr>
        <sz val="10"/>
        <color rgb="FFFF0000"/>
        <rFont val="Calibri (Tekst)"/>
      </rPr>
      <t>hverdage</t>
    </r>
    <r>
      <rPr>
        <sz val="10"/>
        <color theme="1"/>
        <rFont val="Calibri"/>
        <family val="2"/>
        <scheme val="minor"/>
      </rPr>
      <t>. Kræver der er sat x i at der er sket en ændring på hverdage imellem 17-07. KOLONNE U</t>
    </r>
  </si>
  <si>
    <r>
      <t xml:space="preserve">Ulempetillæg </t>
    </r>
    <r>
      <rPr>
        <sz val="10"/>
        <color rgb="FF00B050"/>
        <rFont val="Calibri (Tekst)"/>
      </rPr>
      <t>ændringer</t>
    </r>
    <r>
      <rPr>
        <sz val="10"/>
        <color theme="1"/>
        <rFont val="Calibri"/>
        <family val="2"/>
        <scheme val="minor"/>
      </rPr>
      <t xml:space="preserve"> på </t>
    </r>
    <r>
      <rPr>
        <sz val="10"/>
        <color rgb="FFFF0000"/>
        <rFont val="Calibri (Tekst)"/>
      </rPr>
      <t>weekenddage</t>
    </r>
    <r>
      <rPr>
        <sz val="10"/>
        <color theme="1"/>
        <rFont val="Calibri"/>
        <family val="2"/>
        <scheme val="minor"/>
      </rPr>
      <t>. Kræver der er sat kryds i ændring i timetal og at det er en weekeend. KOLONNE I OG S. Minus lejrskole</t>
    </r>
  </si>
  <si>
    <r>
      <t xml:space="preserve">17-06 timer </t>
    </r>
    <r>
      <rPr>
        <sz val="10"/>
        <color rgb="FFFF0000"/>
        <rFont val="Calibri (Tekst)"/>
      </rPr>
      <t>på hverdage</t>
    </r>
    <r>
      <rPr>
        <sz val="10"/>
        <color theme="1"/>
        <rFont val="Calibri"/>
        <family val="2"/>
        <scheme val="minor"/>
      </rPr>
      <t xml:space="preserve"> til afspadsering kræver der er beskrevet et 17-06 arrangement. KOLONNE H</t>
    </r>
  </si>
  <si>
    <r>
      <t xml:space="preserve">Ulempetillæg på </t>
    </r>
    <r>
      <rPr>
        <sz val="10"/>
        <color rgb="FFFF0000"/>
        <rFont val="Calibri (Tekst)"/>
      </rPr>
      <t>weekenddage</t>
    </r>
    <r>
      <rPr>
        <sz val="10"/>
        <color theme="1"/>
        <rFont val="Calibri"/>
        <family val="2"/>
        <scheme val="minor"/>
      </rPr>
      <t xml:space="preserve"> til afspadsering. Kræver der er sat kryds i weekendarb. KOLONNE I. </t>
    </r>
    <r>
      <rPr>
        <sz val="10"/>
        <color rgb="FFFF0000"/>
        <rFont val="Calibri (Tekst)"/>
      </rPr>
      <t>Minus ved lejrskole.</t>
    </r>
  </si>
  <si>
    <r>
      <t xml:space="preserve">Ulempetillæg </t>
    </r>
    <r>
      <rPr>
        <sz val="10"/>
        <color rgb="FF00B050"/>
        <rFont val="Calibri (Tekst)"/>
      </rPr>
      <t>ændringer</t>
    </r>
    <r>
      <rPr>
        <sz val="10"/>
        <color theme="1"/>
        <rFont val="Calibri"/>
        <family val="2"/>
        <scheme val="minor"/>
      </rPr>
      <t xml:space="preserve"> på </t>
    </r>
    <r>
      <rPr>
        <sz val="10"/>
        <color rgb="FFFF0000"/>
        <rFont val="Calibri (Tekst)"/>
      </rPr>
      <t>hverdage</t>
    </r>
    <r>
      <rPr>
        <sz val="10"/>
        <color theme="1"/>
        <rFont val="Calibri"/>
        <family val="2"/>
        <scheme val="minor"/>
      </rPr>
      <t>. Kræver der er sat x i at der er sket en ændring på hverdage imellem 17-06. KOLONNE U</t>
    </r>
  </si>
  <si>
    <r>
      <t xml:space="preserve">Ulempetillæg </t>
    </r>
    <r>
      <rPr>
        <sz val="10"/>
        <color rgb="FF00B050"/>
        <rFont val="Calibri (Tekst)"/>
      </rPr>
      <t>ændringer</t>
    </r>
    <r>
      <rPr>
        <sz val="10"/>
        <color theme="1"/>
        <rFont val="Calibri"/>
        <family val="2"/>
        <scheme val="minor"/>
      </rPr>
      <t xml:space="preserve"> på </t>
    </r>
    <r>
      <rPr>
        <sz val="10"/>
        <color rgb="FFFF0000"/>
        <rFont val="Calibri (Tekst)"/>
      </rPr>
      <t>weekenddage</t>
    </r>
    <r>
      <rPr>
        <sz val="10"/>
        <color theme="1"/>
        <rFont val="Calibri"/>
        <family val="2"/>
        <scheme val="minor"/>
      </rPr>
      <t xml:space="preserve">. Kræver der er sat kryds i ændring i timetal og at det er en weekeend. KOLONNE I OG S. </t>
    </r>
    <r>
      <rPr>
        <sz val="10"/>
        <color rgb="FFFF0000"/>
        <rFont val="Calibri (Tekst)"/>
      </rPr>
      <t>Minus lejrskole</t>
    </r>
  </si>
  <si>
    <t>Weekendtimer og weekendtillæg. KRÆVER X I KOLONNE I. Minus lejrskole</t>
  </si>
  <si>
    <t>Weekendtillæg på weekenddage. Minus lejrskole</t>
  </si>
  <si>
    <t>Ændring i weekendtimer. Minus lejrskole</t>
  </si>
  <si>
    <t>Ændring i weekendtimer KRÆVER X I KOLONNE I OG S. Minus lejrskole</t>
  </si>
  <si>
    <t>Vil mene denne er ok, da det udelukkende er weekendtimer der er tale om og som også gælder ved lejrskole</t>
  </si>
  <si>
    <t>Weekendtimer afspadseres. LEJRSKOLE</t>
  </si>
  <si>
    <t>Weekendtimer PÅ LEJRSKOLE TIL AFSPADSERING 1:1</t>
  </si>
  <si>
    <t>Weekendtimer PÅ LEJRSKOLE TIL UDBETALING. 1:1</t>
  </si>
  <si>
    <t>Weekendtimer og weekendtillæg afspadseres. GÆLDER IKKE LEJRSKOLE</t>
  </si>
  <si>
    <t>Weekendtimer og weekendtillæg afspadseres. LEJRSKOLE</t>
  </si>
  <si>
    <t>Ændring i weekendtimer KRÆVER X I KOLONNE I OG S - 1:1</t>
  </si>
  <si>
    <t>Ændring i weekendtimer LEJRSKOLE -  KRÆVER X I KOLONNE I OG S. 1:1</t>
  </si>
  <si>
    <t>Ændringer i arbejdstiden der ikke vedr. weekender</t>
  </si>
  <si>
    <t>NY</t>
  </si>
  <si>
    <t>fb41</t>
  </si>
  <si>
    <t>BRUGES IKKE</t>
  </si>
  <si>
    <t>ÆNDRINGER HVERDAGE IKKE RELEVANTE</t>
  </si>
  <si>
    <t>ÆNDRINGER 17-06 IKKE RELEVANTE</t>
  </si>
  <si>
    <r>
      <t xml:space="preserve">Beskrivelse af møder og arrangementer på </t>
    </r>
    <r>
      <rPr>
        <b/>
        <sz val="12"/>
        <rFont val="Arial"/>
        <family val="2"/>
      </rPr>
      <t>HVERDAGE</t>
    </r>
    <r>
      <rPr>
        <sz val="12"/>
        <rFont val="Arial"/>
        <family val="2"/>
      </rPr>
      <t xml:space="preserve"> i tidsrummet 17-06. </t>
    </r>
    <r>
      <rPr>
        <b/>
        <sz val="12"/>
        <rFont val="Arial"/>
        <family val="2"/>
      </rPr>
      <t>IKKE ved lejrskole og andre elev-arrangementer med overnatning.</t>
    </r>
  </si>
  <si>
    <t xml:space="preserve">Ændring i arbejdstid imellem 07:30 - 17:00. </t>
  </si>
  <si>
    <t>17-06 timer til udbetaling kræver der er beskrevet et 17-06 arranement I KOLONNE H</t>
  </si>
  <si>
    <t>Heraf planlagte weekendtimer til afspadsering, udb. eller indgået lokalaftale - Ovf. til afsp/udb.(box til højre) eller jv. lokalaftale</t>
  </si>
  <si>
    <r>
      <t xml:space="preserve">Ændring i arbejdstimer på </t>
    </r>
    <r>
      <rPr>
        <b/>
        <sz val="12"/>
        <rFont val="Arial"/>
        <family val="2"/>
      </rPr>
      <t>HVERDAGE</t>
    </r>
    <r>
      <rPr>
        <sz val="12"/>
        <rFont val="Arial"/>
        <family val="2"/>
      </rPr>
      <t>imellem 17-06</t>
    </r>
  </si>
  <si>
    <r>
      <t xml:space="preserve">Ændring i antal timer på </t>
    </r>
    <r>
      <rPr>
        <b/>
        <sz val="12"/>
        <color theme="1"/>
        <rFont val="Arial"/>
        <family val="2"/>
      </rPr>
      <t>HVERDAGE</t>
    </r>
    <r>
      <rPr>
        <sz val="12"/>
        <color theme="1"/>
        <rFont val="Arial"/>
        <family val="2"/>
      </rPr>
      <t xml:space="preserve"> imellem kl. 17-06 i forhold til kolonne "R"</t>
    </r>
  </si>
  <si>
    <r>
      <t xml:space="preserve">Arbejde på </t>
    </r>
    <r>
      <rPr>
        <b/>
        <sz val="12"/>
        <rFont val="Arial"/>
        <family val="2"/>
      </rPr>
      <t>HVERDAGE</t>
    </r>
    <r>
      <rPr>
        <sz val="12"/>
        <rFont val="Arial"/>
        <family val="2"/>
      </rPr>
      <t xml:space="preserve"> fra 17:00 - 06:00</t>
    </r>
  </si>
  <si>
    <t>2. Påskedag</t>
  </si>
  <si>
    <r>
      <t>OK24-tillæg</t>
    </r>
    <r>
      <rPr>
        <i/>
        <sz val="10"/>
        <color theme="1"/>
        <rFont val="Calibri"/>
        <family val="2"/>
        <scheme val="minor"/>
      </rPr>
      <t xml:space="preserve"> </t>
    </r>
  </si>
  <si>
    <r>
      <t>OK13-tillæg</t>
    </r>
    <r>
      <rPr>
        <i/>
        <sz val="10"/>
        <color theme="1"/>
        <rFont val="Calibri"/>
        <family val="2"/>
        <scheme val="minor"/>
      </rPr>
      <t xml:space="preserve"> </t>
    </r>
  </si>
  <si>
    <t>HYSK FANEN: Gode råd til check</t>
  </si>
  <si>
    <t>De hvide kolonner: S, T OG U er kolonner hvor der evt. skal træffes et valg med "X". Vælges der et kryds, vil en ny gul celle vises, hvori ændringen skal tastes.</t>
  </si>
  <si>
    <r>
      <rPr>
        <b/>
        <sz val="12"/>
        <color theme="4" tint="-0.499984740745262"/>
        <rFont val="Arial"/>
        <family val="2"/>
      </rPr>
      <t>SÆRLIGE FERIEDAGE OG OMSORGSDAGE/SENIORDAGE:</t>
    </r>
    <r>
      <rPr>
        <sz val="12"/>
        <color theme="1"/>
        <rFont val="Arial"/>
        <family val="2"/>
      </rPr>
      <t xml:space="preserve"> Værktøjet kan bruges til at holde styr på særlige feriedage (6. ferieuge eller feriefridage) og omsorgsdage. Her er det vigtigt der ikke ændres i selve kalenderen, men at ajurføringen af afholdte dage udelukkende sker i skemaet under kalenderen. Læs noten i skemaet.</t>
    </r>
  </si>
  <si>
    <r>
      <rPr>
        <b/>
        <sz val="12"/>
        <color theme="4" tint="-0.499984740745262"/>
        <rFont val="Arial"/>
        <family val="2"/>
      </rPr>
      <t>AFSPADSERING</t>
    </r>
    <r>
      <rPr>
        <sz val="12"/>
        <color theme="1"/>
        <rFont val="Arial"/>
        <family val="2"/>
      </rPr>
      <t>(Varsles min. 72 timer i forvejen). Varsler skolen afspadsering, skal disse timer listes i skemaet under hver måned i afspadseringsskemaet. Afspadsering skal IKKE ske som en ændring i månedskalenderens kolonne V-X. Skriv hvilken dag læreren skal afspadsere(en dag der i forvejen er planlagt arbejde på), og skriv antal timer. Dagens timetal kan aflæses i kalenderen. Afspadsering kan ske både forud og efter at afspadseringen er optjent.</t>
    </r>
  </si>
  <si>
    <r>
      <rPr>
        <b/>
        <sz val="12"/>
        <color theme="4" tint="-0.499984740745262"/>
        <rFont val="Arial"/>
        <family val="2"/>
      </rPr>
      <t>UNDERVISNINGSTILLÆG:</t>
    </r>
    <r>
      <rPr>
        <sz val="12"/>
        <color theme="1"/>
        <rFont val="Arial"/>
        <family val="2"/>
      </rPr>
      <t xml:space="preserve"> Er et skema over de planlagte undervisningstimer for et skoleår. Skemaet bruges til at udbetale det månedlige undervisningstillæg efter. Bemærk at hvis læreren underviser til et arrangement der ikke er henført til dage(feks. teateraften, koncert eller andet), som udløser undervisningstillæg skal disse timer anføres i fanen "undervisningstillæg". Hvis der planlægges for en delperiode(Ikke et helt skoleår), skal undervisningstimetallet for delperioden ganges op til et helt skolår. Skemaet beregner automatisk undervisningstimetallet fra delperioden til et helt skoleår. Det er dog en forudsætning at skolen i fanen "stamoplysninger" har oplyst der ikke planlægges for et helt skoleår. Sidstnævnte gælder både hvis den ansatte ikke har været ansat et helt skoleår eller er planlagt med orlov.</t>
    </r>
  </si>
  <si>
    <r>
      <rPr>
        <b/>
        <sz val="12"/>
        <rFont val="Helvetica"/>
        <family val="2"/>
      </rPr>
      <t>BEMÆRK</t>
    </r>
    <r>
      <rPr>
        <sz val="12"/>
        <rFont val="Helvetica"/>
        <family val="2"/>
      </rPr>
      <t xml:space="preserve"> at lærere og børnehaveklasseledere pr. 1. maj 2025 har ret til "opsparing af frihed". Opsparing af frihed kan være optjent af ulempegodtgørelse, weekendgodtgørelse, merarbejde og overarbejde samt særlige feriedage. Der er forskellige regler herom, læs derfor Friskolernes nyhed her.</t>
    </r>
  </si>
  <si>
    <r>
      <rPr>
        <b/>
        <sz val="14"/>
        <color theme="4" tint="-0.499984740745262"/>
        <rFont val="Calibri (Tekst)"/>
      </rPr>
      <t>SKEMAOPLYSNINGER</t>
    </r>
    <r>
      <rPr>
        <sz val="14"/>
        <color theme="4" tint="-0.499984740745262"/>
        <rFont val="Calibri"/>
        <family val="2"/>
        <scheme val="minor"/>
      </rPr>
      <t xml:space="preserve">: </t>
    </r>
    <r>
      <rPr>
        <sz val="12"/>
        <color theme="1"/>
        <rFont val="Arial"/>
        <family val="2"/>
      </rPr>
      <t xml:space="preserve">Skoleskema for skemadage. Her er mulighed for 4 skemaer i løbet af et skoleår. Udfyld skemaet og vælg hvorvidt der planlægges lektioner eller elevpausetid. Vælges lektioner medtælles tiden som undervisning der i fanen "undervisningstillæg" danner grundlag for udbetaling af undervisningstillæg. Vælges elevpausetid er det tid hvor eleverne holder pauser eller hvor læreren fører tilsyn og hvor der ikke skal betales undervisningstillæg. Elevpausetid er den tid der i skoleskemaet ligger imellem 2 lektioner. Denne tid er tid hvor læreren afslutter en lektion og gør klar til en ny. Elevpausetid der planlægges imellem 2 lektioner er tid hvor ledelsen ikke kan forvente at læreren udfører opgaver listet i fanen "opgaver". Elevpausetid kan også være lærerens tilsynstid til feks. morgensang, hvor opgaven består i at føre tilsyn, men hvor der ikke skal betales undervisningstillæg. </t>
    </r>
    <r>
      <rPr>
        <b/>
        <sz val="12"/>
        <color theme="3" tint="-0.249977111117893"/>
        <rFont val="Arial"/>
        <family val="2"/>
      </rPr>
      <t>OPGAVER DER PLACERES SENERE PÅ ÅRET:</t>
    </r>
    <r>
      <rPr>
        <b/>
        <sz val="12"/>
        <color theme="4" tint="-0.499984740745262"/>
        <rFont val="Arial"/>
        <family val="2"/>
      </rPr>
      <t xml:space="preserve"> </t>
    </r>
    <r>
      <rPr>
        <sz val="12"/>
        <color theme="1"/>
        <rFont val="Arial"/>
        <family val="2"/>
      </rPr>
      <t>Under skema 1 listes opgaver der placeres senere på året/i særlige måneder. Opgaver der listes her, er opgaver der ikke forventes løst i jævnt hen over året men i en eller flere særlige måeder. Dette så tiden til de særlige opgaver tælles med i den måned opgaven planlægges i. Lærermøder der falder fast en gang om måneden anbefaler vi at liste i fanen "opgaver".</t>
    </r>
  </si>
  <si>
    <t>Planlægges der ikke for et helt skoleår men for en delperiode, gøres de dage der ikke planlægges med "ikke relevante". Også lørdage, søndag og SH-dage. TIPS: Ikke relevante dage kan kopieres ned i en hel måned ved først at vælge den første dag som "Ikke relevant" (evt. de to første dage), markere den ene eller de to første dage (cellerne i kolonne C) der nu er valgt som ikke relevante og dernæst at "trække" i cellens nederste højre hjørne - ned i månedens kolonne. HUSK i fanen "stamoplysninger" at oplyse at der ikke planlægges for et helt skoleår.</t>
  </si>
  <si>
    <t>Er der planlagt for et helt skoleår, og skolen får brug for at opgøre arbejdstiden for en delperiode(evt. hvis en ansat opsiger sit arbejde eller ændrer beskæftigelsesgrad), kan værtøjet med fordel bruges til opgørelse af arbejdstiden. I fanen "stamoplysninger" oplyses at der ikke planlægges for et helt skoleår. Hvis der er måneder der kun delvis er "ikke relevant" skal de opgaver der er listet i særlige måneder i I fanen Skemaoplysninger fjernes. Hvis det er hele måneder der ikke længere er relevante, behøves dette ikke.  I månedeskalenderne markeres de dage der ikke er med i delperioden som "Ikke relevante". Timerne som i kolonne "K - R" tidligere var "gule" tælles ikke længere med i normperioden. I fanen "Opgørelse" vises nu hvordan arbejdstiden stemmer med den ansattes beskæftigelsesgrad.</t>
  </si>
  <si>
    <t>Stamoplysninger</t>
  </si>
  <si>
    <t>Arbejdstids-oversigt</t>
  </si>
  <si>
    <t>Genveje til:</t>
  </si>
  <si>
    <t>Skemaoplysninger</t>
  </si>
  <si>
    <t>Skemaop-lysninger</t>
  </si>
  <si>
    <t>MASTERPLAN - FØR DEN ENKELTE ANSATTES PLANLÆGNING</t>
  </si>
  <si>
    <t xml:space="preserve">Vi anbefaler at skolen udarbejder en masterplan. En planlægning hvor alle skolens aktiviteter er lagt ind kalenderne august - juli, opgaver i særlige måneder (under skema 1 ) samt lister alle opgaver i fanen "opgaver". Efter at alle skolens aktiviteter er tænkt ind i masterplanen, gemmes masterplanen som masterplan. Når der planlægges for den enkelte lærer, åbnes masterplanen, gem den nu med lærerens navn. Oplys navn mm i fanen "stamoplysninger" og fokuser nu på den enkelte lærers planlægning af skoleåret. Hvilke opgaver skal den enkelte lærer udføre, timetal mm., tilret skemaoplysninger, hvilke opgaver i opgaver der løses i særlige måneder skal den ansatte udføre, tilpas månederne august - juli og opgaverne listet i fanen "opgaver". Altså slet de opgaver den ansatte i masterplanen ikke skal udføre så planlægningen for den enkelte ansatte stemmer. </t>
  </si>
  <si>
    <r>
      <t xml:space="preserve">MÅLSØGNING: Timerne i celle "k57" viser de timer der er tilbage til de opgaver der listes herunder og som ikke tæller 60 klokketimer.  Kan skolen ikke bruge disse timer eller dem alle, kan man med fordel bruge funktionen "målsøgning" . Med målsøgning kan skolen selv vælge de timer der skal stå ved at ændre på den anattes beskæftigelsesgrad. </t>
    </r>
    <r>
      <rPr>
        <b/>
        <sz val="12"/>
        <color theme="0"/>
        <rFont val="Calibri"/>
        <family val="2"/>
        <scheme val="minor"/>
      </rPr>
      <t>Det er dog vigtigt at bemærke at man ikke uden en aftale ændrer på den ansattes beskæftigelsesgrad</t>
    </r>
    <r>
      <rPr>
        <sz val="12"/>
        <color theme="0"/>
        <rFont val="Calibri"/>
        <family val="2"/>
        <scheme val="minor"/>
      </rPr>
      <t xml:space="preserve">. Sådan udføres målsøgning: Stå på cellen "K57" og klik på menuen 'Funktioner' og vælg 'Målsøgning', eller vælg 'Data' i båndet og klik på "Hvad-hvis" eller "what/if". I angiv celle skal der stå: "K57". Til værdi skal der stå det timetal der ønskes (evt. nul). Ved ændring af celle - Klikkes her i celle "E18" i fanen stamoplysninger. På denne måde tilpasses beskæftigelsesgraden den ønskede værdi.  </t>
    </r>
  </si>
  <si>
    <t>Celle E17. Planlægges der for et helt skoleår skal der her stå "Ja". Planlægges der for en del af et skoleår skal der stå "nej"</t>
  </si>
  <si>
    <t>Celle I28 viser det antal skoledage læreren skal undervise. Dagene representerer skemadage, fagdage, emnedage, ekskursionsdage og lejrskoledage. Normalt undervises der 200 skoledage. Hvis ikke der står 200 dage, skal der kunne svares på hvorfor. Det kan være at læreren ikke har en 5 dages arbejdsuge eller at lærerne har en pædagogisk dag på en hverdag, hvor forældrene overtager undervisningen.</t>
  </si>
  <si>
    <t>Efter at fanerne "skemaoplysninger" og månedskalenderne er udfyldte har vi styr på arbejdstiden til undervisning, elevpausetid, opgaver der placeres senere på året, fagdage, emnedage, undervisningsdage, lejrskoledage, 17-06 timer mm. Det eneste vi nu mangler at redegøre for er den tid der er til øvrige opgaver. Altså de opgaver vi ikke allerede har planlagt. List de opgaver der fylder mere en 60 klokketimer på et skoleår og estimer tiden dertil. Se til om det timetal der er tilbage til opgaver under 60 klokketimer i celle K57 stemmer med de opgaver der listes herunder. Vurderes det at timerne stemmer med opgaverne er arbejdstidsplanlægningen færdig. Er der få få timer skal der fjernes opgaver eller beskæftigelsesgraden skal sættes op. Er der for mange timer skal der tillægges opgaver/timer.</t>
  </si>
  <si>
    <t>K32 viser hvor mange timer der er til øvrige opgaver der tæller mere end 60 klokketimer og til opgaver der tæller mindre end 60 klokketimer. Check at der her er timer nok til de opgaver skolen oplyser tid til og også til opgaver hvor skolen ikke oplyser tid til.</t>
  </si>
  <si>
    <t>K57 viser hvor mange timer der er til opgaver der tæller mindre end 60 klokketimer. Står der her et tal i plus skal skolen nedenfor anføre opgaver svarende til timetallet. Står der et tal i minus, har skolen givet for mange opgaver ovenfor og skal derfor fjerne opgaver tilsvarende. Det kan også være at man istedet skal tilbyde den ansatte en forhøjet beskæftigelsesgrad der passer til opgaverne arbejdstiden.</t>
  </si>
  <si>
    <r>
      <t xml:space="preserve">Skema 1-4: </t>
    </r>
    <r>
      <rPr>
        <sz val="14"/>
        <color theme="4" tint="-0.499984740745262"/>
        <rFont val="Calibri"/>
        <family val="2"/>
        <scheme val="minor"/>
      </rPr>
      <t xml:space="preserve">I denne fane udfyldes skoleskema med lektioner og elevpausetid samt nederst i skemaet opgaver der planlægges i særlige måneder. Start med i celle C9/skema 1 at oplyse tidspunktet for skoleskemaets start. Fra række 16 til række 34 vælges antal minutter skemaets moduler varer. Et modul kan være en lektion, elevpausetid eller evt. hultime. I skema 1 vælges i kolonne D, F, H, J og L om der planlægges med en lektion (L) hvor der er tilknyttet undervisningstillæg  eller om der planlægges med elevpausetid (E) - den tid der ligger imellem to lektioner, og hvor skolen ikke kan forvente læreren udfører opgaver listet i fanen "opgaver". Elevpausetid er typisk tilsynstid, pause eller måske gårdvagt. Efter valget af enten "L" for lektion eller "E" for elevpausetid beskrives lektionen/elevpaustiden i kolonne E, G, I, K eller M. </t>
    </r>
    <r>
      <rPr>
        <b/>
        <sz val="14"/>
        <color theme="4" tint="-0.499984740745262"/>
        <rFont val="Calibri"/>
        <family val="2"/>
        <scheme val="minor"/>
      </rPr>
      <t xml:space="preserve">BEMÆRK AT SKEMET FØRST TÆLLER UNDERVISNINGSTIMER ELLER ELEVPAUSE TID NÅR DER ER VALGT ANTAL MINUTTER, "L" FOR LEKTION ELLER "E" FOR ELEVPAUSETID OG ANGIVET EN TEKST DER BESKRIVER MODULET. </t>
    </r>
    <r>
      <rPr>
        <sz val="14"/>
        <color theme="4" tint="-0.499984740745262"/>
        <rFont val="Calibri"/>
        <family val="2"/>
        <scheme val="minor"/>
      </rPr>
      <t xml:space="preserve">Har skolen brug for at der planlægges med "hultimer" er det også muligt. Skemaet tæller lige beskrevet så snart der er valgt antal minutter pr. modul, om det er en lektion (L) eller elevpausetid (E) samt en tekst der beskriver lektionen eller elevpausetiden. En hultime vælges derfor med antal minutter men uden valg af lektion eller elevpausetid Vælges lektion farves lektionsfeltet grønt. Vælges elevpausetid farves elevpausefeltet lys-gult. </t>
    </r>
    <r>
      <rPr>
        <b/>
        <sz val="14"/>
        <color theme="4" tint="-0.499984740745262"/>
        <rFont val="Calibri"/>
        <family val="2"/>
        <scheme val="minor"/>
      </rPr>
      <t>Det er muligt at skemalægge 4 forskellige skemaperioder for en normperiode.</t>
    </r>
  </si>
  <si>
    <t>Tast her skoleskema med lektioner og tid til elevpauser, varighed, fag mm. Start med at udfylde celle "C14" - Skriv her startstidspunkt for skoledagens start. Er startstidspunktet kl. 8.00 skrives 08:00. Oplys derefter antal minutter hver lektion, pause/tilsyn varer. Eksempel: 45 min = 0:45 - 1 time = 1:00 - 1 time og 10 min. = 1:10. VIGTIGT: BRUG KOLON OG IKKE PUNKTUM</t>
  </si>
  <si>
    <t>Tast her skoleskema med lektioner og tid til elevpauser, varighed, fag mm. Start med at udfylde celle "Q14" - Skriv her startstidspunkt for skoledagens start. Er startstidspunktet kl. 8.00 skrives 08:00. Oplys derefter antal minutter hver lektion, pause/tilsyn varer. Eksempel: 45 min = 0:45 - 1 time = 1:00 - 1 time og 10 min. = 1:10. VIGTIGT: BRUG KOLON OG IKKE PUNKTUM</t>
  </si>
  <si>
    <t>Tast her skoleskema med lektioner og tid til elevpauser, varighed, fag mm. Start med at udfylde celle "AE14" - Skriv her startstidspunkt for skoledagens start. Er startstidspunktet kl. 8.00 skrives 08:00. Oplys derefter antal minutter hver lektion, pause/tilsyn varer. Eksempel: 45 min = 0:45 - 1 time = 1:00 - 1 time og 10 min. = 1:10. VIGTIGT: BRUG KOLON OG IKKE PUNKTUM</t>
  </si>
  <si>
    <t>Tast her skoleskema med lektioner og tid til elevpauser, varighed, fag mm. Start med at udfylde celle "AS14" - Skriv her startstidspunkt for skoledagens start. Er startstidspunktet kl. 8.00 skrives 08:00. Oplys derefter antal minutter hver lektion, pause/tilsyn varer. Eksempel: 45 min = 0:45 - 1 time = 1:00 - 1 time og 10 min. = 1:10. VIGTIGT: BRUG KOLON OG IKKE PUNKTUM</t>
  </si>
  <si>
    <t xml:space="preserve">Tiden i række D112 viser om normperiodens timetal går op, om der er planlagt med for mange timer eller med for få timer. Ønskes timetallet her ændret kan skolen med fordel anvende "målsøgning". Stå på cellen "D112" og klik på menuen 'Funktioner' og vælg 'Målsøgning', eller vælg 'Data' i båndet og klik på 'Målsøgning' i ikonet 'Hvad-hvis'. Cellen der skal ændres vælges - værdien sættes til nul og man beder om ændring på det valgte. </t>
  </si>
  <si>
    <r>
      <rPr>
        <b/>
        <sz val="14"/>
        <color theme="4" tint="-0.499984740745262"/>
        <rFont val="Calibri"/>
        <family val="2"/>
        <scheme val="minor"/>
      </rPr>
      <t>Skema 1</t>
    </r>
    <r>
      <rPr>
        <sz val="14"/>
        <color theme="4" tint="-0.499984740745262"/>
        <rFont val="Calibri"/>
        <family val="2"/>
        <scheme val="minor"/>
      </rPr>
      <t xml:space="preserve"> beregner normperiodens samlede arbejdstid og hvordan norperiodens arbejdsdage fordeler sig. Hvis der planlægges for et helt skoleår, og læreren er på arbejde alle ugens 5 mulige arbejdsdage skal der oftes tælles 200 undervisningsdage i række 28.</t>
    </r>
  </si>
  <si>
    <r>
      <t xml:space="preserve">Skema 2 </t>
    </r>
    <r>
      <rPr>
        <sz val="14"/>
        <color theme="4" tint="-0.499984740745262"/>
        <rFont val="Calibri"/>
        <family val="2"/>
        <scheme val="minor"/>
      </rPr>
      <t>viser hvordan arbejdstiden i normperioden fordeler sig, og hvor mange timer skolen skal planlægge på undervisningsdage (række 41). I række 48 beregnes en gennemsnitlig arbejdsdags længde der evt. kan bruges til at rammesætte arbejdstiden på skemadage i skema 3.</t>
    </r>
  </si>
  <si>
    <r>
      <rPr>
        <b/>
        <sz val="14"/>
        <color theme="4" tint="-0.499984740745262"/>
        <rFont val="Calibri"/>
        <family val="2"/>
        <scheme val="minor"/>
      </rPr>
      <t xml:space="preserve">Skema 3 </t>
    </r>
    <r>
      <rPr>
        <sz val="14"/>
        <color theme="4" tint="-0.499984740745262"/>
        <rFont val="Calibri"/>
        <family val="2"/>
        <scheme val="minor"/>
      </rPr>
      <t>Tiden der er tilbage til skemadage (udregnet i skema 2), skal nu fordeles på skemadagene i skema 3. Skolen skal sørge for at bruge alt arbejdstiden hvorfor tallet i række 112 skal gå så meget i "nul" som muligt. Der må aldrig planlægges med flere timer end den ansatte er ansat til, derfor må række 112 ikke give et positivt tal. Få timer i undertid er ok.</t>
    </r>
  </si>
  <si>
    <t>I fanen "stamoplysninger" oplyses der i celle "E17" at der ikke længere er tale om et helt skoleår. Vælg "nej". Denne ændring skal ske, da arbejdstiden for en periode på mindre end et helt skoleår planlægges og opgøres med antal mulige arbejdsdage * 7,4 timer * beskæftigelsesgraden, og ikke ud fra 1924 timer der kun gælder for et helt skoleår.</t>
  </si>
  <si>
    <t>Er der opgaver der er planlagt senere på året i særlig måneder, og opgaven/månederne ikke skal tælle med i opgørelsen af delnormperioden skal timerne fjernes. Dette dog kun hvis det er dele af måneder der er ikke relevante. Hvis hele måneder er ikke relevante fjerne værktøjet selv timerne. Check derfor i fanen "skemaoplysninger" om der er planlagt opgaver senere på året der ikke skal tælle med i denne opgørelse og slet timerne. Dette checkes og ændres fra række 51-95..</t>
  </si>
  <si>
    <t>I række 63 aflæses hvorvidt den ansatte har arbejdet flere timer end normperioden indeholdte. Er tallet postivt har den ansatte arbejdet mere end normperioden indeholdte og skal udbetales eller afspadseres.</t>
  </si>
  <si>
    <t xml:space="preserve">Arbejdstidsoversigten er en oversigt over hvordan den ansattes arbejdstid fordeler sig på pædagogiske dage, fagdage, emnedage, lejrture mm. Timerne her er summen af timer oplyst i de 12 månedskalendere. Fanen viser også hvor mange timer der er tilbage som skolen skal planlægge læreren til at arbejde på helt almindelige skemadage. i celle J41 er angivet resttimerne der ikke er planlagt til pædagogiske dage, fagdage, emnedage, lejrture osv, og som skolen på skemadage skal planlægge. En gennemsnitlig skemadags længde kan aflæses i celle I48. Fordel resttiden på skemadagene fra række 77 og ned, og check i celle D112 at timerne den ansatte er ansat og aflønnet efter nu også er planlagt. Hvis der står et tal i minus, skal der tildeles mere arbejdstid enten i kalenderne eller på undervisningsdagene i fanen "arbejdstidsoversigt". Står der et tal i plus, er der planlagt med for mange timer, og der skal fjernes timer enten i kalenderne eller på undervisningsdagene i fanen "arbejdstidsoversigt". </t>
  </si>
  <si>
    <r>
      <t xml:space="preserve">Normperioden </t>
    </r>
    <r>
      <rPr>
        <sz val="14"/>
        <color theme="4" tint="-0.499984740745262"/>
        <rFont val="Calibri"/>
        <family val="2"/>
        <scheme val="minor"/>
      </rPr>
      <t>planlægges nu med hvilke dage perioden indeholder. I kolonne C vælges dagene med piletasten. Ud over dage, planlægges arbejde på hverdage imellem kl. 17-06, weekenddage mm. I de hvide kolonner - kolonne I, J og ved ændringer også kolonne S, T og U, skal der evt. sættes et "X". BEMÆRK: Det er vigtigt at der i kolonne K, L, M, R, V, W og X kun tastes hvis felterne er gule. Er felterne ikke gule tælles timerne ikke med. Ovenover hver kolonne i række 10, er en beskrivelse af cellen. Når alle måneder er planlagt udfyldes fanen "arbejdstidsoversigt". Arbejdstidsoversigt beregner arbejdstiden for undervisningsdage. Arbejdstiden for undervisningsdage/skema 1-4 i kalenderne er derfor ikke udfyldt før skema 3 i fanen "arbejdstidsoversigt" er.</t>
    </r>
  </si>
  <si>
    <t>Arbejdstid eks. lørdage og søndage</t>
  </si>
  <si>
    <t>2026-2027</t>
  </si>
  <si>
    <t>Kr. himmelfarsdag</t>
  </si>
  <si>
    <t>Påskesøndag</t>
  </si>
  <si>
    <t>Vigtige datoer til kalenderen i forbindelse med opstart efter sommerferien.</t>
  </si>
  <si>
    <t>Mvh</t>
  </si>
  <si>
    <t>Beate Simonsen</t>
  </si>
  <si>
    <t>Forberedelsestimer til almindelige skematimer:</t>
  </si>
  <si>
    <t>Tilsyn</t>
  </si>
  <si>
    <t>Pædagogiske dage</t>
  </si>
  <si>
    <t>Fagdage/emnedage</t>
  </si>
  <si>
    <t>Lejrskoledage</t>
  </si>
  <si>
    <t>dage</t>
  </si>
  <si>
    <t>Julebazar</t>
  </si>
  <si>
    <t>Andre vigtige informationer vedr. denne normperiode:</t>
  </si>
  <si>
    <t>Din arbejdstid er fordelt på følgende dage:</t>
  </si>
  <si>
    <t>Opgaver:</t>
  </si>
  <si>
    <t>Sammen med denne oversigt finder du:</t>
  </si>
  <si>
    <t>Arbejdstimerne for ovennævnte dage kan aflæses i normperiodens månedskemaer. Her kan også aflæses den daglige undervisingstid, elevpausetid og tid til øvrige opgaver. De øvrige opgaver der skal løses inden for denne tid er listet i "opgavelisten" samt kort beskrevet herunder.</t>
  </si>
  <si>
    <t>Øvrige opgaver er listet i "opgavelisten" der følger dette brev.</t>
  </si>
  <si>
    <t>Har du opklarende spørgsmål er du som altid velkommen til at kontakte mig.</t>
  </si>
  <si>
    <t>Jeg ser frem til det kommende skoleår.</t>
  </si>
  <si>
    <t>*Skoleskema</t>
  </si>
  <si>
    <t>*Kalender for første og andet halvår i skoleåret</t>
  </si>
  <si>
    <t>*Opgaveoversigt</t>
  </si>
  <si>
    <t>*Månedskalender med arrangementer, møder og planlagte aktiviteter i skoleåret</t>
  </si>
  <si>
    <t>Værktøjet lever desuden op til lov om arbejdstidsregistrering, hvor de planlagte arbejdstimer pr. dag er registreret på forhånd og hvor det er muligt at registrere evt. fravigelser.</t>
  </si>
  <si>
    <r>
      <rPr>
        <b/>
        <sz val="12"/>
        <color theme="4" tint="-0.499984740745262"/>
        <rFont val="Arial"/>
        <family val="2"/>
      </rPr>
      <t xml:space="preserve"> TIL PRINT: Bilag, m</t>
    </r>
    <r>
      <rPr>
        <sz val="12"/>
        <color theme="1"/>
        <rFont val="Arial"/>
        <family val="2"/>
      </rPr>
      <t>ånedskalenderne august - juli, opgaver, skema 1-4 og opgørelse er til print og udlevering til læreren.</t>
    </r>
  </si>
  <si>
    <t>De særlige feriedage optjenes i et kalenderår og afvikles i det kommende ferieår maj-april (året efter). Der optjenes 0,42 dag pr. måneds ansættelse. Er man ansat under statens ferieaftale og været ansat hele optjeningsåret(2025), har man derfor ret til at afvikle 5 særlige feriedage til afvikling i ferieåret efter(1. maj 2026 - 30. april 2027). Den enkelte medarbejder kan selv bestemme, på hvilke af de i forvejen planlagte arbejdsdage man ønsker at afholde sine særlige feriedage, dog skal det være foreneligt med tjenesten og varsles i god tid. Har medarbejderen ikke afviklet eller planlagt de særlige feriedage ved årsskiftet d. 1. januar 2027, har ledelsen retten til at planlægge dagene med 30 dages varsel, således de er afviklet når ferieåret slutter d. 30. april 2027. Særlige feriedage der ikke er afviklet d. 30. april, skal udbetales eller aftales(skriftligt) til overførsel til det kommende ferieår. En evt. aftale om overførsels af særlige feriedage til et nyt ferieår skal være skriftlig aftalt senest d. 30. april 2027.</t>
  </si>
  <si>
    <r>
      <rPr>
        <b/>
        <sz val="12"/>
        <color theme="3"/>
        <rFont val="Arial"/>
        <family val="2"/>
      </rPr>
      <t>NYT BILAG</t>
    </r>
    <r>
      <rPr>
        <sz val="12"/>
        <color theme="3"/>
        <rFont val="Arial"/>
        <family val="2"/>
      </rPr>
      <t xml:space="preserve">
Som en hjælp til at forstå arbejdstidens planlægning, er der udarbejdet et følgebrev, der kan gives til den enkelte lærer sammen med diverse skemaer. Flere oplysninger i følgebrevet hentes automatisk. Dette være medarbejderens navn, beskæftigelsesgrad, normtimetal, oversigt over dage og væsentligste opgaver.
Tilsidst i følgebrevet kan skolen oplyse egne vigtige dage eller beskeder i forbindelse med normperioden. Det kan være pædagogiske dage i forbindelse med skolestart og lign.
Ønsker skolen at gøre brug af følgebrevet, opfordres skolen til at tænket bilaget med i "Masterplanlægningen", så skolens egne oplysninger der vedrører alle går igen.</t>
    </r>
  </si>
  <si>
    <t>Følgebrev</t>
  </si>
  <si>
    <t xml:space="preserve">
Som en hjælp til at forstå arbejdstidens planlægning, er der udarbejdet et følgebrev, der kan gives til den enkelte lærer sammen med diverse skemaer. Flere oplysninger i følgebrevet hentes automatisk. Dette være medarbejderens navn, beskæftigelsesgrad, normtimetal, oversigt over dage og væsentligste opgaver.
Tilsidst i følgebrevet kan skolen oplyse egne vigtige dage eller beskeder i forbindelse med normperioden. Det kan være pædagogiske dage i forbindelse med skolestart og lign.
Ønsker skolen at gøre brug af følgebrevet, opfordres skolen til at tænket bilaget med i "Masterplanlægningen", så skolens egne oplysninger der vedrører alle går igen.</t>
  </si>
  <si>
    <t>OK26</t>
  </si>
  <si>
    <t>Dette arbejdstidsplanlægningsværktøj er udarbejdet efter A21 arbejdstidsregler. Vi tager forbehold for at hvis der i OK26 aftales ændringer vedr. OK21, er disse ikke med i dette værktøj.</t>
  </si>
  <si>
    <t>Krea</t>
  </si>
  <si>
    <t>Samfundsfag</t>
  </si>
  <si>
    <t>Tværfaglig</t>
  </si>
  <si>
    <t>Skolehjem</t>
  </si>
  <si>
    <t>Naturfaglig uge</t>
  </si>
  <si>
    <t xml:space="preserve">Naturfaglig uge og fremvisning </t>
  </si>
  <si>
    <t>dansk</t>
  </si>
  <si>
    <t>Juleklippedag</t>
  </si>
  <si>
    <t>Juleafslutning</t>
  </si>
  <si>
    <t>Julehygge med lucia</t>
  </si>
  <si>
    <t>Musicaluge</t>
  </si>
  <si>
    <t>Skolefest</t>
  </si>
  <si>
    <t>Fastelavn</t>
  </si>
  <si>
    <t>Matematik i skoven</t>
  </si>
  <si>
    <t>Gymnastikopvisning i hallen</t>
  </si>
  <si>
    <t>Planlægning af det kommende skoleår</t>
  </si>
  <si>
    <t>Skolen i skoven</t>
  </si>
  <si>
    <t>Sdiste skoledag</t>
  </si>
  <si>
    <t>afslutning</t>
  </si>
  <si>
    <t>Afslutning af året</t>
  </si>
  <si>
    <t>Forberedleser til næste skoleår</t>
  </si>
  <si>
    <t>Lærermøde</t>
  </si>
  <si>
    <t>Forældresamarbejde</t>
  </si>
  <si>
    <t>Tirsdage kl 14.30-16.00 er der tilstedeværelsestid på skolen. Tiden kan bruges til teammøder mm.</t>
  </si>
  <si>
    <t>Torsdage kl 14.30-16.30 afholdes der en gang om mdr. lærermøder. De andre torsdage er der tilstedeværelse på skolen. Tiden kan bruges til faglig sparing og andet.</t>
  </si>
  <si>
    <t>D. 6. og 7. august har vi pædagogiske dage på skolen.</t>
  </si>
  <si>
    <t>D. 28. og 29. juni slutter vi skoleåret af med pædagogiske dage.</t>
  </si>
  <si>
    <t>D. 5. - 6. marts mødes vi hvor vi planlægger det kommende skoleår.</t>
  </si>
  <si>
    <t>Første skoledag er d. 11. august.</t>
  </si>
  <si>
    <t>Skolelederen xx</t>
  </si>
  <si>
    <t>Årskalender for Min egen skole 2026-2027</t>
  </si>
  <si>
    <t>Forbereder os til det kommende skoleår 9-15</t>
  </si>
  <si>
    <t>Første skoledag 8-15 (elever 9-13)</t>
  </si>
  <si>
    <t>Bornholm afsted kl 08:00</t>
  </si>
  <si>
    <t xml:space="preserve">Bornholm  </t>
  </si>
  <si>
    <t>Bornholm - Forventet hjemkomst kl. 19:00</t>
  </si>
  <si>
    <t>01.08.26</t>
  </si>
  <si>
    <t>31.07.27</t>
  </si>
  <si>
    <t>MS og fortælling</t>
  </si>
  <si>
    <t>MS</t>
  </si>
  <si>
    <t>Gårdvagt</t>
  </si>
  <si>
    <t>Vikartimepulje</t>
  </si>
  <si>
    <t>Fredag d. 16. april</t>
  </si>
  <si>
    <t>Morgensamling 10 gange i skoleåret</t>
  </si>
  <si>
    <t>andet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</si>
</sst>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3" formatCode="_-* #,##0.00_-;\-* #,##0.00_-;_-* &quot;-&quot;??_-;_-@_-"/>
    <numFmt numFmtId="164" formatCode="_-* #,##0.00\ _k_r_-;\-* #,##0.00\ _k_r_-;_-* &quot;-&quot;??\ _k_r_-;_-@_-"/>
    <numFmt numFmtId="165" formatCode="0.0000"/>
    <numFmt numFmtId="166" formatCode="hh:mm;@"/>
    <numFmt numFmtId="167" formatCode="mm"/>
    <numFmt numFmtId="168" formatCode="_-&quot;kr.&quot;* #,##0_-;\-&quot;kr.&quot;* #,##0_-;_-&quot;kr.&quot;* &quot;-&quot;_-;_-@_-"/>
    <numFmt numFmtId="169" formatCode="_-&quot;kr.&quot;* #,##0.00_-;\-&quot;kr.&quot;* #,##0.00_-;_-&quot;kr.&quot;* &quot;-&quot;??_-;_-@_-"/>
    <numFmt numFmtId="170" formatCode="#,##0.0"/>
    <numFmt numFmtId="171" formatCode="#,##0.0000"/>
    <numFmt numFmtId="172" formatCode="#,##0.00&quot;kr.&quot;;\-#,##0.00&quot;kr.&quot;"/>
    <numFmt numFmtId="173" formatCode="0.0%"/>
    <numFmt numFmtId="174" formatCode="000\-000"/>
    <numFmt numFmtId="175" formatCode="dd:mm:yyyy;@"/>
    <numFmt numFmtId="176" formatCode=";;;"/>
    <numFmt numFmtId="177" formatCode="[$-F400]h:mm:ss\ AM/PM"/>
  </numFmts>
  <fonts count="165">
    <font>
      <sz val="12"/>
      <color theme="1"/>
      <name val="Calibri"/>
      <family val="2"/>
      <scheme val="minor"/>
    </font>
    <font>
      <sz val="11"/>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20"/>
      <color theme="1"/>
      <name val="Calibri"/>
      <family val="2"/>
      <scheme val="minor"/>
    </font>
    <font>
      <b/>
      <sz val="12"/>
      <color theme="1"/>
      <name val="Calibri"/>
      <family val="2"/>
      <scheme val="minor"/>
    </font>
    <font>
      <b/>
      <sz val="16"/>
      <color theme="1"/>
      <name val="Calibri"/>
      <family val="2"/>
      <scheme val="minor"/>
    </font>
    <font>
      <sz val="16"/>
      <color theme="1"/>
      <name val="Calibri"/>
      <family val="2"/>
      <scheme val="minor"/>
    </font>
    <font>
      <sz val="11"/>
      <color theme="1"/>
      <name val="Calibri"/>
      <family val="2"/>
      <scheme val="minor"/>
    </font>
    <font>
      <b/>
      <i/>
      <sz val="18"/>
      <color theme="1"/>
      <name val="Calibri"/>
      <family val="2"/>
      <scheme val="minor"/>
    </font>
    <font>
      <sz val="22"/>
      <color theme="1"/>
      <name val="Calibri"/>
      <family val="2"/>
      <scheme val="minor"/>
    </font>
    <font>
      <sz val="10"/>
      <color theme="1"/>
      <name val="Calibri"/>
      <family val="2"/>
      <scheme val="minor"/>
    </font>
    <font>
      <sz val="12"/>
      <color rgb="FF000000"/>
      <name val="Calibri"/>
      <family val="2"/>
      <scheme val="minor"/>
    </font>
    <font>
      <sz val="24"/>
      <color theme="1"/>
      <name val="Calibri"/>
      <family val="2"/>
      <scheme val="minor"/>
    </font>
    <font>
      <b/>
      <sz val="14"/>
      <color theme="1"/>
      <name val="Calibri"/>
      <family val="2"/>
      <scheme val="minor"/>
    </font>
    <font>
      <sz val="12"/>
      <color theme="0"/>
      <name val="Calibri"/>
      <family val="2"/>
      <scheme val="minor"/>
    </font>
    <font>
      <sz val="12"/>
      <color rgb="FFFF0000"/>
      <name val="Calibri"/>
      <family val="2"/>
      <scheme val="minor"/>
    </font>
    <font>
      <sz val="10"/>
      <color theme="1"/>
      <name val="Calibri"/>
      <family val="2"/>
    </font>
    <font>
      <i/>
      <sz val="12"/>
      <color theme="1"/>
      <name val="Calibri"/>
      <family val="2"/>
      <scheme val="minor"/>
    </font>
    <font>
      <i/>
      <sz val="10"/>
      <color theme="1"/>
      <name val="Calibri"/>
      <family val="2"/>
      <scheme val="minor"/>
    </font>
    <font>
      <sz val="10"/>
      <name val="Arial"/>
      <family val="2"/>
    </font>
    <font>
      <b/>
      <sz val="24"/>
      <name val="Arial"/>
      <family val="2"/>
    </font>
    <font>
      <sz val="12"/>
      <name val="Helvetica"/>
      <family val="2"/>
    </font>
    <font>
      <sz val="16"/>
      <name val="Helvetica"/>
      <family val="2"/>
    </font>
    <font>
      <b/>
      <sz val="14"/>
      <name val="Helvetica"/>
      <family val="2"/>
    </font>
    <font>
      <b/>
      <sz val="16"/>
      <name val="Helvetica"/>
      <family val="2"/>
    </font>
    <font>
      <sz val="9"/>
      <name val="Helvetica"/>
      <family val="2"/>
    </font>
    <font>
      <sz val="36"/>
      <name val="Helvetica"/>
      <family val="2"/>
    </font>
    <font>
      <b/>
      <sz val="18"/>
      <name val="Helvetica"/>
      <family val="2"/>
    </font>
    <font>
      <sz val="18"/>
      <name val="Helvetica"/>
      <family val="2"/>
    </font>
    <font>
      <sz val="8"/>
      <name val="Arial"/>
      <family val="2"/>
    </font>
    <font>
      <i/>
      <sz val="9"/>
      <name val="Helvetica"/>
      <family val="2"/>
    </font>
    <font>
      <i/>
      <sz val="10"/>
      <name val="Arial"/>
      <family val="2"/>
    </font>
    <font>
      <i/>
      <sz val="8"/>
      <name val="Arial"/>
      <family val="2"/>
    </font>
    <font>
      <sz val="14"/>
      <name val="Helvetica"/>
      <family val="2"/>
    </font>
    <font>
      <sz val="12"/>
      <name val="Arial"/>
      <family val="2"/>
    </font>
    <font>
      <sz val="12"/>
      <name val="Chicago"/>
    </font>
    <font>
      <sz val="10"/>
      <name val="Courier"/>
      <family val="1"/>
    </font>
    <font>
      <u/>
      <sz val="10"/>
      <color indexed="36"/>
      <name val="Arial"/>
      <family val="2"/>
    </font>
    <font>
      <sz val="10"/>
      <name val="Helvetica"/>
      <family val="2"/>
    </font>
    <font>
      <sz val="12"/>
      <name val="Calibri"/>
      <family val="2"/>
      <scheme val="minor"/>
    </font>
    <font>
      <b/>
      <sz val="10"/>
      <name val="Arial"/>
      <family val="2"/>
    </font>
    <font>
      <b/>
      <sz val="12"/>
      <name val="Arial"/>
      <family val="2"/>
    </font>
    <font>
      <b/>
      <sz val="12"/>
      <name val="Helvetica"/>
      <family val="2"/>
    </font>
    <font>
      <sz val="12"/>
      <color indexed="10"/>
      <name val="Arial"/>
      <family val="2"/>
    </font>
    <font>
      <i/>
      <sz val="14"/>
      <name val="Helvetica"/>
      <family val="2"/>
    </font>
    <font>
      <b/>
      <i/>
      <sz val="14"/>
      <name val="Helvetica"/>
      <family val="2"/>
    </font>
    <font>
      <sz val="8"/>
      <name val="Helvetica"/>
      <family val="2"/>
    </font>
    <font>
      <sz val="9"/>
      <name val="Arial"/>
      <family val="2"/>
    </font>
    <font>
      <sz val="10"/>
      <color indexed="12"/>
      <name val="Arial"/>
      <family val="2"/>
    </font>
    <font>
      <b/>
      <sz val="10"/>
      <name val="Helvetica"/>
      <family val="2"/>
    </font>
    <font>
      <sz val="11"/>
      <name val="Arial"/>
      <family val="2"/>
    </font>
    <font>
      <sz val="14"/>
      <name val="Arial"/>
      <family val="2"/>
    </font>
    <font>
      <b/>
      <sz val="14"/>
      <name val="Arial"/>
      <family val="2"/>
    </font>
    <font>
      <sz val="24"/>
      <name val="Arial"/>
      <family val="2"/>
    </font>
    <font>
      <i/>
      <sz val="16"/>
      <name val="Helvetica"/>
      <family val="2"/>
    </font>
    <font>
      <i/>
      <sz val="16"/>
      <color theme="1"/>
      <name val="Helvetica"/>
      <family val="2"/>
    </font>
    <font>
      <i/>
      <sz val="20"/>
      <name val="Helvetica"/>
      <family val="2"/>
    </font>
    <font>
      <i/>
      <sz val="9"/>
      <color theme="0"/>
      <name val="Helvetica"/>
      <family val="2"/>
    </font>
    <font>
      <sz val="10"/>
      <color theme="1"/>
      <name val="Arial"/>
      <family val="2"/>
    </font>
    <font>
      <sz val="12"/>
      <color theme="1"/>
      <name val="Arial"/>
      <family val="2"/>
    </font>
    <font>
      <b/>
      <sz val="12"/>
      <color theme="1"/>
      <name val="Arial"/>
      <family val="2"/>
    </font>
    <font>
      <sz val="12"/>
      <color theme="0"/>
      <name val="Helvetica"/>
      <family val="2"/>
    </font>
    <font>
      <sz val="10"/>
      <color theme="0"/>
      <name val="Arial"/>
      <family val="2"/>
    </font>
    <font>
      <b/>
      <sz val="10"/>
      <color theme="0"/>
      <name val="Arial"/>
      <family val="2"/>
    </font>
    <font>
      <i/>
      <sz val="14"/>
      <color theme="0"/>
      <name val="Helvetica"/>
      <family val="2"/>
    </font>
    <font>
      <sz val="12"/>
      <color theme="0"/>
      <name val="Arial"/>
      <family val="2"/>
    </font>
    <font>
      <i/>
      <sz val="14"/>
      <color rgb="FF000000"/>
      <name val="Helvetica"/>
      <family val="2"/>
    </font>
    <font>
      <i/>
      <sz val="14"/>
      <color rgb="FFFFFFFF"/>
      <name val="Helvetica"/>
      <family val="2"/>
    </font>
    <font>
      <sz val="14"/>
      <color theme="1"/>
      <name val="Calibri"/>
      <family val="2"/>
      <scheme val="minor"/>
    </font>
    <font>
      <b/>
      <sz val="12"/>
      <color theme="0"/>
      <name val="Arial"/>
      <family val="2"/>
    </font>
    <font>
      <i/>
      <sz val="8"/>
      <name val="Helvetica"/>
      <family val="2"/>
    </font>
    <font>
      <b/>
      <i/>
      <sz val="12"/>
      <color theme="1"/>
      <name val="Arial"/>
      <family val="2"/>
    </font>
    <font>
      <i/>
      <sz val="12"/>
      <color theme="1"/>
      <name val="Arial"/>
      <family val="2"/>
    </font>
    <font>
      <b/>
      <sz val="12"/>
      <color theme="0"/>
      <name val="Calibri"/>
      <family val="2"/>
      <scheme val="minor"/>
    </font>
    <font>
      <b/>
      <sz val="10"/>
      <color theme="1"/>
      <name val="Arial"/>
      <family val="2"/>
    </font>
    <font>
      <sz val="12"/>
      <color theme="1"/>
      <name val="Calibri (Tekst)"/>
    </font>
    <font>
      <sz val="10"/>
      <color rgb="FFFF0000"/>
      <name val="Arial"/>
      <family val="2"/>
    </font>
    <font>
      <sz val="20"/>
      <name val="Arial"/>
      <family val="2"/>
    </font>
    <font>
      <sz val="16"/>
      <name val="Arial"/>
      <family val="2"/>
    </font>
    <font>
      <sz val="20"/>
      <color theme="0"/>
      <name val="Arial"/>
      <family val="2"/>
    </font>
    <font>
      <sz val="14"/>
      <color rgb="FFFF0000"/>
      <name val="Calibri"/>
      <family val="2"/>
      <scheme val="minor"/>
    </font>
    <font>
      <b/>
      <sz val="12"/>
      <color theme="0"/>
      <name val="Calibri (Tekst)"/>
    </font>
    <font>
      <b/>
      <sz val="14"/>
      <color theme="0"/>
      <name val="Calibri"/>
      <family val="2"/>
      <scheme val="minor"/>
    </font>
    <font>
      <b/>
      <sz val="14"/>
      <color theme="0"/>
      <name val="Calibri (Tekst)"/>
    </font>
    <font>
      <sz val="24"/>
      <color theme="0"/>
      <name val="Calibri"/>
      <family val="2"/>
      <scheme val="minor"/>
    </font>
    <font>
      <sz val="14"/>
      <color theme="0"/>
      <name val="Calibri"/>
      <family val="2"/>
      <scheme val="minor"/>
    </font>
    <font>
      <sz val="20"/>
      <color theme="0"/>
      <name val="Calibri"/>
      <family val="2"/>
      <scheme val="minor"/>
    </font>
    <font>
      <sz val="20"/>
      <name val="Helvetica"/>
      <family val="2"/>
    </font>
    <font>
      <sz val="12"/>
      <color rgb="FFFF0000"/>
      <name val="Arial"/>
      <family val="2"/>
    </font>
    <font>
      <sz val="48"/>
      <color theme="0"/>
      <name val="Calibri"/>
      <family val="2"/>
      <scheme val="minor"/>
    </font>
    <font>
      <b/>
      <sz val="14"/>
      <color theme="4" tint="-0.499984740745262"/>
      <name val="Calibri"/>
      <family val="2"/>
      <scheme val="minor"/>
    </font>
    <font>
      <b/>
      <sz val="12"/>
      <color theme="0"/>
      <name val="Helvetica"/>
      <family val="2"/>
    </font>
    <font>
      <sz val="14"/>
      <color theme="4" tint="-0.499984740745262"/>
      <name val="Calibri"/>
      <family val="2"/>
      <scheme val="minor"/>
    </font>
    <font>
      <b/>
      <sz val="16"/>
      <color theme="4" tint="-0.499984740745262"/>
      <name val="Calibri"/>
      <family val="2"/>
      <scheme val="minor"/>
    </font>
    <font>
      <b/>
      <sz val="24"/>
      <color theme="0"/>
      <name val="Calibri"/>
      <family val="2"/>
      <scheme val="minor"/>
    </font>
    <font>
      <sz val="10"/>
      <color theme="0"/>
      <name val="Helvetica"/>
      <family val="2"/>
    </font>
    <font>
      <sz val="36"/>
      <color theme="0"/>
      <name val="Calibri"/>
      <family val="2"/>
      <scheme val="minor"/>
    </font>
    <font>
      <sz val="28"/>
      <color theme="0"/>
      <name val="Calibri"/>
      <family val="2"/>
      <scheme val="minor"/>
    </font>
    <font>
      <b/>
      <sz val="12"/>
      <color theme="4" tint="-0.499984740745262"/>
      <name val="Arial"/>
      <family val="2"/>
    </font>
    <font>
      <b/>
      <sz val="14"/>
      <color theme="4" tint="-0.499984740745262"/>
      <name val="Calibri (Tekst)"/>
    </font>
    <font>
      <b/>
      <sz val="18"/>
      <color theme="4" tint="-0.499984740745262"/>
      <name val="Helvetica"/>
      <family val="2"/>
    </font>
    <font>
      <i/>
      <sz val="14"/>
      <color theme="4" tint="-0.499984740745262"/>
      <name val="Helvetica"/>
      <family val="2"/>
    </font>
    <font>
      <sz val="16"/>
      <color theme="0"/>
      <name val="Calibri"/>
      <family val="2"/>
      <scheme val="minor"/>
    </font>
    <font>
      <sz val="12"/>
      <color theme="0"/>
      <name val="Calibri (Tekst)"/>
    </font>
    <font>
      <b/>
      <sz val="10"/>
      <color rgb="FFFF0000"/>
      <name val="Arial"/>
      <family val="2"/>
    </font>
    <font>
      <sz val="16"/>
      <color theme="4" tint="-0.499984740745262"/>
      <name val="Calibri"/>
      <family val="2"/>
      <scheme val="minor"/>
    </font>
    <font>
      <b/>
      <sz val="18"/>
      <color theme="0"/>
      <name val="Calibri"/>
      <family val="2"/>
      <scheme val="minor"/>
    </font>
    <font>
      <b/>
      <sz val="10"/>
      <color theme="7" tint="-0.249977111117893"/>
      <name val="Arial"/>
      <family val="2"/>
    </font>
    <font>
      <b/>
      <sz val="10"/>
      <color rgb="FFFF2F82"/>
      <name val="Arial"/>
      <family val="2"/>
    </font>
    <font>
      <b/>
      <sz val="10"/>
      <color rgb="FF00B050"/>
      <name val="Arial"/>
      <family val="2"/>
    </font>
    <font>
      <b/>
      <sz val="10"/>
      <color theme="5" tint="-0.249977111117893"/>
      <name val="Arial"/>
      <family val="2"/>
    </font>
    <font>
      <b/>
      <sz val="10"/>
      <color theme="4" tint="-0.499984740745262"/>
      <name val="Arial"/>
      <family val="2"/>
    </font>
    <font>
      <sz val="10"/>
      <color theme="4" tint="-0.499984740745262"/>
      <name val="Arial"/>
      <family val="2"/>
    </font>
    <font>
      <sz val="10"/>
      <color theme="4" tint="-0.499984740745262"/>
      <name val="Helvetica"/>
      <family val="2"/>
    </font>
    <font>
      <sz val="12"/>
      <color theme="4" tint="-0.499984740745262"/>
      <name val="Calibri"/>
      <family val="2"/>
      <scheme val="minor"/>
    </font>
    <font>
      <sz val="9"/>
      <color theme="4" tint="-0.499984740745262"/>
      <name val="Arial"/>
      <family val="2"/>
    </font>
    <font>
      <sz val="9"/>
      <color theme="4" tint="-0.499984740745262"/>
      <name val="Helvetica"/>
      <family val="2"/>
    </font>
    <font>
      <sz val="10"/>
      <color rgb="FF000000"/>
      <name val="Tahoma"/>
      <family val="2"/>
    </font>
    <font>
      <b/>
      <sz val="10"/>
      <color rgb="FF000000"/>
      <name val="Tahoma"/>
      <family val="2"/>
    </font>
    <font>
      <sz val="20"/>
      <color theme="1"/>
      <name val="Arial"/>
      <family val="2"/>
    </font>
    <font>
      <sz val="10"/>
      <color rgb="FF000000"/>
      <name val="Arial"/>
      <family val="2"/>
    </font>
    <font>
      <sz val="10"/>
      <color rgb="FFFFFFFF"/>
      <name val="Arial"/>
      <family val="2"/>
    </font>
    <font>
      <b/>
      <sz val="10"/>
      <color rgb="FF000000"/>
      <name val="Arial"/>
      <family val="2"/>
    </font>
    <font>
      <b/>
      <sz val="20"/>
      <color theme="4" tint="-0.499984740745262"/>
      <name val="Calibri"/>
      <family val="2"/>
      <scheme val="minor"/>
    </font>
    <font>
      <b/>
      <sz val="18"/>
      <color theme="4" tint="-0.499984740745262"/>
      <name val="Calibri"/>
      <family val="2"/>
      <scheme val="minor"/>
    </font>
    <font>
      <b/>
      <sz val="10"/>
      <color rgb="FF000000"/>
      <name val="Calibri"/>
      <family val="2"/>
    </font>
    <font>
      <sz val="10"/>
      <color rgb="FF000000"/>
      <name val="Calibri"/>
      <family val="2"/>
    </font>
    <font>
      <sz val="9"/>
      <color theme="0"/>
      <name val="Helvetica"/>
      <family val="2"/>
    </font>
    <font>
      <b/>
      <sz val="18"/>
      <color theme="1"/>
      <name val="Calibri"/>
      <family val="2"/>
      <scheme val="minor"/>
    </font>
    <font>
      <b/>
      <sz val="12"/>
      <color theme="3" tint="-0.249977111117893"/>
      <name val="Arial"/>
      <family val="2"/>
    </font>
    <font>
      <sz val="12"/>
      <color rgb="FFC00000"/>
      <name val="Calibri"/>
      <family val="2"/>
      <scheme val="minor"/>
    </font>
    <font>
      <b/>
      <sz val="18"/>
      <color theme="3" tint="-0.249977111117893"/>
      <name val="Calibri"/>
      <family val="2"/>
      <scheme val="minor"/>
    </font>
    <font>
      <b/>
      <sz val="14"/>
      <color theme="3" tint="-0.249977111117893"/>
      <name val="Calibri"/>
      <family val="2"/>
      <scheme val="minor"/>
    </font>
    <font>
      <b/>
      <sz val="12"/>
      <color theme="3" tint="-0.249977111117893"/>
      <name val="Calibri"/>
      <family val="2"/>
      <scheme val="minor"/>
    </font>
    <font>
      <b/>
      <sz val="12"/>
      <color rgb="FF16365C"/>
      <name val="Calibri"/>
      <family val="2"/>
      <scheme val="minor"/>
    </font>
    <font>
      <b/>
      <sz val="12"/>
      <color theme="1"/>
      <name val="Calibri (Tekst)"/>
    </font>
    <font>
      <sz val="8"/>
      <color theme="4" tint="-0.499984740745262"/>
      <name val="Arial"/>
      <family val="2"/>
    </font>
    <font>
      <sz val="12"/>
      <color theme="4" tint="-0.499984740745262"/>
      <name val="Arial"/>
      <family val="2"/>
    </font>
    <font>
      <sz val="8"/>
      <color rgb="FFC00000"/>
      <name val="Calibri"/>
      <family val="2"/>
      <scheme val="minor"/>
    </font>
    <font>
      <b/>
      <sz val="10"/>
      <color theme="3"/>
      <name val="Arial"/>
      <family val="2"/>
    </font>
    <font>
      <b/>
      <sz val="10"/>
      <color rgb="FFC00000"/>
      <name val="Arial"/>
      <family val="2"/>
    </font>
    <font>
      <sz val="11"/>
      <color rgb="FFC00000"/>
      <name val="Calibri"/>
      <family val="2"/>
      <scheme val="minor"/>
    </font>
    <font>
      <sz val="18"/>
      <name val="Arial"/>
      <family val="2"/>
    </font>
    <font>
      <b/>
      <sz val="12"/>
      <color theme="4" tint="-0.499984740745262"/>
      <name val="Calibri"/>
      <family val="2"/>
      <scheme val="minor"/>
    </font>
    <font>
      <sz val="22"/>
      <color rgb="FFFF0000"/>
      <name val="Calibri (Tekst)"/>
    </font>
    <font>
      <sz val="12"/>
      <color rgb="FFFF0000"/>
      <name val="Calibri (Tekst)"/>
    </font>
    <font>
      <sz val="48"/>
      <color rgb="FFFF0000"/>
      <name val="Calibri (Tekst)"/>
    </font>
    <font>
      <sz val="20"/>
      <color rgb="FFFF0000"/>
      <name val="Calibri (Tekst)"/>
    </font>
    <font>
      <sz val="14"/>
      <color rgb="FFFF0000"/>
      <name val="Calibri (Tekst)"/>
    </font>
    <font>
      <sz val="10"/>
      <color rgb="FFFF0000"/>
      <name val="Calibri (Tekst)"/>
    </font>
    <font>
      <sz val="7"/>
      <color theme="1"/>
      <name val="Calibri"/>
      <family val="2"/>
      <scheme val="minor"/>
    </font>
    <font>
      <sz val="10"/>
      <color rgb="FF00B050"/>
      <name val="Calibri (Tekst)"/>
    </font>
    <font>
      <b/>
      <sz val="18"/>
      <color rgb="FF000000"/>
      <name val="Calibri"/>
      <family val="2"/>
    </font>
    <font>
      <sz val="18"/>
      <color rgb="FF000000"/>
      <name val="Calibri"/>
      <family val="2"/>
    </font>
    <font>
      <sz val="12"/>
      <color theme="9" tint="0.79998168889431442"/>
      <name val="Calibri"/>
      <family val="2"/>
      <scheme val="minor"/>
    </font>
    <font>
      <sz val="9.5"/>
      <name val="Arial"/>
      <family val="2"/>
    </font>
    <font>
      <b/>
      <u/>
      <sz val="16"/>
      <color theme="4" tint="-0.499984740745262"/>
      <name val="Calibri"/>
      <family val="2"/>
      <scheme val="minor"/>
    </font>
    <font>
      <b/>
      <u/>
      <sz val="12"/>
      <color theme="4" tint="-0.499984740745262"/>
      <name val="Calibri"/>
      <family val="2"/>
      <scheme val="minor"/>
    </font>
    <font>
      <b/>
      <u/>
      <sz val="14"/>
      <color theme="4" tint="-0.499984740745262"/>
      <name val="Calibri"/>
      <family val="2"/>
      <scheme val="minor"/>
    </font>
    <font>
      <b/>
      <u/>
      <sz val="14"/>
      <color theme="4" tint="-0.499984740745262"/>
      <name val="Calibri (Tekst)"/>
    </font>
    <font>
      <sz val="12"/>
      <color theme="3"/>
      <name val="Arial"/>
      <family val="2"/>
    </font>
    <font>
      <b/>
      <sz val="12"/>
      <color theme="3"/>
      <name val="Arial"/>
      <family val="2"/>
    </font>
  </fonts>
  <fills count="5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EFB4B"/>
        <bgColor indexed="64"/>
      </patternFill>
    </fill>
    <fill>
      <patternFill patternType="solid">
        <fgColor theme="0" tint="-0.249977111117893"/>
        <bgColor indexed="64"/>
      </patternFill>
    </fill>
    <fill>
      <patternFill patternType="gray125">
        <bgColor theme="0" tint="-0.14999847407452621"/>
      </patternFill>
    </fill>
    <fill>
      <patternFill patternType="gray125">
        <bgColor theme="0" tint="-4.9989318521683403E-2"/>
      </patternFill>
    </fill>
    <fill>
      <patternFill patternType="solid">
        <fgColor indexed="42"/>
        <bgColor indexed="64"/>
      </patternFill>
    </fill>
    <fill>
      <patternFill patternType="gray0625"/>
    </fill>
    <fill>
      <patternFill patternType="lightGray"/>
    </fill>
    <fill>
      <patternFill patternType="gray125">
        <bgColor theme="0"/>
      </patternFill>
    </fill>
    <fill>
      <patternFill patternType="solid">
        <fgColor rgb="FFFF2F82"/>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theme="1"/>
        <bgColor indexed="64"/>
      </patternFill>
    </fill>
    <fill>
      <patternFill patternType="solid">
        <fgColor auto="1"/>
        <bgColor indexed="64"/>
      </patternFill>
    </fill>
    <fill>
      <patternFill patternType="solid">
        <fgColor theme="1"/>
        <bgColor rgb="FF000000"/>
      </patternFill>
    </fill>
    <fill>
      <patternFill patternType="solid">
        <fgColor rgb="FFC4D79B"/>
        <bgColor rgb="FF000000"/>
      </patternFill>
    </fill>
    <fill>
      <patternFill patternType="solid">
        <fgColor rgb="FF000000"/>
        <bgColor rgb="FF000000"/>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3"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6" tint="-0.249977111117893"/>
        <bgColor rgb="FF000000"/>
      </patternFill>
    </fill>
    <fill>
      <patternFill patternType="solid">
        <fgColor theme="6" tint="-0.249977111117893"/>
        <bgColor indexed="64"/>
      </patternFill>
    </fill>
    <fill>
      <patternFill patternType="solid">
        <fgColor rgb="FFD9D9D9"/>
        <bgColor rgb="FF000000"/>
      </patternFill>
    </fill>
    <fill>
      <patternFill patternType="solid">
        <fgColor rgb="FFDCE6F1"/>
        <bgColor rgb="FF000000"/>
      </patternFill>
    </fill>
    <fill>
      <patternFill patternType="solid">
        <fgColor rgb="FFB8CCE4"/>
        <bgColor rgb="FF000000"/>
      </patternFill>
    </fill>
    <fill>
      <patternFill patternType="solid">
        <fgColor rgb="FF95B3D7"/>
        <bgColor rgb="FF000000"/>
      </patternFill>
    </fill>
    <fill>
      <patternFill patternType="solid">
        <fgColor rgb="FF366092"/>
        <bgColor rgb="FF000000"/>
      </patternFill>
    </fill>
    <fill>
      <patternFill patternType="solid">
        <fgColor rgb="FFFFFFFF"/>
        <bgColor rgb="FF000000"/>
      </patternFill>
    </fill>
    <fill>
      <patternFill patternType="solid">
        <fgColor rgb="FF244062"/>
        <bgColor rgb="FF000000"/>
      </patternFill>
    </fill>
    <fill>
      <patternFill patternType="solid">
        <fgColor theme="2"/>
        <bgColor indexed="64"/>
      </patternFill>
    </fill>
    <fill>
      <patternFill patternType="solid">
        <fgColor rgb="FFF6FF78"/>
        <bgColor indexed="64"/>
      </patternFill>
    </fill>
    <fill>
      <patternFill patternType="solid">
        <fgColor theme="4"/>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rgb="FFFF0000"/>
        <bgColor indexed="64"/>
      </patternFill>
    </fill>
    <fill>
      <patternFill patternType="solid">
        <fgColor rgb="FFFFC000"/>
        <bgColor indexed="64"/>
      </patternFill>
    </fill>
    <fill>
      <patternFill patternType="solid">
        <fgColor theme="2" tint="-9.9978637043366805E-2"/>
        <bgColor indexed="64"/>
      </patternFill>
    </fill>
  </fills>
  <borders count="9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right/>
      <top style="thin">
        <color auto="1"/>
      </top>
      <bottom/>
      <diagonal/>
    </border>
    <border>
      <left style="medium">
        <color auto="1"/>
      </left>
      <right/>
      <top style="medium">
        <color auto="1"/>
      </top>
      <bottom style="thin">
        <color auto="1"/>
      </bottom>
      <diagonal/>
    </border>
    <border>
      <left style="thin">
        <color auto="1"/>
      </left>
      <right style="thin">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thin">
        <color auto="1"/>
      </bottom>
      <diagonal/>
    </border>
    <border>
      <left/>
      <right/>
      <top/>
      <bottom style="thin">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top/>
      <bottom/>
      <diagonal/>
    </border>
    <border>
      <left style="thin">
        <color auto="1"/>
      </left>
      <right/>
      <top/>
      <bottom style="thin">
        <color auto="1"/>
      </bottom>
      <diagonal/>
    </border>
    <border>
      <left style="thin">
        <color auto="1"/>
      </left>
      <right style="thin">
        <color auto="1"/>
      </right>
      <top/>
      <bottom/>
      <diagonal/>
    </border>
    <border>
      <left style="medium">
        <color auto="1"/>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medium">
        <color auto="1"/>
      </bottom>
      <diagonal/>
    </border>
    <border>
      <left/>
      <right style="thin">
        <color auto="1"/>
      </right>
      <top/>
      <bottom/>
      <diagonal/>
    </border>
    <border>
      <left/>
      <right style="thin">
        <color rgb="FF000000"/>
      </right>
      <top style="thin">
        <color auto="1"/>
      </top>
      <bottom style="thin">
        <color auto="1"/>
      </bottom>
      <diagonal/>
    </border>
    <border>
      <left/>
      <right style="thin">
        <color auto="1"/>
      </right>
      <top/>
      <bottom style="hair">
        <color auto="1"/>
      </bottom>
      <diagonal/>
    </border>
    <border>
      <left/>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style="medium">
        <color auto="1"/>
      </right>
      <top style="medium">
        <color auto="1"/>
      </top>
      <bottom style="thin">
        <color auto="1"/>
      </bottom>
      <diagonal/>
    </border>
    <border>
      <left style="medium">
        <color auto="1"/>
      </left>
      <right/>
      <top style="thin">
        <color auto="1"/>
      </top>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right style="hair">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top style="medium">
        <color auto="1"/>
      </top>
      <bottom/>
      <diagonal/>
    </border>
    <border>
      <left/>
      <right style="thin">
        <color auto="1"/>
      </right>
      <top style="medium">
        <color auto="1"/>
      </top>
      <bottom/>
      <diagonal/>
    </border>
    <border>
      <left style="medium">
        <color auto="1"/>
      </left>
      <right/>
      <top/>
      <bottom style="thin">
        <color auto="1"/>
      </bottom>
      <diagonal/>
    </border>
    <border>
      <left style="thin">
        <color auto="1"/>
      </left>
      <right style="medium">
        <color auto="1"/>
      </right>
      <top/>
      <bottom/>
      <diagonal/>
    </border>
    <border>
      <left style="thin">
        <color auto="1"/>
      </left>
      <right style="medium">
        <color auto="1"/>
      </right>
      <top style="thin">
        <color auto="1"/>
      </top>
      <bottom/>
      <diagonal/>
    </border>
    <border>
      <left/>
      <right style="medium">
        <color auto="1"/>
      </right>
      <top style="medium">
        <color auto="1"/>
      </top>
      <bottom/>
      <diagonal/>
    </border>
    <border>
      <left style="medium">
        <color auto="1"/>
      </left>
      <right style="thin">
        <color auto="1"/>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top style="hair">
        <color auto="1"/>
      </top>
      <bottom style="thin">
        <color auto="1"/>
      </bottom>
      <diagonal/>
    </border>
    <border>
      <left/>
      <right style="thin">
        <color auto="1"/>
      </right>
      <top style="thin">
        <color auto="1"/>
      </top>
      <bottom style="hair">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medium">
        <color auto="1"/>
      </right>
      <top/>
      <bottom style="thin">
        <color auto="1"/>
      </bottom>
      <diagonal/>
    </border>
    <border>
      <left/>
      <right style="medium">
        <color auto="1"/>
      </right>
      <top/>
      <bottom style="medium">
        <color auto="1"/>
      </bottom>
      <diagonal/>
    </border>
    <border>
      <left/>
      <right style="medium">
        <color auto="1"/>
      </right>
      <top style="thin">
        <color auto="1"/>
      </top>
      <bottom/>
      <diagonal/>
    </border>
    <border>
      <left/>
      <right style="medium">
        <color auto="1"/>
      </right>
      <top/>
      <bottom/>
      <diagonal/>
    </border>
    <border>
      <left style="medium">
        <color auto="1"/>
      </left>
      <right style="thin">
        <color auto="1"/>
      </right>
      <top style="thin">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top style="medium">
        <color indexed="64"/>
      </top>
      <bottom style="medium">
        <color indexed="64"/>
      </bottom>
      <diagonal/>
    </border>
    <border>
      <left style="thin">
        <color auto="1"/>
      </left>
      <right/>
      <top/>
      <bottom style="medium">
        <color auto="1"/>
      </bottom>
      <diagonal/>
    </border>
    <border>
      <left style="medium">
        <color indexed="64"/>
      </left>
      <right style="medium">
        <color indexed="64"/>
      </right>
      <top style="medium">
        <color indexed="64"/>
      </top>
      <bottom/>
      <diagonal/>
    </border>
    <border>
      <left style="medium">
        <color auto="1"/>
      </left>
      <right style="medium">
        <color auto="1"/>
      </right>
      <top/>
      <bottom/>
      <diagonal/>
    </border>
    <border>
      <left style="medium">
        <color indexed="64"/>
      </left>
      <right style="medium">
        <color auto="1"/>
      </right>
      <top style="thin">
        <color auto="1"/>
      </top>
      <bottom style="thin">
        <color auto="1"/>
      </bottom>
      <diagonal/>
    </border>
    <border>
      <left style="medium">
        <color indexed="64"/>
      </left>
      <right style="medium">
        <color auto="1"/>
      </right>
      <top style="thin">
        <color auto="1"/>
      </top>
      <bottom style="medium">
        <color indexed="64"/>
      </bottom>
      <diagonal/>
    </border>
    <border>
      <left/>
      <right style="thin">
        <color auto="1"/>
      </right>
      <top/>
      <bottom style="medium">
        <color auto="1"/>
      </bottom>
      <diagonal/>
    </border>
    <border>
      <left style="medium">
        <color indexed="64"/>
      </left>
      <right style="medium">
        <color indexed="64"/>
      </right>
      <top/>
      <bottom style="medium">
        <color indexed="64"/>
      </bottom>
      <diagonal/>
    </border>
    <border>
      <left/>
      <right style="medium">
        <color rgb="FF000000"/>
      </right>
      <top style="thin">
        <color indexed="64"/>
      </top>
      <bottom style="thin">
        <color indexed="64"/>
      </bottom>
      <diagonal/>
    </border>
    <border>
      <left/>
      <right style="thin">
        <color rgb="FF000000"/>
      </right>
      <top style="thin">
        <color auto="1"/>
      </top>
      <bottom style="medium">
        <color indexed="64"/>
      </bottom>
      <diagonal/>
    </border>
    <border>
      <left style="thin">
        <color rgb="FF000000"/>
      </left>
      <right/>
      <top style="thin">
        <color auto="1"/>
      </top>
      <bottom style="medium">
        <color indexed="64"/>
      </bottom>
      <diagonal/>
    </border>
    <border>
      <left style="thin">
        <color auto="1"/>
      </left>
      <right/>
      <top style="hair">
        <color auto="1"/>
      </top>
      <bottom style="hair">
        <color auto="1"/>
      </bottom>
      <diagonal/>
    </border>
    <border>
      <left style="thin">
        <color auto="1"/>
      </left>
      <right style="thin">
        <color auto="1"/>
      </right>
      <top/>
      <bottom style="medium">
        <color auto="1"/>
      </bottom>
      <diagonal/>
    </border>
    <border>
      <left style="medium">
        <color indexed="64"/>
      </left>
      <right style="medium">
        <color indexed="64"/>
      </right>
      <top style="medium">
        <color indexed="64"/>
      </top>
      <bottom style="medium">
        <color indexed="64"/>
      </bottom>
      <diagonal/>
    </border>
    <border>
      <left style="thin">
        <color auto="1"/>
      </left>
      <right style="medium">
        <color indexed="64"/>
      </right>
      <top style="medium">
        <color auto="1"/>
      </top>
      <bottom/>
      <diagonal/>
    </border>
  </borders>
  <cellStyleXfs count="540">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164" fontId="2"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22" fillId="0" borderId="0"/>
    <xf numFmtId="0" fontId="24" fillId="0" borderId="0"/>
    <xf numFmtId="0" fontId="28" fillId="0" borderId="0"/>
    <xf numFmtId="0" fontId="24" fillId="0" borderId="0" applyNumberFormat="0" applyFill="0" applyBorder="0" applyAlignment="0" applyProtection="0"/>
    <xf numFmtId="0" fontId="36" fillId="0" borderId="0" applyNumberFormat="0" applyFill="0" applyBorder="0" applyAlignment="0" applyProtection="0"/>
    <xf numFmtId="0" fontId="28" fillId="0" borderId="0" applyNumberFormat="0" applyFill="0" applyBorder="0" applyAlignment="0" applyProtection="0"/>
    <xf numFmtId="0" fontId="38" fillId="0" borderId="57" applyNumberFormat="0" applyFill="0" applyBorder="0" applyProtection="0">
      <alignment horizontal="center"/>
    </xf>
    <xf numFmtId="41" fontId="24" fillId="0" borderId="0" applyFont="0" applyFill="0" applyBorder="0" applyAlignment="0" applyProtection="0"/>
    <xf numFmtId="43" fontId="24" fillId="0" borderId="0" applyFont="0" applyFill="0" applyBorder="0" applyAlignment="0" applyProtection="0"/>
    <xf numFmtId="3" fontId="39" fillId="11" borderId="38" applyFill="0" applyBorder="0" applyAlignment="0">
      <alignment horizontal="center"/>
    </xf>
    <xf numFmtId="168" fontId="24" fillId="0" borderId="0" applyFont="0" applyFill="0" applyBorder="0" applyAlignment="0" applyProtection="0"/>
    <xf numFmtId="169" fontId="24" fillId="0" borderId="0" applyFont="0" applyFill="0" applyBorder="0" applyAlignment="0" applyProtection="0"/>
    <xf numFmtId="0" fontId="40" fillId="0" borderId="0" applyNumberFormat="0" applyFill="0" applyBorder="0" applyAlignment="0" applyProtection="0">
      <alignment vertical="top"/>
      <protection locked="0"/>
    </xf>
    <xf numFmtId="3" fontId="41" fillId="0" borderId="0" applyFont="0" applyFill="0" applyBorder="0" applyAlignment="0" applyProtection="0"/>
    <xf numFmtId="170" fontId="41" fillId="0" borderId="0" applyFont="0" applyFill="0" applyBorder="0" applyAlignment="0" applyProtection="0"/>
    <xf numFmtId="4" fontId="41" fillId="0" borderId="0" applyFont="0" applyFill="0" applyBorder="0" applyAlignment="0" applyProtection="0"/>
    <xf numFmtId="171" fontId="41" fillId="0" borderId="0" applyFont="0" applyFill="0" applyBorder="0" applyAlignment="0" applyProtection="0"/>
    <xf numFmtId="172" fontId="41" fillId="0" borderId="0" applyFont="0" applyFill="0" applyBorder="0" applyAlignment="0" applyProtection="0"/>
    <xf numFmtId="9" fontId="41" fillId="0" borderId="0" applyFont="0" applyFill="0" applyBorder="0" applyAlignment="0" applyProtection="0"/>
    <xf numFmtId="173" fontId="41" fillId="0" borderId="0" applyFont="0" applyFill="0" applyBorder="0" applyAlignment="0" applyProtection="0"/>
    <xf numFmtId="10" fontId="41" fillId="0" borderId="0" applyFont="0" applyFill="0" applyBorder="0" applyAlignment="0" applyProtection="0"/>
    <xf numFmtId="174" fontId="41" fillId="0" borderId="0" applyFont="0" applyFill="0" applyBorder="0" applyProtection="0">
      <alignment horizontal="center"/>
    </xf>
    <xf numFmtId="0" fontId="22" fillId="12" borderId="0" applyNumberFormat="0" applyFont="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7"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28" fillId="0" borderId="0" applyNumberFormat="0" applyFill="0" applyBorder="0" applyAlignment="0" applyProtection="0"/>
    <xf numFmtId="0" fontId="3" fillId="0" borderId="0" applyNumberFormat="0" applyFill="0" applyBorder="0" applyAlignment="0" applyProtection="0"/>
  </cellStyleXfs>
  <cellXfs count="1637">
    <xf numFmtId="0" fontId="0" fillId="0" borderId="0" xfId="0"/>
    <xf numFmtId="2" fontId="0" fillId="0" borderId="0" xfId="0" applyNumberFormat="1"/>
    <xf numFmtId="0" fontId="0" fillId="4" borderId="1" xfId="0" applyFill="1" applyBorder="1"/>
    <xf numFmtId="0" fontId="0" fillId="0" borderId="0" xfId="0" applyAlignment="1">
      <alignment horizontal="left" wrapText="1"/>
    </xf>
    <xf numFmtId="0" fontId="0" fillId="2" borderId="0" xfId="0" applyFill="1"/>
    <xf numFmtId="0" fontId="8" fillId="0" borderId="0" xfId="0" applyFont="1"/>
    <xf numFmtId="0" fontId="9" fillId="0" borderId="0" xfId="0" applyFont="1"/>
    <xf numFmtId="0" fontId="7" fillId="5" borderId="23" xfId="0" applyFont="1" applyFill="1" applyBorder="1"/>
    <xf numFmtId="0" fontId="7" fillId="5" borderId="24" xfId="0" applyFont="1" applyFill="1" applyBorder="1"/>
    <xf numFmtId="0" fontId="7" fillId="5" borderId="25" xfId="0" applyFont="1" applyFill="1" applyBorder="1"/>
    <xf numFmtId="0" fontId="7" fillId="4" borderId="20" xfId="0" applyFont="1" applyFill="1" applyBorder="1"/>
    <xf numFmtId="0" fontId="0" fillId="4" borderId="21" xfId="0" applyFill="1" applyBorder="1"/>
    <xf numFmtId="0" fontId="0" fillId="4" borderId="22" xfId="0" applyFill="1" applyBorder="1"/>
    <xf numFmtId="0" fontId="12" fillId="2" borderId="0" xfId="0" applyFont="1" applyFill="1" applyAlignment="1">
      <alignment horizontal="center" vertical="center"/>
    </xf>
    <xf numFmtId="0" fontId="0" fillId="2" borderId="26" xfId="0" applyFill="1" applyBorder="1" applyProtection="1">
      <protection locked="0"/>
    </xf>
    <xf numFmtId="0" fontId="0" fillId="2" borderId="12" xfId="0" applyFill="1" applyBorder="1" applyProtection="1">
      <protection locked="0"/>
    </xf>
    <xf numFmtId="0" fontId="0" fillId="2" borderId="9" xfId="0" applyFill="1" applyBorder="1" applyProtection="1">
      <protection locked="0"/>
    </xf>
    <xf numFmtId="0" fontId="0" fillId="2" borderId="1" xfId="0" applyFill="1" applyBorder="1" applyProtection="1">
      <protection locked="0"/>
    </xf>
    <xf numFmtId="0" fontId="0" fillId="2" borderId="18" xfId="0" applyFill="1" applyBorder="1" applyProtection="1">
      <protection locked="0"/>
    </xf>
    <xf numFmtId="0" fontId="0" fillId="2" borderId="14" xfId="0" applyFill="1" applyBorder="1" applyProtection="1">
      <protection locked="0"/>
    </xf>
    <xf numFmtId="0" fontId="0" fillId="2" borderId="15" xfId="0" applyFill="1" applyBorder="1" applyProtection="1">
      <protection locked="0"/>
    </xf>
    <xf numFmtId="0" fontId="0" fillId="2" borderId="16" xfId="0" applyFill="1" applyBorder="1" applyProtection="1">
      <protection locked="0"/>
    </xf>
    <xf numFmtId="0" fontId="0" fillId="2" borderId="17" xfId="0" applyFill="1" applyBorder="1" applyProtection="1">
      <protection locked="0"/>
    </xf>
    <xf numFmtId="0" fontId="0" fillId="2" borderId="30" xfId="0" applyFill="1" applyBorder="1" applyProtection="1">
      <protection locked="0"/>
    </xf>
    <xf numFmtId="0" fontId="0" fillId="5" borderId="1" xfId="0" applyFill="1" applyBorder="1" applyAlignment="1">
      <alignment horizontal="center"/>
    </xf>
    <xf numFmtId="0" fontId="0" fillId="5" borderId="1" xfId="0" applyFill="1" applyBorder="1"/>
    <xf numFmtId="2" fontId="0" fillId="5" borderId="1" xfId="0" applyNumberFormat="1" applyFill="1" applyBorder="1" applyAlignment="1">
      <alignment horizontal="center" wrapText="1"/>
    </xf>
    <xf numFmtId="2" fontId="0" fillId="5" borderId="1" xfId="0" applyNumberFormat="1" applyFill="1" applyBorder="1" applyAlignment="1">
      <alignment horizontal="center"/>
    </xf>
    <xf numFmtId="0" fontId="0" fillId="6" borderId="1" xfId="0" applyFill="1" applyBorder="1" applyAlignment="1">
      <alignment horizontal="center"/>
    </xf>
    <xf numFmtId="0" fontId="0" fillId="6" borderId="1" xfId="0" applyFill="1" applyBorder="1"/>
    <xf numFmtId="2" fontId="0" fillId="6" borderId="1" xfId="0" applyNumberFormat="1" applyFill="1" applyBorder="1" applyAlignment="1">
      <alignment horizontal="center"/>
    </xf>
    <xf numFmtId="0" fontId="0" fillId="5" borderId="1" xfId="0" applyFill="1" applyBorder="1" applyAlignment="1">
      <alignment horizontal="center" vertical="center"/>
    </xf>
    <xf numFmtId="1" fontId="0" fillId="5" borderId="1" xfId="0" applyNumberFormat="1" applyFill="1" applyBorder="1" applyAlignment="1">
      <alignment wrapText="1"/>
    </xf>
    <xf numFmtId="2" fontId="0" fillId="5" borderId="1" xfId="0" applyNumberFormat="1" applyFill="1" applyBorder="1" applyAlignment="1">
      <alignment horizontal="right" wrapText="1"/>
    </xf>
    <xf numFmtId="166" fontId="0" fillId="5" borderId="1" xfId="0" applyNumberFormat="1" applyFill="1" applyBorder="1" applyAlignment="1">
      <alignment horizontal="center"/>
    </xf>
    <xf numFmtId="166" fontId="0" fillId="4" borderId="1" xfId="0" applyNumberFormat="1" applyFill="1" applyBorder="1" applyAlignment="1">
      <alignment horizontal="center"/>
    </xf>
    <xf numFmtId="2" fontId="0" fillId="3" borderId="1" xfId="0" applyNumberFormat="1" applyFill="1" applyBorder="1" applyAlignment="1" applyProtection="1">
      <alignment horizontal="right" wrapText="1"/>
      <protection locked="0"/>
    </xf>
    <xf numFmtId="166" fontId="0" fillId="3" borderId="1" xfId="0" applyNumberFormat="1" applyFill="1" applyBorder="1" applyAlignment="1" applyProtection="1">
      <alignment horizontal="center" wrapText="1"/>
      <protection locked="0"/>
    </xf>
    <xf numFmtId="0" fontId="17" fillId="0" borderId="0" xfId="0" applyFont="1"/>
    <xf numFmtId="49" fontId="0" fillId="5" borderId="1" xfId="0" applyNumberFormat="1" applyFill="1" applyBorder="1" applyAlignment="1">
      <alignment horizontal="center" wrapText="1"/>
    </xf>
    <xf numFmtId="2" fontId="0" fillId="5" borderId="4" xfId="0" applyNumberFormat="1" applyFill="1" applyBorder="1" applyAlignment="1">
      <alignment horizontal="right"/>
    </xf>
    <xf numFmtId="0" fontId="0" fillId="5" borderId="9" xfId="0" applyFill="1" applyBorder="1" applyAlignment="1">
      <alignment horizontal="center" vertical="center" wrapText="1"/>
    </xf>
    <xf numFmtId="166" fontId="0" fillId="5" borderId="14" xfId="0" applyNumberFormat="1" applyFill="1" applyBorder="1"/>
    <xf numFmtId="166" fontId="0" fillId="5" borderId="17" xfId="0" applyNumberFormat="1" applyFill="1" applyBorder="1"/>
    <xf numFmtId="0" fontId="16" fillId="0" borderId="0" xfId="0" applyFont="1"/>
    <xf numFmtId="0" fontId="0" fillId="0" borderId="48" xfId="0" applyBorder="1"/>
    <xf numFmtId="0" fontId="7" fillId="0" borderId="0" xfId="0" applyFont="1"/>
    <xf numFmtId="0" fontId="0" fillId="0" borderId="49" xfId="0" applyBorder="1" applyAlignment="1">
      <alignment horizontal="center"/>
    </xf>
    <xf numFmtId="0" fontId="0" fillId="0" borderId="49" xfId="0" applyBorder="1"/>
    <xf numFmtId="164" fontId="0" fillId="3" borderId="1" xfId="343" applyFont="1" applyFill="1" applyBorder="1" applyProtection="1">
      <protection locked="0"/>
    </xf>
    <xf numFmtId="0" fontId="0" fillId="0" borderId="50" xfId="0" applyBorder="1" applyAlignment="1">
      <alignment horizontal="center"/>
    </xf>
    <xf numFmtId="0" fontId="0" fillId="0" borderId="50" xfId="0" applyBorder="1"/>
    <xf numFmtId="0" fontId="0" fillId="0" borderId="51" xfId="0" applyBorder="1"/>
    <xf numFmtId="0" fontId="7" fillId="0" borderId="5" xfId="0" applyFont="1" applyBorder="1"/>
    <xf numFmtId="164" fontId="7" fillId="0" borderId="1" xfId="343" applyFont="1" applyBorder="1"/>
    <xf numFmtId="164" fontId="0" fillId="0" borderId="1" xfId="343" applyFont="1" applyBorder="1"/>
    <xf numFmtId="164" fontId="0" fillId="0" borderId="0" xfId="343" applyFont="1"/>
    <xf numFmtId="0" fontId="0" fillId="5" borderId="14" xfId="0" applyFill="1" applyBorder="1" applyAlignment="1">
      <alignment horizontal="center" wrapText="1"/>
    </xf>
    <xf numFmtId="0" fontId="29" fillId="0" borderId="0" xfId="374" applyFont="1"/>
    <xf numFmtId="0" fontId="31" fillId="0" borderId="0" xfId="374" applyFont="1"/>
    <xf numFmtId="0" fontId="28" fillId="0" borderId="0" xfId="374"/>
    <xf numFmtId="0" fontId="22" fillId="10" borderId="55" xfId="372" applyFill="1" applyBorder="1" applyAlignment="1">
      <alignment horizontal="center"/>
    </xf>
    <xf numFmtId="0" fontId="22" fillId="0" borderId="2" xfId="372" applyBorder="1" applyAlignment="1">
      <alignment horizontal="center"/>
    </xf>
    <xf numFmtId="0" fontId="22" fillId="0" borderId="10" xfId="372" applyBorder="1" applyAlignment="1">
      <alignment horizontal="center"/>
    </xf>
    <xf numFmtId="0" fontId="22" fillId="0" borderId="10" xfId="372" applyBorder="1" applyProtection="1">
      <protection locked="0"/>
    </xf>
    <xf numFmtId="1" fontId="32" fillId="0" borderId="7" xfId="372" applyNumberFormat="1" applyFont="1" applyBorder="1" applyAlignment="1" applyProtection="1">
      <alignment horizontal="right" vertical="top" wrapText="1"/>
      <protection locked="0"/>
    </xf>
    <xf numFmtId="1" fontId="32" fillId="0" borderId="7" xfId="372" applyNumberFormat="1" applyFont="1" applyBorder="1" applyAlignment="1" applyProtection="1">
      <alignment vertical="top"/>
      <protection locked="0"/>
    </xf>
    <xf numFmtId="0" fontId="33" fillId="0" borderId="10" xfId="374" applyFont="1" applyBorder="1"/>
    <xf numFmtId="0" fontId="33" fillId="0" borderId="0" xfId="374" applyFont="1"/>
    <xf numFmtId="0" fontId="34" fillId="0" borderId="10" xfId="372" applyFont="1" applyBorder="1" applyAlignment="1">
      <alignment horizontal="center"/>
    </xf>
    <xf numFmtId="1" fontId="35" fillId="0" borderId="10" xfId="372" applyNumberFormat="1" applyFont="1" applyBorder="1" applyAlignment="1" applyProtection="1">
      <alignment vertical="top"/>
      <protection locked="0"/>
    </xf>
    <xf numFmtId="0" fontId="24" fillId="0" borderId="0" xfId="374" applyFont="1"/>
    <xf numFmtId="0" fontId="25" fillId="0" borderId="0" xfId="374" applyFont="1"/>
    <xf numFmtId="0" fontId="36" fillId="0" borderId="0" xfId="374" applyFont="1"/>
    <xf numFmtId="0" fontId="25" fillId="0" borderId="0" xfId="374" applyFont="1" applyAlignment="1">
      <alignment horizontal="left"/>
    </xf>
    <xf numFmtId="0" fontId="22" fillId="0" borderId="3" xfId="372" applyBorder="1" applyAlignment="1">
      <alignment horizontal="center"/>
    </xf>
    <xf numFmtId="0" fontId="22" fillId="0" borderId="0" xfId="372" applyAlignment="1">
      <alignment horizontal="center"/>
    </xf>
    <xf numFmtId="0" fontId="22" fillId="0" borderId="0" xfId="372" applyProtection="1">
      <protection locked="0"/>
    </xf>
    <xf numFmtId="1" fontId="32" fillId="0" borderId="46" xfId="372" applyNumberFormat="1" applyFont="1" applyBorder="1" applyAlignment="1" applyProtection="1">
      <alignment vertical="top"/>
      <protection locked="0"/>
    </xf>
    <xf numFmtId="175" fontId="0" fillId="2" borderId="4" xfId="0" applyNumberFormat="1" applyFill="1" applyBorder="1" applyAlignment="1">
      <alignment horizontal="center" wrapText="1"/>
    </xf>
    <xf numFmtId="175" fontId="0" fillId="2" borderId="1" xfId="0" applyNumberFormat="1" applyFill="1" applyBorder="1" applyAlignment="1">
      <alignment horizontal="center"/>
    </xf>
    <xf numFmtId="175" fontId="0" fillId="2" borderId="4" xfId="0" applyNumberFormat="1" applyFill="1" applyBorder="1" applyAlignment="1">
      <alignment horizontal="center"/>
    </xf>
    <xf numFmtId="2" fontId="42" fillId="2" borderId="21" xfId="0" applyNumberFormat="1" applyFont="1" applyFill="1" applyBorder="1" applyAlignment="1" applyProtection="1">
      <alignment horizontal="right" wrapText="1"/>
      <protection locked="0"/>
    </xf>
    <xf numFmtId="166" fontId="42" fillId="13" borderId="65" xfId="0" applyNumberFormat="1" applyFont="1" applyFill="1" applyBorder="1"/>
    <xf numFmtId="166" fontId="42" fillId="13" borderId="60" xfId="0" applyNumberFormat="1" applyFont="1" applyFill="1" applyBorder="1" applyProtection="1">
      <protection locked="0"/>
    </xf>
    <xf numFmtId="2" fontId="42" fillId="2" borderId="22" xfId="0" applyNumberFormat="1" applyFont="1" applyFill="1" applyBorder="1" applyAlignment="1" applyProtection="1">
      <alignment horizontal="right" wrapText="1"/>
      <protection locked="0"/>
    </xf>
    <xf numFmtId="0" fontId="24" fillId="0" borderId="0" xfId="505" applyFont="1"/>
    <xf numFmtId="0" fontId="22" fillId="0" borderId="0" xfId="372"/>
    <xf numFmtId="0" fontId="46" fillId="0" borderId="0" xfId="505" applyFont="1"/>
    <xf numFmtId="176" fontId="22" fillId="0" borderId="0" xfId="372" applyNumberFormat="1"/>
    <xf numFmtId="0" fontId="45" fillId="0" borderId="0" xfId="372" applyFont="1"/>
    <xf numFmtId="0" fontId="37" fillId="0" borderId="0" xfId="374" applyFont="1"/>
    <xf numFmtId="0" fontId="37" fillId="0" borderId="5" xfId="374" applyFont="1" applyBorder="1"/>
    <xf numFmtId="0" fontId="37" fillId="0" borderId="5" xfId="374" applyFont="1" applyBorder="1" applyAlignment="1">
      <alignment horizontal="right"/>
    </xf>
    <xf numFmtId="0" fontId="37" fillId="0" borderId="4" xfId="374" applyFont="1" applyBorder="1"/>
    <xf numFmtId="0" fontId="37" fillId="0" borderId="5" xfId="372" applyFont="1" applyBorder="1"/>
    <xf numFmtId="167" fontId="54" fillId="0" borderId="19" xfId="372" applyNumberFormat="1" applyFont="1" applyBorder="1" applyAlignment="1">
      <alignment horizontal="centerContinuous" vertical="top"/>
    </xf>
    <xf numFmtId="167" fontId="55" fillId="0" borderId="27" xfId="372" applyNumberFormat="1" applyFont="1" applyBorder="1" applyAlignment="1">
      <alignment horizontal="centerContinuous"/>
    </xf>
    <xf numFmtId="0" fontId="54" fillId="0" borderId="27" xfId="372" applyFont="1" applyBorder="1" applyAlignment="1">
      <alignment horizontal="centerContinuous"/>
    </xf>
    <xf numFmtId="0" fontId="55" fillId="0" borderId="34" xfId="372" applyFont="1" applyBorder="1" applyAlignment="1">
      <alignment horizontal="centerContinuous"/>
    </xf>
    <xf numFmtId="1" fontId="55" fillId="0" borderId="34" xfId="372" applyNumberFormat="1" applyFont="1" applyBorder="1" applyAlignment="1">
      <alignment horizontal="centerContinuous"/>
    </xf>
    <xf numFmtId="0" fontId="56" fillId="0" borderId="25" xfId="372" applyFont="1" applyBorder="1" applyAlignment="1">
      <alignment horizontal="centerContinuous" vertical="top"/>
    </xf>
    <xf numFmtId="0" fontId="23" fillId="0" borderId="24" xfId="372" applyFont="1" applyBorder="1" applyAlignment="1">
      <alignment horizontal="centerContinuous"/>
    </xf>
    <xf numFmtId="0" fontId="56" fillId="0" borderId="24" xfId="372" applyFont="1" applyBorder="1" applyAlignment="1">
      <alignment horizontal="centerContinuous"/>
    </xf>
    <xf numFmtId="0" fontId="56" fillId="0" borderId="24" xfId="372" applyFont="1" applyBorder="1" applyAlignment="1">
      <alignment horizontal="centerContinuous" vertical="top"/>
    </xf>
    <xf numFmtId="0" fontId="23" fillId="0" borderId="23" xfId="372" applyFont="1" applyBorder="1" applyAlignment="1">
      <alignment horizontal="centerContinuous"/>
    </xf>
    <xf numFmtId="1" fontId="35" fillId="0" borderId="0" xfId="372" applyNumberFormat="1" applyFont="1" applyAlignment="1" applyProtection="1">
      <alignment vertical="top"/>
      <protection locked="0"/>
    </xf>
    <xf numFmtId="0" fontId="34" fillId="0" borderId="0" xfId="372" applyFont="1" applyAlignment="1">
      <alignment horizontal="center"/>
    </xf>
    <xf numFmtId="0" fontId="22" fillId="0" borderId="71" xfId="372" applyBorder="1" applyProtection="1">
      <protection locked="0"/>
    </xf>
    <xf numFmtId="0" fontId="18" fillId="0" borderId="0" xfId="0" applyFont="1"/>
    <xf numFmtId="0" fontId="59" fillId="0" borderId="0" xfId="374" applyFont="1" applyAlignment="1">
      <alignment horizontal="center"/>
    </xf>
    <xf numFmtId="0" fontId="57" fillId="0" borderId="0" xfId="374" applyFont="1"/>
    <xf numFmtId="0" fontId="58" fillId="0" borderId="0" xfId="374" applyFont="1"/>
    <xf numFmtId="0" fontId="59" fillId="0" borderId="33" xfId="374" applyFont="1" applyBorder="1"/>
    <xf numFmtId="0" fontId="59" fillId="0" borderId="0" xfId="374" applyFont="1"/>
    <xf numFmtId="0" fontId="61" fillId="0" borderId="0" xfId="372" applyFont="1"/>
    <xf numFmtId="0" fontId="62" fillId="0" borderId="0" xfId="505" applyFont="1"/>
    <xf numFmtId="0" fontId="63" fillId="15" borderId="0" xfId="505" applyFont="1" applyFill="1"/>
    <xf numFmtId="0" fontId="64" fillId="0" borderId="0" xfId="505" applyFont="1" applyAlignment="1">
      <alignment horizontal="left"/>
    </xf>
    <xf numFmtId="0" fontId="64" fillId="0" borderId="0" xfId="505" applyFont="1"/>
    <xf numFmtId="0" fontId="65" fillId="0" borderId="0" xfId="372" applyFont="1"/>
    <xf numFmtId="0" fontId="22" fillId="0" borderId="74" xfId="372" applyBorder="1" applyProtection="1">
      <protection locked="0"/>
    </xf>
    <xf numFmtId="0" fontId="22" fillId="0" borderId="50" xfId="372" applyBorder="1" applyProtection="1">
      <protection locked="0"/>
    </xf>
    <xf numFmtId="1" fontId="50" fillId="10" borderId="55" xfId="372" applyNumberFormat="1" applyFont="1" applyFill="1" applyBorder="1" applyAlignment="1">
      <alignment horizontal="center"/>
    </xf>
    <xf numFmtId="1" fontId="50" fillId="10" borderId="7" xfId="372" applyNumberFormat="1" applyFont="1" applyFill="1" applyBorder="1" applyAlignment="1">
      <alignment horizontal="center"/>
    </xf>
    <xf numFmtId="0" fontId="22" fillId="0" borderId="5" xfId="372" applyBorder="1" applyAlignment="1">
      <alignment horizontal="center"/>
    </xf>
    <xf numFmtId="0" fontId="51" fillId="10" borderId="5" xfId="372" applyFont="1" applyFill="1" applyBorder="1" applyProtection="1">
      <protection locked="0"/>
    </xf>
    <xf numFmtId="1" fontId="49" fillId="10" borderId="6" xfId="372" applyNumberFormat="1" applyFont="1" applyFill="1" applyBorder="1" applyAlignment="1">
      <alignment horizontal="right" vertical="top" wrapText="1"/>
    </xf>
    <xf numFmtId="0" fontId="47" fillId="0" borderId="75" xfId="374" applyFont="1" applyBorder="1"/>
    <xf numFmtId="0" fontId="37" fillId="0" borderId="6" xfId="374" applyFont="1" applyBorder="1" applyAlignment="1">
      <alignment horizontal="right"/>
    </xf>
    <xf numFmtId="0" fontId="37" fillId="4" borderId="4" xfId="374" applyFont="1" applyFill="1" applyBorder="1"/>
    <xf numFmtId="0" fontId="37" fillId="4" borderId="5" xfId="374" applyFont="1" applyFill="1" applyBorder="1"/>
    <xf numFmtId="0" fontId="53" fillId="4" borderId="5" xfId="374" applyFont="1" applyFill="1" applyBorder="1" applyAlignment="1">
      <alignment horizontal="right"/>
    </xf>
    <xf numFmtId="0" fontId="37" fillId="4" borderId="6" xfId="374" applyFont="1" applyFill="1" applyBorder="1" applyAlignment="1">
      <alignment horizontal="right"/>
    </xf>
    <xf numFmtId="0" fontId="37" fillId="14" borderId="4" xfId="374" applyFont="1" applyFill="1" applyBorder="1"/>
    <xf numFmtId="0" fontId="37" fillId="14" borderId="5" xfId="374" applyFont="1" applyFill="1" applyBorder="1"/>
    <xf numFmtId="0" fontId="37" fillId="14" borderId="5" xfId="374" applyFont="1" applyFill="1" applyBorder="1" applyAlignment="1">
      <alignment horizontal="right"/>
    </xf>
    <xf numFmtId="0" fontId="37" fillId="14" borderId="6" xfId="374" applyFont="1" applyFill="1" applyBorder="1" applyAlignment="1">
      <alignment horizontal="right"/>
    </xf>
    <xf numFmtId="0" fontId="37" fillId="15" borderId="4" xfId="374" applyFont="1" applyFill="1" applyBorder="1"/>
    <xf numFmtId="0" fontId="37" fillId="15" borderId="5" xfId="374" applyFont="1" applyFill="1" applyBorder="1"/>
    <xf numFmtId="0" fontId="37" fillId="15" borderId="5" xfId="374" applyFont="1" applyFill="1" applyBorder="1" applyAlignment="1">
      <alignment horizontal="right"/>
    </xf>
    <xf numFmtId="0" fontId="37" fillId="15" borderId="6" xfId="374" applyFont="1" applyFill="1" applyBorder="1" applyAlignment="1">
      <alignment horizontal="right"/>
    </xf>
    <xf numFmtId="0" fontId="37" fillId="3" borderId="4" xfId="374" applyFont="1" applyFill="1" applyBorder="1"/>
    <xf numFmtId="0" fontId="37" fillId="3" borderId="5" xfId="374" applyFont="1" applyFill="1" applyBorder="1"/>
    <xf numFmtId="0" fontId="37" fillId="16" borderId="4" xfId="374" applyFont="1" applyFill="1" applyBorder="1"/>
    <xf numFmtId="0" fontId="37" fillId="16" borderId="5" xfId="374" applyFont="1" applyFill="1" applyBorder="1"/>
    <xf numFmtId="0" fontId="53" fillId="16" borderId="5" xfId="374" applyFont="1" applyFill="1" applyBorder="1" applyAlignment="1">
      <alignment horizontal="right"/>
    </xf>
    <xf numFmtId="0" fontId="37" fillId="3" borderId="5" xfId="374" applyFont="1" applyFill="1" applyBorder="1" applyAlignment="1">
      <alignment horizontal="right"/>
    </xf>
    <xf numFmtId="0" fontId="37" fillId="3" borderId="6" xfId="374" applyFont="1" applyFill="1" applyBorder="1"/>
    <xf numFmtId="0" fontId="37" fillId="21" borderId="4" xfId="374" applyFont="1" applyFill="1" applyBorder="1"/>
    <xf numFmtId="0" fontId="37" fillId="21" borderId="5" xfId="374" applyFont="1" applyFill="1" applyBorder="1"/>
    <xf numFmtId="0" fontId="37" fillId="21" borderId="5" xfId="374" applyFont="1" applyFill="1" applyBorder="1" applyAlignment="1">
      <alignment horizontal="right"/>
    </xf>
    <xf numFmtId="0" fontId="37" fillId="21" borderId="6" xfId="374" applyFont="1" applyFill="1" applyBorder="1" applyAlignment="1">
      <alignment horizontal="right"/>
    </xf>
    <xf numFmtId="0" fontId="68" fillId="22" borderId="4" xfId="374" applyFont="1" applyFill="1" applyBorder="1"/>
    <xf numFmtId="0" fontId="68" fillId="22" borderId="5" xfId="374" applyFont="1" applyFill="1" applyBorder="1"/>
    <xf numFmtId="0" fontId="68" fillId="22" borderId="5" xfId="372" applyFont="1" applyFill="1" applyBorder="1"/>
    <xf numFmtId="0" fontId="68" fillId="22" borderId="5" xfId="374" applyFont="1" applyFill="1" applyBorder="1" applyAlignment="1">
      <alignment horizontal="right"/>
    </xf>
    <xf numFmtId="0" fontId="68" fillId="22" borderId="6" xfId="374" applyFont="1" applyFill="1" applyBorder="1" applyAlignment="1">
      <alignment horizontal="right"/>
    </xf>
    <xf numFmtId="0" fontId="37" fillId="0" borderId="23" xfId="374" applyFont="1" applyBorder="1"/>
    <xf numFmtId="0" fontId="37" fillId="0" borderId="24" xfId="374" applyFont="1" applyBorder="1"/>
    <xf numFmtId="0" fontId="37" fillId="0" borderId="24" xfId="374" applyFont="1" applyBorder="1" applyAlignment="1">
      <alignment horizontal="right"/>
    </xf>
    <xf numFmtId="0" fontId="37" fillId="0" borderId="25" xfId="374" applyFont="1" applyBorder="1" applyAlignment="1">
      <alignment horizontal="right"/>
    </xf>
    <xf numFmtId="0" fontId="48" fillId="5" borderId="29" xfId="374" applyFont="1" applyFill="1" applyBorder="1"/>
    <xf numFmtId="0" fontId="48" fillId="5" borderId="43" xfId="374" applyFont="1" applyFill="1" applyBorder="1"/>
    <xf numFmtId="0" fontId="47" fillId="14" borderId="5" xfId="374" applyFont="1" applyFill="1" applyBorder="1"/>
    <xf numFmtId="0" fontId="47" fillId="16" borderId="40" xfId="374" applyFont="1" applyFill="1" applyBorder="1"/>
    <xf numFmtId="0" fontId="47" fillId="3" borderId="75" xfId="374" applyFont="1" applyFill="1" applyBorder="1"/>
    <xf numFmtId="0" fontId="48" fillId="5" borderId="44" xfId="374" applyFont="1" applyFill="1" applyBorder="1"/>
    <xf numFmtId="0" fontId="47" fillId="21" borderId="39" xfId="374" applyFont="1" applyFill="1" applyBorder="1"/>
    <xf numFmtId="0" fontId="33" fillId="23" borderId="0" xfId="374" applyFont="1" applyFill="1"/>
    <xf numFmtId="0" fontId="60" fillId="23" borderId="0" xfId="374" applyFont="1" applyFill="1"/>
    <xf numFmtId="0" fontId="60" fillId="23" borderId="45" xfId="374" applyFont="1" applyFill="1" applyBorder="1"/>
    <xf numFmtId="0" fontId="47" fillId="4" borderId="13" xfId="374" applyFont="1" applyFill="1" applyBorder="1"/>
    <xf numFmtId="0" fontId="37" fillId="16" borderId="6" xfId="374" applyFont="1" applyFill="1" applyBorder="1" applyAlignment="1">
      <alignment horizontal="right"/>
    </xf>
    <xf numFmtId="0" fontId="65" fillId="22" borderId="0" xfId="372" applyFont="1" applyFill="1"/>
    <xf numFmtId="0" fontId="68" fillId="24" borderId="5" xfId="0" applyFont="1" applyFill="1" applyBorder="1"/>
    <xf numFmtId="0" fontId="68" fillId="24" borderId="5" xfId="0" applyFont="1" applyFill="1" applyBorder="1" applyAlignment="1">
      <alignment horizontal="right"/>
    </xf>
    <xf numFmtId="0" fontId="68" fillId="24" borderId="4" xfId="0" applyFont="1" applyFill="1" applyBorder="1"/>
    <xf numFmtId="0" fontId="70" fillId="26" borderId="5" xfId="0" applyFont="1" applyFill="1" applyBorder="1"/>
    <xf numFmtId="0" fontId="24" fillId="2" borderId="0" xfId="505" applyFont="1" applyFill="1"/>
    <xf numFmtId="0" fontId="69" fillId="25" borderId="13" xfId="0" applyFont="1" applyFill="1" applyBorder="1"/>
    <xf numFmtId="0" fontId="0" fillId="0" borderId="0" xfId="343" applyNumberFormat="1" applyFont="1"/>
    <xf numFmtId="0" fontId="37" fillId="0" borderId="0" xfId="505" applyAlignment="1">
      <alignment horizontal="justify" vertical="justify"/>
    </xf>
    <xf numFmtId="0" fontId="37" fillId="0" borderId="0" xfId="505" applyAlignment="1">
      <alignment horizontal="justify" vertical="justify" wrapText="1"/>
    </xf>
    <xf numFmtId="0" fontId="44" fillId="0" borderId="0" xfId="505" applyFont="1" applyAlignment="1">
      <alignment horizontal="justify" vertical="justify"/>
    </xf>
    <xf numFmtId="0" fontId="37" fillId="16" borderId="0" xfId="505" applyFill="1" applyAlignment="1">
      <alignment horizontal="justify" vertical="justify" wrapText="1"/>
    </xf>
    <xf numFmtId="0" fontId="37" fillId="17" borderId="0" xfId="505" applyFill="1" applyAlignment="1">
      <alignment horizontal="justify" vertical="justify" wrapText="1"/>
    </xf>
    <xf numFmtId="0" fontId="37" fillId="20" borderId="0" xfId="505" applyFill="1" applyAlignment="1">
      <alignment horizontal="justify" vertical="justify" wrapText="1"/>
    </xf>
    <xf numFmtId="0" fontId="37" fillId="3" borderId="0" xfId="505" applyFill="1" applyAlignment="1">
      <alignment horizontal="justify" vertical="justify" wrapText="1"/>
    </xf>
    <xf numFmtId="0" fontId="44" fillId="18" borderId="0" xfId="505" applyFont="1" applyFill="1" applyAlignment="1">
      <alignment horizontal="justify" vertical="justify" wrapText="1"/>
    </xf>
    <xf numFmtId="0" fontId="37" fillId="2" borderId="0" xfId="505" applyFill="1" applyAlignment="1">
      <alignment horizontal="justify" vertical="justify" wrapText="1"/>
    </xf>
    <xf numFmtId="0" fontId="72" fillId="22" borderId="0" xfId="505" applyFont="1" applyFill="1" applyAlignment="1">
      <alignment horizontal="justify" vertical="justify" wrapText="1"/>
    </xf>
    <xf numFmtId="0" fontId="68" fillId="22" borderId="0" xfId="505" applyFont="1" applyFill="1" applyAlignment="1">
      <alignment horizontal="justify" vertical="justify" wrapText="1"/>
    </xf>
    <xf numFmtId="0" fontId="37" fillId="2" borderId="0" xfId="505" applyFill="1" applyAlignment="1">
      <alignment horizontal="left" vertical="justify" wrapText="1"/>
    </xf>
    <xf numFmtId="0" fontId="22" fillId="2" borderId="2" xfId="372" applyFill="1" applyBorder="1" applyAlignment="1">
      <alignment horizontal="center"/>
    </xf>
    <xf numFmtId="0" fontId="22" fillId="2" borderId="10" xfId="372" applyFill="1" applyBorder="1" applyAlignment="1">
      <alignment horizontal="center"/>
    </xf>
    <xf numFmtId="0" fontId="22" fillId="2" borderId="10" xfId="372" applyFill="1" applyBorder="1" applyProtection="1">
      <protection locked="0"/>
    </xf>
    <xf numFmtId="0" fontId="74" fillId="15" borderId="0" xfId="0" applyFont="1" applyFill="1"/>
    <xf numFmtId="0" fontId="75" fillId="15" borderId="0" xfId="0" applyFont="1" applyFill="1"/>
    <xf numFmtId="0" fontId="75" fillId="15" borderId="0" xfId="0" applyFont="1" applyFill="1" applyAlignment="1">
      <alignment wrapText="1"/>
    </xf>
    <xf numFmtId="0" fontId="75" fillId="15" borderId="0" xfId="0" applyFont="1" applyFill="1" applyAlignment="1">
      <alignment horizontal="left" wrapText="1"/>
    </xf>
    <xf numFmtId="0" fontId="22" fillId="2" borderId="3" xfId="372" applyFill="1" applyBorder="1" applyAlignment="1">
      <alignment horizontal="center"/>
    </xf>
    <xf numFmtId="0" fontId="22" fillId="2" borderId="0" xfId="372" applyFill="1" applyAlignment="1">
      <alignment horizontal="center"/>
    </xf>
    <xf numFmtId="0" fontId="22" fillId="2" borderId="0" xfId="372" applyFill="1" applyProtection="1">
      <protection locked="0"/>
    </xf>
    <xf numFmtId="1" fontId="32" fillId="2" borderId="46" xfId="372" applyNumberFormat="1" applyFont="1" applyFill="1" applyBorder="1" applyAlignment="1" applyProtection="1">
      <alignment vertical="top"/>
      <protection locked="0"/>
    </xf>
    <xf numFmtId="1" fontId="32" fillId="2" borderId="7" xfId="372" applyNumberFormat="1" applyFont="1" applyFill="1" applyBorder="1" applyAlignment="1" applyProtection="1">
      <alignment vertical="top"/>
      <protection locked="0"/>
    </xf>
    <xf numFmtId="0" fontId="18" fillId="0" borderId="0" xfId="0" applyFont="1" applyAlignment="1">
      <alignment horizontal="center"/>
    </xf>
    <xf numFmtId="177" fontId="0" fillId="0" borderId="0" xfId="0" applyNumberFormat="1"/>
    <xf numFmtId="2" fontId="22" fillId="0" borderId="0" xfId="372" applyNumberFormat="1"/>
    <xf numFmtId="0" fontId="37" fillId="0" borderId="0" xfId="372" applyFont="1" applyAlignment="1">
      <alignment horizontal="center" wrapText="1"/>
    </xf>
    <xf numFmtId="2" fontId="22" fillId="0" borderId="10" xfId="372" applyNumberFormat="1" applyBorder="1" applyAlignment="1" applyProtection="1">
      <alignment horizontal="left"/>
      <protection locked="0"/>
    </xf>
    <xf numFmtId="2" fontId="22" fillId="2" borderId="0" xfId="372" applyNumberFormat="1" applyFill="1" applyAlignment="1" applyProtection="1">
      <alignment horizontal="left"/>
      <protection locked="0"/>
    </xf>
    <xf numFmtId="0" fontId="0" fillId="2" borderId="0" xfId="0" applyFill="1" applyAlignment="1">
      <alignment horizontal="left"/>
    </xf>
    <xf numFmtId="0" fontId="0" fillId="2" borderId="0" xfId="0" applyFill="1" applyAlignment="1">
      <alignment horizontal="center" vertical="center"/>
    </xf>
    <xf numFmtId="166" fontId="0" fillId="2" borderId="0" xfId="0" applyNumberFormat="1" applyFill="1" applyAlignment="1" applyProtection="1">
      <alignment horizontal="center"/>
      <protection locked="0"/>
    </xf>
    <xf numFmtId="166" fontId="0" fillId="2" borderId="0" xfId="0" applyNumberFormat="1" applyFill="1" applyAlignment="1">
      <alignment horizontal="center"/>
    </xf>
    <xf numFmtId="0" fontId="0" fillId="5" borderId="10" xfId="0" applyFill="1" applyBorder="1" applyAlignment="1">
      <alignment horizontal="left"/>
    </xf>
    <xf numFmtId="0" fontId="0" fillId="5" borderId="10" xfId="0" applyFill="1" applyBorder="1" applyAlignment="1">
      <alignment horizontal="center" vertical="center"/>
    </xf>
    <xf numFmtId="166" fontId="0" fillId="3" borderId="10" xfId="0" applyNumberFormat="1" applyFill="1" applyBorder="1" applyAlignment="1" applyProtection="1">
      <alignment horizontal="center"/>
      <protection locked="0"/>
    </xf>
    <xf numFmtId="166" fontId="0" fillId="5" borderId="10" xfId="0" applyNumberFormat="1" applyFill="1" applyBorder="1" applyAlignment="1">
      <alignment horizontal="center"/>
    </xf>
    <xf numFmtId="4" fontId="0" fillId="4" borderId="52" xfId="0" applyNumberFormat="1" applyFill="1" applyBorder="1" applyAlignment="1">
      <alignment horizontal="right"/>
    </xf>
    <xf numFmtId="0" fontId="0" fillId="5" borderId="1" xfId="0" applyFill="1" applyBorder="1" applyAlignment="1">
      <alignment horizontal="center" wrapText="1"/>
    </xf>
    <xf numFmtId="0" fontId="1" fillId="5" borderId="4" xfId="0" applyFont="1" applyFill="1" applyBorder="1" applyAlignment="1">
      <alignment horizontal="center" wrapText="1"/>
    </xf>
    <xf numFmtId="0" fontId="18" fillId="0" borderId="0" xfId="0" applyFont="1" applyAlignment="1">
      <alignment wrapText="1"/>
    </xf>
    <xf numFmtId="2" fontId="18" fillId="0" borderId="0" xfId="0" applyNumberFormat="1" applyFont="1"/>
    <xf numFmtId="0" fontId="79" fillId="0" borderId="0" xfId="372" applyFont="1"/>
    <xf numFmtId="0" fontId="18" fillId="2" borderId="0" xfId="0" applyFont="1" applyFill="1"/>
    <xf numFmtId="0" fontId="22" fillId="0" borderId="0" xfId="372" applyAlignment="1">
      <alignment horizontal="left"/>
    </xf>
    <xf numFmtId="0" fontId="0" fillId="0" borderId="0" xfId="0" applyAlignment="1">
      <alignment horizontal="center" wrapText="1"/>
    </xf>
    <xf numFmtId="2" fontId="7" fillId="0" borderId="0" xfId="0" applyNumberFormat="1" applyFont="1"/>
    <xf numFmtId="0" fontId="0" fillId="5" borderId="4" xfId="0" applyFill="1" applyBorder="1" applyAlignment="1">
      <alignment horizontal="center" wrapText="1"/>
    </xf>
    <xf numFmtId="2" fontId="0" fillId="5" borderId="4" xfId="0" applyNumberFormat="1" applyFill="1" applyBorder="1" applyAlignment="1">
      <alignment horizontal="right" wrapText="1"/>
    </xf>
    <xf numFmtId="2" fontId="42" fillId="2" borderId="82" xfId="0" applyNumberFormat="1" applyFont="1" applyFill="1" applyBorder="1" applyAlignment="1" applyProtection="1">
      <alignment horizontal="right" wrapText="1"/>
      <protection locked="0"/>
    </xf>
    <xf numFmtId="2" fontId="22" fillId="0" borderId="0" xfId="372" applyNumberFormat="1" applyAlignment="1" applyProtection="1">
      <alignment horizontal="left"/>
      <protection locked="0"/>
    </xf>
    <xf numFmtId="0" fontId="0" fillId="5" borderId="0" xfId="0" applyFill="1"/>
    <xf numFmtId="0" fontId="43" fillId="0" borderId="0" xfId="372" applyFont="1" applyAlignment="1">
      <alignment horizontal="left"/>
    </xf>
    <xf numFmtId="0" fontId="22" fillId="0" borderId="81" xfId="372" applyBorder="1" applyAlignment="1">
      <alignment horizontal="centerContinuous"/>
    </xf>
    <xf numFmtId="0" fontId="52" fillId="0" borderId="60" xfId="372" applyFont="1" applyBorder="1" applyAlignment="1">
      <alignment horizontal="centerContinuous"/>
    </xf>
    <xf numFmtId="0" fontId="52" fillId="0" borderId="61" xfId="372" applyFont="1" applyBorder="1" applyAlignment="1">
      <alignment horizontal="centerContinuous"/>
    </xf>
    <xf numFmtId="0" fontId="22" fillId="0" borderId="13" xfId="372" applyBorder="1" applyAlignment="1">
      <alignment horizontal="center"/>
    </xf>
    <xf numFmtId="0" fontId="79" fillId="2" borderId="0" xfId="372" applyFont="1" applyFill="1"/>
    <xf numFmtId="2" fontId="79" fillId="2" borderId="0" xfId="372" applyNumberFormat="1" applyFont="1" applyFill="1" applyAlignment="1" applyProtection="1">
      <alignment horizontal="left"/>
      <protection locked="0"/>
    </xf>
    <xf numFmtId="0" fontId="0" fillId="4" borderId="0" xfId="0" applyFill="1"/>
    <xf numFmtId="2" fontId="0" fillId="4" borderId="0" xfId="0" applyNumberFormat="1" applyFill="1"/>
    <xf numFmtId="2" fontId="0" fillId="0" borderId="1" xfId="0" applyNumberFormat="1" applyBorder="1"/>
    <xf numFmtId="0" fontId="0" fillId="0" borderId="1" xfId="0" applyBorder="1"/>
    <xf numFmtId="2" fontId="0" fillId="4" borderId="1" xfId="0" applyNumberFormat="1" applyFill="1" applyBorder="1"/>
    <xf numFmtId="2" fontId="0" fillId="0" borderId="14" xfId="0" applyNumberFormat="1" applyBorder="1"/>
    <xf numFmtId="2" fontId="0" fillId="4" borderId="14" xfId="0" applyNumberFormat="1" applyFill="1" applyBorder="1"/>
    <xf numFmtId="0" fontId="66" fillId="2" borderId="0" xfId="372" applyFont="1" applyFill="1"/>
    <xf numFmtId="2" fontId="22" fillId="2" borderId="1" xfId="372" applyNumberFormat="1" applyFill="1" applyBorder="1" applyAlignment="1">
      <alignment horizontal="right"/>
    </xf>
    <xf numFmtId="0" fontId="22" fillId="0" borderId="1" xfId="372" applyBorder="1" applyAlignment="1">
      <alignment horizontal="right"/>
    </xf>
    <xf numFmtId="0" fontId="43" fillId="0" borderId="0" xfId="372" applyFont="1"/>
    <xf numFmtId="0" fontId="66" fillId="0" borderId="0" xfId="372" applyFont="1"/>
    <xf numFmtId="2" fontId="22" fillId="0" borderId="1" xfId="372" applyNumberFormat="1" applyBorder="1" applyAlignment="1">
      <alignment horizontal="right"/>
    </xf>
    <xf numFmtId="0" fontId="66" fillId="30" borderId="15" xfId="372" applyFont="1" applyFill="1" applyBorder="1"/>
    <xf numFmtId="0" fontId="55" fillId="0" borderId="0" xfId="372" applyFont="1" applyAlignment="1">
      <alignment wrapText="1"/>
    </xf>
    <xf numFmtId="0" fontId="83" fillId="2" borderId="0" xfId="0" applyFont="1" applyFill="1"/>
    <xf numFmtId="0" fontId="71" fillId="2" borderId="0" xfId="0" applyFont="1" applyFill="1" applyAlignment="1">
      <alignment horizontal="center" vertical="center"/>
    </xf>
    <xf numFmtId="166" fontId="71" fillId="2" borderId="0" xfId="0" applyNumberFormat="1" applyFont="1" applyFill="1" applyAlignment="1" applyProtection="1">
      <alignment horizontal="center"/>
      <protection locked="0"/>
    </xf>
    <xf numFmtId="166" fontId="71" fillId="2" borderId="0" xfId="0" applyNumberFormat="1" applyFont="1" applyFill="1" applyAlignment="1">
      <alignment horizontal="center"/>
    </xf>
    <xf numFmtId="0" fontId="71" fillId="2" borderId="0" xfId="0" applyFont="1" applyFill="1" applyAlignment="1">
      <alignment horizontal="left"/>
    </xf>
    <xf numFmtId="0" fontId="71" fillId="2" borderId="0" xfId="0" applyFont="1" applyFill="1"/>
    <xf numFmtId="0" fontId="76" fillId="34" borderId="22" xfId="0" applyFont="1" applyFill="1" applyBorder="1" applyAlignment="1">
      <alignment horizontal="right"/>
    </xf>
    <xf numFmtId="166" fontId="0" fillId="5" borderId="27" xfId="0" applyNumberFormat="1" applyFill="1" applyBorder="1" applyAlignment="1">
      <alignment horizontal="left"/>
    </xf>
    <xf numFmtId="2" fontId="0" fillId="5" borderId="14" xfId="0" applyNumberFormat="1" applyFill="1" applyBorder="1"/>
    <xf numFmtId="2" fontId="76" fillId="31" borderId="25" xfId="0" applyNumberFormat="1" applyFont="1" applyFill="1" applyBorder="1"/>
    <xf numFmtId="2" fontId="7" fillId="4" borderId="22" xfId="0" applyNumberFormat="1" applyFont="1" applyFill="1" applyBorder="1"/>
    <xf numFmtId="2" fontId="76" fillId="35" borderId="1" xfId="0" applyNumberFormat="1" applyFont="1" applyFill="1" applyBorder="1" applyAlignment="1">
      <alignment horizontal="center" wrapText="1"/>
    </xf>
    <xf numFmtId="2" fontId="76" fillId="35" borderId="1" xfId="0" applyNumberFormat="1" applyFont="1" applyFill="1" applyBorder="1" applyAlignment="1">
      <alignment horizontal="center"/>
    </xf>
    <xf numFmtId="2" fontId="76" fillId="35" borderId="14" xfId="0" applyNumberFormat="1" applyFont="1" applyFill="1" applyBorder="1" applyAlignment="1">
      <alignment horizontal="center"/>
    </xf>
    <xf numFmtId="2" fontId="0" fillId="4" borderId="1" xfId="0" applyNumberFormat="1" applyFill="1" applyBorder="1" applyAlignment="1">
      <alignment horizontal="center"/>
    </xf>
    <xf numFmtId="0" fontId="61" fillId="0" borderId="0" xfId="372" applyFont="1" applyAlignment="1">
      <alignment wrapText="1"/>
    </xf>
    <xf numFmtId="0" fontId="22" fillId="0" borderId="0" xfId="372" applyAlignment="1">
      <alignment wrapText="1"/>
    </xf>
    <xf numFmtId="0" fontId="22" fillId="5" borderId="5" xfId="372" applyFill="1" applyBorder="1" applyAlignment="1">
      <alignment wrapText="1"/>
    </xf>
    <xf numFmtId="0" fontId="17" fillId="36" borderId="33" xfId="0" applyFont="1" applyFill="1" applyBorder="1"/>
    <xf numFmtId="0" fontId="17" fillId="36" borderId="0" xfId="0" applyFont="1" applyFill="1" applyAlignment="1">
      <alignment horizontal="center" vertical="center" wrapText="1"/>
    </xf>
    <xf numFmtId="0" fontId="0" fillId="0" borderId="9" xfId="0" applyBorder="1"/>
    <xf numFmtId="0" fontId="0" fillId="4" borderId="9" xfId="0" applyFill="1" applyBorder="1"/>
    <xf numFmtId="2" fontId="0" fillId="0" borderId="4" xfId="0" applyNumberFormat="1" applyBorder="1"/>
    <xf numFmtId="2" fontId="0" fillId="4" borderId="4" xfId="0" applyNumberFormat="1" applyFill="1" applyBorder="1"/>
    <xf numFmtId="0" fontId="17" fillId="36" borderId="36" xfId="0" applyFont="1" applyFill="1" applyBorder="1" applyAlignment="1">
      <alignment horizontal="center" wrapText="1"/>
    </xf>
    <xf numFmtId="0" fontId="17" fillId="36" borderId="60" xfId="0" applyFont="1" applyFill="1" applyBorder="1" applyAlignment="1">
      <alignment horizontal="center" wrapText="1"/>
    </xf>
    <xf numFmtId="0" fontId="17" fillId="36" borderId="65" xfId="0" applyFont="1" applyFill="1" applyBorder="1" applyAlignment="1">
      <alignment horizontal="center" wrapText="1"/>
    </xf>
    <xf numFmtId="2" fontId="0" fillId="0" borderId="9" xfId="0" applyNumberFormat="1" applyBorder="1"/>
    <xf numFmtId="2" fontId="0" fillId="4" borderId="9" xfId="0" applyNumberFormat="1" applyFill="1" applyBorder="1"/>
    <xf numFmtId="0" fontId="0" fillId="4" borderId="15" xfId="0" applyFill="1" applyBorder="1"/>
    <xf numFmtId="2" fontId="0" fillId="4" borderId="16" xfId="0" applyNumberFormat="1" applyFill="1" applyBorder="1"/>
    <xf numFmtId="2" fontId="0" fillId="4" borderId="42" xfId="0" applyNumberFormat="1" applyFill="1" applyBorder="1"/>
    <xf numFmtId="2" fontId="0" fillId="4" borderId="15" xfId="0" applyNumberFormat="1" applyFill="1" applyBorder="1"/>
    <xf numFmtId="0" fontId="0" fillId="4" borderId="16" xfId="0" applyFill="1" applyBorder="1"/>
    <xf numFmtId="0" fontId="22" fillId="10" borderId="6" xfId="372" applyFill="1" applyBorder="1" applyAlignment="1" applyProtection="1">
      <alignment horizontal="left"/>
      <protection locked="0"/>
    </xf>
    <xf numFmtId="0" fontId="22" fillId="10" borderId="7" xfId="372" applyFill="1" applyBorder="1" applyAlignment="1" applyProtection="1">
      <alignment horizontal="left"/>
      <protection locked="0"/>
    </xf>
    <xf numFmtId="0" fontId="0" fillId="0" borderId="0" xfId="0" applyAlignment="1">
      <alignment horizontal="center"/>
    </xf>
    <xf numFmtId="0" fontId="0" fillId="0" borderId="0" xfId="0" applyAlignment="1">
      <alignment wrapText="1"/>
    </xf>
    <xf numFmtId="0" fontId="23" fillId="2" borderId="23" xfId="372" applyFont="1" applyFill="1" applyBorder="1" applyAlignment="1">
      <alignment horizontal="centerContinuous"/>
    </xf>
    <xf numFmtId="0" fontId="56" fillId="2" borderId="24" xfId="372" applyFont="1" applyFill="1" applyBorder="1" applyAlignment="1">
      <alignment horizontal="centerContinuous"/>
    </xf>
    <xf numFmtId="0" fontId="23" fillId="2" borderId="24" xfId="372" applyFont="1" applyFill="1" applyBorder="1" applyAlignment="1">
      <alignment horizontal="centerContinuous"/>
    </xf>
    <xf numFmtId="0" fontId="56" fillId="2" borderId="24" xfId="372" applyFont="1" applyFill="1" applyBorder="1" applyAlignment="1">
      <alignment horizontal="centerContinuous" vertical="top"/>
    </xf>
    <xf numFmtId="0" fontId="56" fillId="2" borderId="25" xfId="372" applyFont="1" applyFill="1" applyBorder="1" applyAlignment="1">
      <alignment horizontal="centerContinuous" vertical="top"/>
    </xf>
    <xf numFmtId="0" fontId="55" fillId="2" borderId="34" xfId="372" applyFont="1" applyFill="1" applyBorder="1" applyAlignment="1">
      <alignment horizontal="centerContinuous"/>
    </xf>
    <xf numFmtId="0" fontId="54" fillId="2" borderId="27" xfId="372" applyFont="1" applyFill="1" applyBorder="1" applyAlignment="1">
      <alignment horizontal="centerContinuous"/>
    </xf>
    <xf numFmtId="167" fontId="55" fillId="2" borderId="27" xfId="372" applyNumberFormat="1" applyFont="1" applyFill="1" applyBorder="1" applyAlignment="1">
      <alignment horizontal="centerContinuous"/>
    </xf>
    <xf numFmtId="167" fontId="54" fillId="2" borderId="19" xfId="372" applyNumberFormat="1" applyFont="1" applyFill="1" applyBorder="1" applyAlignment="1">
      <alignment horizontal="centerContinuous" vertical="top"/>
    </xf>
    <xf numFmtId="1" fontId="55" fillId="2" borderId="34" xfId="372" applyNumberFormat="1" applyFont="1" applyFill="1" applyBorder="1" applyAlignment="1">
      <alignment horizontal="centerContinuous"/>
    </xf>
    <xf numFmtId="0" fontId="0" fillId="5" borderId="78" xfId="0" applyFill="1" applyBorder="1" applyAlignment="1">
      <alignment wrapText="1"/>
    </xf>
    <xf numFmtId="0" fontId="22" fillId="4" borderId="16" xfId="372" applyFill="1" applyBorder="1" applyAlignment="1">
      <alignment horizontal="left"/>
    </xf>
    <xf numFmtId="0" fontId="66" fillId="30" borderId="42" xfId="372" applyFont="1" applyFill="1" applyBorder="1"/>
    <xf numFmtId="0" fontId="66" fillId="30" borderId="43" xfId="372" applyFont="1" applyFill="1" applyBorder="1"/>
    <xf numFmtId="0" fontId="66" fillId="30" borderId="32" xfId="372" applyFont="1" applyFill="1" applyBorder="1"/>
    <xf numFmtId="0" fontId="16" fillId="5" borderId="3" xfId="0" applyFont="1" applyFill="1" applyBorder="1"/>
    <xf numFmtId="2" fontId="65" fillId="36" borderId="1" xfId="372" applyNumberFormat="1" applyFont="1" applyFill="1" applyBorder="1" applyAlignment="1">
      <alignment horizontal="right"/>
    </xf>
    <xf numFmtId="49" fontId="61" fillId="4" borderId="1" xfId="372" applyNumberFormat="1" applyFont="1" applyFill="1" applyBorder="1" applyAlignment="1" applyProtection="1">
      <alignment horizontal="right"/>
      <protection locked="0"/>
    </xf>
    <xf numFmtId="2" fontId="22" fillId="4" borderId="16" xfId="372" applyNumberFormat="1" applyFill="1" applyBorder="1" applyAlignment="1" applyProtection="1">
      <alignment horizontal="right"/>
      <protection locked="0"/>
    </xf>
    <xf numFmtId="2" fontId="22" fillId="4" borderId="16" xfId="372" applyNumberFormat="1" applyFill="1" applyBorder="1" applyAlignment="1">
      <alignment horizontal="right"/>
    </xf>
    <xf numFmtId="0" fontId="22" fillId="2" borderId="9" xfId="372" applyFill="1" applyBorder="1" applyAlignment="1" applyProtection="1">
      <alignment horizontal="center"/>
      <protection locked="0"/>
    </xf>
    <xf numFmtId="0" fontId="22" fillId="2" borderId="1" xfId="372" applyFill="1" applyBorder="1" applyAlignment="1" applyProtection="1">
      <alignment horizontal="center"/>
      <protection locked="0"/>
    </xf>
    <xf numFmtId="0" fontId="37" fillId="0" borderId="59" xfId="372" applyFont="1" applyBorder="1" applyAlignment="1">
      <alignment horizontal="center" vertical="center" wrapText="1"/>
    </xf>
    <xf numFmtId="0" fontId="37" fillId="0" borderId="1" xfId="372" applyFont="1" applyBorder="1" applyAlignment="1">
      <alignment horizontal="center" vertical="center" wrapText="1"/>
    </xf>
    <xf numFmtId="0" fontId="37" fillId="0" borderId="12" xfId="372" applyFont="1" applyBorder="1" applyAlignment="1">
      <alignment horizontal="center" vertical="center" wrapText="1"/>
    </xf>
    <xf numFmtId="0" fontId="90" fillId="0" borderId="36" xfId="372" applyFont="1" applyBorder="1" applyAlignment="1">
      <alignment horizontal="centerContinuous"/>
    </xf>
    <xf numFmtId="0" fontId="80" fillId="4" borderId="59" xfId="372" applyFont="1" applyFill="1" applyBorder="1" applyAlignment="1">
      <alignment horizontal="center" vertical="center"/>
    </xf>
    <xf numFmtId="4" fontId="16" fillId="4" borderId="1" xfId="0" applyNumberFormat="1" applyFont="1" applyFill="1" applyBorder="1" applyAlignment="1">
      <alignment horizontal="center"/>
    </xf>
    <xf numFmtId="0" fontId="89" fillId="31" borderId="4" xfId="0" applyFont="1" applyFill="1" applyBorder="1" applyAlignment="1">
      <alignment horizontal="left"/>
    </xf>
    <xf numFmtId="0" fontId="89" fillId="31" borderId="5" xfId="0" applyFont="1" applyFill="1" applyBorder="1" applyAlignment="1">
      <alignment horizontal="left"/>
    </xf>
    <xf numFmtId="0" fontId="89" fillId="31" borderId="40" xfId="0" applyFont="1" applyFill="1" applyBorder="1" applyAlignment="1">
      <alignment horizontal="left"/>
    </xf>
    <xf numFmtId="0" fontId="77" fillId="0" borderId="0" xfId="372" applyFont="1" applyAlignment="1">
      <alignment horizontal="left"/>
    </xf>
    <xf numFmtId="2" fontId="0" fillId="4" borderId="64" xfId="0" applyNumberFormat="1" applyFill="1" applyBorder="1"/>
    <xf numFmtId="0" fontId="62" fillId="0" borderId="0" xfId="505" applyFont="1" applyAlignment="1">
      <alignment horizontal="left" wrapText="1"/>
    </xf>
    <xf numFmtId="2" fontId="0" fillId="2" borderId="14" xfId="0" applyNumberFormat="1" applyFill="1" applyBorder="1"/>
    <xf numFmtId="4" fontId="0" fillId="5" borderId="18" xfId="0" applyNumberFormat="1" applyFill="1" applyBorder="1" applyAlignment="1">
      <alignment horizontal="right"/>
    </xf>
    <xf numFmtId="49" fontId="0" fillId="5" borderId="4" xfId="0" applyNumberFormat="1" applyFill="1" applyBorder="1" applyAlignment="1">
      <alignment wrapText="1"/>
    </xf>
    <xf numFmtId="49" fontId="0" fillId="5" borderId="5" xfId="0" applyNumberFormat="1" applyFill="1" applyBorder="1" applyAlignment="1">
      <alignment wrapText="1"/>
    </xf>
    <xf numFmtId="49" fontId="42" fillId="2" borderId="23" xfId="0" applyNumberFormat="1" applyFont="1" applyFill="1" applyBorder="1" applyAlignment="1">
      <alignment wrapText="1"/>
    </xf>
    <xf numFmtId="49" fontId="42" fillId="2" borderId="24" xfId="0" applyNumberFormat="1" applyFont="1" applyFill="1" applyBorder="1" applyAlignment="1">
      <alignment wrapText="1"/>
    </xf>
    <xf numFmtId="49" fontId="42" fillId="2" borderId="28" xfId="0" applyNumberFormat="1" applyFont="1" applyFill="1" applyBorder="1" applyAlignment="1">
      <alignment wrapText="1"/>
    </xf>
    <xf numFmtId="49" fontId="0" fillId="9" borderId="3" xfId="0" applyNumberFormat="1" applyFill="1" applyBorder="1" applyAlignment="1">
      <alignment wrapText="1"/>
    </xf>
    <xf numFmtId="49" fontId="0" fillId="9" borderId="34" xfId="0" applyNumberFormat="1" applyFill="1" applyBorder="1" applyAlignment="1">
      <alignment wrapText="1"/>
    </xf>
    <xf numFmtId="49" fontId="0" fillId="9" borderId="27" xfId="0" applyNumberFormat="1" applyFill="1" applyBorder="1" applyAlignment="1">
      <alignment wrapText="1"/>
    </xf>
    <xf numFmtId="49" fontId="0" fillId="5" borderId="2" xfId="0" applyNumberFormat="1" applyFill="1" applyBorder="1" applyAlignment="1">
      <alignment wrapText="1"/>
    </xf>
    <xf numFmtId="49" fontId="0" fillId="5" borderId="10" xfId="0" applyNumberFormat="1" applyFill="1" applyBorder="1" applyAlignment="1">
      <alignment wrapText="1"/>
    </xf>
    <xf numFmtId="49" fontId="0" fillId="9" borderId="78" xfId="0" applyNumberFormat="1" applyFill="1" applyBorder="1" applyAlignment="1">
      <alignment wrapText="1"/>
    </xf>
    <xf numFmtId="49" fontId="0" fillId="9" borderId="75" xfId="0" applyNumberFormat="1" applyFill="1" applyBorder="1" applyAlignment="1">
      <alignment wrapText="1"/>
    </xf>
    <xf numFmtId="166" fontId="0" fillId="3" borderId="9" xfId="0" applyNumberFormat="1" applyFill="1" applyBorder="1" applyProtection="1">
      <protection locked="0"/>
    </xf>
    <xf numFmtId="166" fontId="0" fillId="5" borderId="64" xfId="0" applyNumberFormat="1" applyFill="1" applyBorder="1"/>
    <xf numFmtId="0" fontId="94" fillId="0" borderId="0" xfId="372" applyFont="1"/>
    <xf numFmtId="0" fontId="95" fillId="0" borderId="0" xfId="0" applyFont="1"/>
    <xf numFmtId="2" fontId="95" fillId="2" borderId="0" xfId="0" applyNumberFormat="1" applyFont="1" applyFill="1"/>
    <xf numFmtId="0" fontId="95" fillId="0" borderId="0" xfId="0" applyFont="1" applyAlignment="1">
      <alignment wrapText="1"/>
    </xf>
    <xf numFmtId="0" fontId="0" fillId="8" borderId="5" xfId="0" applyFill="1" applyBorder="1"/>
    <xf numFmtId="0" fontId="0" fillId="8" borderId="6" xfId="0" applyFill="1" applyBorder="1"/>
    <xf numFmtId="0" fontId="0" fillId="4" borderId="14" xfId="0" applyFill="1" applyBorder="1"/>
    <xf numFmtId="4" fontId="0" fillId="5" borderId="14" xfId="0" applyNumberFormat="1" applyFill="1" applyBorder="1" applyAlignment="1">
      <alignment horizontal="right"/>
    </xf>
    <xf numFmtId="0" fontId="96" fillId="0" borderId="0" xfId="0" applyFont="1" applyAlignment="1">
      <alignment vertical="center" wrapText="1"/>
    </xf>
    <xf numFmtId="0" fontId="84" fillId="34" borderId="23" xfId="0" applyFont="1" applyFill="1" applyBorder="1" applyAlignment="1">
      <alignment vertical="center"/>
    </xf>
    <xf numFmtId="0" fontId="84" fillId="34" borderId="24" xfId="0" applyFont="1" applyFill="1" applyBorder="1" applyAlignment="1">
      <alignment vertical="center"/>
    </xf>
    <xf numFmtId="0" fontId="84" fillId="34" borderId="28" xfId="0" applyFont="1" applyFill="1" applyBorder="1" applyAlignment="1">
      <alignment vertical="center"/>
    </xf>
    <xf numFmtId="4" fontId="85" fillId="31" borderId="25" xfId="0" applyNumberFormat="1" applyFont="1" applyFill="1" applyBorder="1" applyAlignment="1">
      <alignment vertical="center"/>
    </xf>
    <xf numFmtId="0" fontId="85" fillId="31" borderId="52" xfId="0" applyFont="1" applyFill="1" applyBorder="1" applyAlignment="1">
      <alignment vertical="center"/>
    </xf>
    <xf numFmtId="0" fontId="93" fillId="0" borderId="0" xfId="0" applyFont="1"/>
    <xf numFmtId="0" fontId="0" fillId="2" borderId="14" xfId="0" applyFill="1" applyBorder="1" applyAlignment="1" applyProtection="1">
      <alignment horizontal="right"/>
      <protection locked="0"/>
    </xf>
    <xf numFmtId="0" fontId="0" fillId="2" borderId="64" xfId="0" applyFill="1" applyBorder="1" applyAlignment="1" applyProtection="1">
      <alignment horizontal="right"/>
      <protection locked="0"/>
    </xf>
    <xf numFmtId="0" fontId="78" fillId="2" borderId="14" xfId="0" applyFont="1" applyFill="1" applyBorder="1" applyAlignment="1" applyProtection="1">
      <alignment vertical="center"/>
      <protection locked="0"/>
    </xf>
    <xf numFmtId="0" fontId="0" fillId="3" borderId="1" xfId="0" applyFill="1" applyBorder="1" applyAlignment="1" applyProtection="1">
      <alignment horizontal="center"/>
      <protection locked="0"/>
    </xf>
    <xf numFmtId="0" fontId="17" fillId="2" borderId="0" xfId="0" applyFont="1" applyFill="1" applyAlignment="1">
      <alignment horizontal="center" vertical="center"/>
    </xf>
    <xf numFmtId="166" fontId="17" fillId="2" borderId="0" xfId="0" applyNumberFormat="1" applyFont="1" applyFill="1" applyAlignment="1" applyProtection="1">
      <alignment horizontal="center"/>
      <protection locked="0"/>
    </xf>
    <xf numFmtId="2" fontId="0" fillId="0" borderId="59" xfId="0" applyNumberFormat="1" applyBorder="1"/>
    <xf numFmtId="2" fontId="0" fillId="0" borderId="17" xfId="0" applyNumberFormat="1" applyBorder="1"/>
    <xf numFmtId="2" fontId="61" fillId="4" borderId="1" xfId="372" applyNumberFormat="1" applyFont="1" applyFill="1" applyBorder="1" applyAlignment="1" applyProtection="1">
      <alignment horizontal="right"/>
      <protection locked="0"/>
    </xf>
    <xf numFmtId="2" fontId="61" fillId="4" borderId="16" xfId="372" applyNumberFormat="1" applyFont="1" applyFill="1" applyBorder="1" applyAlignment="1" applyProtection="1">
      <alignment horizontal="right"/>
      <protection locked="0"/>
    </xf>
    <xf numFmtId="0" fontId="17" fillId="36" borderId="68" xfId="0" applyFont="1" applyFill="1" applyBorder="1"/>
    <xf numFmtId="2" fontId="17" fillId="36" borderId="35" xfId="0" applyNumberFormat="1" applyFont="1" applyFill="1" applyBorder="1"/>
    <xf numFmtId="2" fontId="17" fillId="36" borderId="3" xfId="0" applyNumberFormat="1" applyFont="1" applyFill="1" applyBorder="1"/>
    <xf numFmtId="2" fontId="17" fillId="36" borderId="63" xfId="0" applyNumberFormat="1" applyFont="1" applyFill="1" applyBorder="1"/>
    <xf numFmtId="2" fontId="17" fillId="36" borderId="84" xfId="0" applyNumberFormat="1" applyFont="1" applyFill="1" applyBorder="1"/>
    <xf numFmtId="0" fontId="66" fillId="0" borderId="85" xfId="372" applyFont="1" applyBorder="1"/>
    <xf numFmtId="0" fontId="66" fillId="2" borderId="85" xfId="372" applyFont="1" applyFill="1" applyBorder="1"/>
    <xf numFmtId="0" fontId="43" fillId="0" borderId="85" xfId="372" applyFont="1" applyBorder="1" applyAlignment="1">
      <alignment horizontal="left"/>
    </xf>
    <xf numFmtId="0" fontId="66" fillId="0" borderId="0" xfId="372" applyFont="1" applyAlignment="1">
      <alignment horizontal="left"/>
    </xf>
    <xf numFmtId="2" fontId="66" fillId="0" borderId="0" xfId="372" applyNumberFormat="1" applyFont="1"/>
    <xf numFmtId="0" fontId="66" fillId="0" borderId="78" xfId="372" applyFont="1" applyBorder="1"/>
    <xf numFmtId="0" fontId="66" fillId="2" borderId="78" xfId="372" applyFont="1" applyFill="1" applyBorder="1"/>
    <xf numFmtId="0" fontId="43" fillId="0" borderId="78" xfId="372" applyFont="1" applyBorder="1" applyAlignment="1">
      <alignment horizontal="left"/>
    </xf>
    <xf numFmtId="0" fontId="98" fillId="0" borderId="0" xfId="377" applyFont="1" applyBorder="1" applyProtection="1"/>
    <xf numFmtId="0" fontId="65" fillId="0" borderId="0" xfId="0" applyFont="1"/>
    <xf numFmtId="0" fontId="17" fillId="2" borderId="0" xfId="0" applyFont="1" applyFill="1"/>
    <xf numFmtId="2" fontId="79" fillId="0" borderId="0" xfId="372" applyNumberFormat="1" applyFont="1"/>
    <xf numFmtId="0" fontId="62" fillId="0" borderId="0" xfId="505" applyFont="1" applyAlignment="1">
      <alignment horizontal="left"/>
    </xf>
    <xf numFmtId="0" fontId="62" fillId="3" borderId="0" xfId="505" applyFont="1" applyFill="1" applyAlignment="1">
      <alignment horizontal="left"/>
    </xf>
    <xf numFmtId="0" fontId="62" fillId="0" borderId="0" xfId="505" applyFont="1" applyAlignment="1">
      <alignment horizontal="left" vertical="center" wrapText="1"/>
    </xf>
    <xf numFmtId="0" fontId="62" fillId="0" borderId="0" xfId="505" applyFont="1" applyAlignment="1">
      <alignment horizontal="center" vertical="center" wrapText="1"/>
    </xf>
    <xf numFmtId="0" fontId="101" fillId="0" borderId="0" xfId="505" applyFont="1"/>
    <xf numFmtId="0" fontId="101" fillId="0" borderId="0" xfId="505" applyFont="1" applyAlignment="1">
      <alignment horizontal="left" vertical="center" wrapText="1"/>
    </xf>
    <xf numFmtId="0" fontId="44" fillId="28" borderId="0" xfId="505" applyFont="1" applyFill="1" applyAlignment="1">
      <alignment horizontal="justify" vertical="justify"/>
    </xf>
    <xf numFmtId="0" fontId="74" fillId="15" borderId="0" xfId="0" applyFont="1" applyFill="1" applyAlignment="1">
      <alignment horizontal="left" wrapText="1"/>
    </xf>
    <xf numFmtId="0" fontId="103" fillId="0" borderId="0" xfId="505" applyFont="1" applyAlignment="1">
      <alignment horizontal="center"/>
    </xf>
    <xf numFmtId="0" fontId="104" fillId="0" borderId="0" xfId="505" applyFont="1" applyAlignment="1">
      <alignment horizontal="center"/>
    </xf>
    <xf numFmtId="0" fontId="17" fillId="2" borderId="3" xfId="0" applyFont="1" applyFill="1" applyBorder="1" applyAlignment="1">
      <alignment wrapText="1"/>
    </xf>
    <xf numFmtId="0" fontId="17" fillId="2" borderId="0" xfId="0" applyFont="1" applyFill="1" applyAlignment="1">
      <alignment wrapText="1"/>
    </xf>
    <xf numFmtId="0" fontId="0" fillId="3" borderId="1" xfId="0" applyFill="1" applyBorder="1" applyProtection="1">
      <protection locked="0"/>
    </xf>
    <xf numFmtId="0" fontId="61" fillId="4" borderId="4" xfId="372" applyFont="1" applyFill="1" applyBorder="1" applyAlignment="1" applyProtection="1">
      <alignment horizontal="right"/>
      <protection locked="0"/>
    </xf>
    <xf numFmtId="0" fontId="78" fillId="5" borderId="14" xfId="0" applyFont="1" applyFill="1" applyBorder="1" applyAlignment="1">
      <alignment vertical="center"/>
    </xf>
    <xf numFmtId="0" fontId="76" fillId="36" borderId="22" xfId="0" applyFont="1" applyFill="1" applyBorder="1" applyAlignment="1">
      <alignment horizontal="right"/>
    </xf>
    <xf numFmtId="2" fontId="88" fillId="36" borderId="25" xfId="0" applyNumberFormat="1" applyFont="1" applyFill="1" applyBorder="1" applyAlignment="1">
      <alignment vertical="center"/>
    </xf>
    <xf numFmtId="0" fontId="85" fillId="36" borderId="22" xfId="0" applyFont="1" applyFill="1" applyBorder="1" applyAlignment="1">
      <alignment horizontal="right"/>
    </xf>
    <xf numFmtId="0" fontId="17" fillId="36" borderId="1" xfId="0" applyFont="1" applyFill="1" applyBorder="1"/>
    <xf numFmtId="2" fontId="17" fillId="36" borderId="1" xfId="0" applyNumberFormat="1" applyFont="1" applyFill="1" applyBorder="1"/>
    <xf numFmtId="2" fontId="17" fillId="36" borderId="14" xfId="0" applyNumberFormat="1" applyFont="1" applyFill="1" applyBorder="1"/>
    <xf numFmtId="2" fontId="105" fillId="31" borderId="0" xfId="0" applyNumberFormat="1" applyFont="1" applyFill="1"/>
    <xf numFmtId="0" fontId="105" fillId="31" borderId="34" xfId="0" applyFont="1" applyFill="1" applyBorder="1" applyAlignment="1">
      <alignment horizontal="center"/>
    </xf>
    <xf numFmtId="0" fontId="17" fillId="31" borderId="27" xfId="0" applyFont="1" applyFill="1" applyBorder="1" applyAlignment="1">
      <alignment horizontal="center" wrapText="1"/>
    </xf>
    <xf numFmtId="2" fontId="17" fillId="36" borderId="4" xfId="0" applyNumberFormat="1" applyFont="1" applyFill="1" applyBorder="1"/>
    <xf numFmtId="0" fontId="17" fillId="31" borderId="33" xfId="0" applyFont="1" applyFill="1" applyBorder="1" applyAlignment="1">
      <alignment horizontal="center" wrapText="1"/>
    </xf>
    <xf numFmtId="0" fontId="17" fillId="31" borderId="0" xfId="0" applyFont="1" applyFill="1" applyAlignment="1">
      <alignment horizontal="center" wrapText="1"/>
    </xf>
    <xf numFmtId="0" fontId="17" fillId="31" borderId="78" xfId="0" applyFont="1" applyFill="1" applyBorder="1" applyAlignment="1">
      <alignment horizontal="center" wrapText="1"/>
    </xf>
    <xf numFmtId="2" fontId="0" fillId="0" borderId="86" xfId="0" applyNumberFormat="1" applyBorder="1"/>
    <xf numFmtId="2" fontId="0" fillId="4" borderId="86" xfId="0" applyNumberFormat="1" applyFill="1" applyBorder="1"/>
    <xf numFmtId="2" fontId="17" fillId="36" borderId="87" xfId="0" applyNumberFormat="1" applyFont="1" applyFill="1" applyBorder="1"/>
    <xf numFmtId="2" fontId="17" fillId="36" borderId="17" xfId="0" applyNumberFormat="1" applyFont="1" applyFill="1" applyBorder="1"/>
    <xf numFmtId="2" fontId="22" fillId="4" borderId="29" xfId="372" applyNumberFormat="1" applyFill="1" applyBorder="1"/>
    <xf numFmtId="2" fontId="22" fillId="4" borderId="43" xfId="372" applyNumberFormat="1" applyFill="1" applyBorder="1"/>
    <xf numFmtId="2" fontId="22" fillId="4" borderId="44" xfId="372" applyNumberFormat="1" applyFill="1" applyBorder="1"/>
    <xf numFmtId="0" fontId="61" fillId="4" borderId="1" xfId="372" applyFont="1" applyFill="1" applyBorder="1" applyAlignment="1" applyProtection="1">
      <alignment horizontal="right"/>
      <protection locked="0"/>
    </xf>
    <xf numFmtId="0" fontId="91" fillId="0" borderId="0" xfId="372" applyFont="1" applyAlignment="1">
      <alignment horizontal="center" wrapText="1"/>
    </xf>
    <xf numFmtId="49" fontId="18" fillId="0" borderId="0" xfId="0" applyNumberFormat="1" applyFont="1"/>
    <xf numFmtId="0" fontId="61" fillId="5" borderId="0" xfId="372" applyFont="1" applyFill="1" applyAlignment="1">
      <alignment wrapText="1"/>
    </xf>
    <xf numFmtId="49" fontId="61" fillId="4" borderId="40" xfId="372" applyNumberFormat="1" applyFont="1" applyFill="1" applyBorder="1" applyAlignment="1" applyProtection="1">
      <alignment horizontal="right"/>
      <protection locked="0"/>
    </xf>
    <xf numFmtId="0" fontId="77" fillId="2" borderId="0" xfId="372" applyFont="1" applyFill="1"/>
    <xf numFmtId="2" fontId="22" fillId="2" borderId="1" xfId="372" applyNumberFormat="1" applyFill="1" applyBorder="1"/>
    <xf numFmtId="2" fontId="22" fillId="0" borderId="0" xfId="372" applyNumberFormat="1" applyAlignment="1">
      <alignment horizontal="right"/>
    </xf>
    <xf numFmtId="0" fontId="62" fillId="0" borderId="1" xfId="372" applyFont="1" applyBorder="1" applyAlignment="1">
      <alignment horizontal="center" vertical="center" wrapText="1"/>
    </xf>
    <xf numFmtId="0" fontId="62" fillId="0" borderId="40" xfId="372" applyFont="1" applyBorder="1" applyAlignment="1">
      <alignment horizontal="center" vertical="center" wrapText="1"/>
    </xf>
    <xf numFmtId="0" fontId="2" fillId="0" borderId="0" xfId="0" applyFont="1"/>
    <xf numFmtId="0" fontId="80" fillId="0" borderId="38" xfId="372" applyFont="1" applyBorder="1" applyAlignment="1">
      <alignment horizontal="center" vertical="center" wrapText="1"/>
    </xf>
    <xf numFmtId="0" fontId="80" fillId="2" borderId="38" xfId="372" applyFont="1" applyFill="1" applyBorder="1" applyAlignment="1">
      <alignment horizontal="center" vertical="center" wrapText="1"/>
    </xf>
    <xf numFmtId="2" fontId="7" fillId="2" borderId="0" xfId="0" applyNumberFormat="1" applyFont="1" applyFill="1"/>
    <xf numFmtId="2" fontId="105" fillId="31" borderId="27" xfId="0" applyNumberFormat="1" applyFont="1" applyFill="1" applyBorder="1"/>
    <xf numFmtId="2" fontId="77" fillId="2" borderId="0" xfId="372" applyNumberFormat="1" applyFont="1" applyFill="1"/>
    <xf numFmtId="49" fontId="0" fillId="5" borderId="10" xfId="0" applyNumberFormat="1" applyFill="1" applyBorder="1" applyAlignment="1">
      <alignment horizontal="left"/>
    </xf>
    <xf numFmtId="49" fontId="0" fillId="5" borderId="7" xfId="0" applyNumberFormat="1" applyFill="1" applyBorder="1" applyAlignment="1">
      <alignment horizontal="left"/>
    </xf>
    <xf numFmtId="0" fontId="68" fillId="37" borderId="4" xfId="0" applyFont="1" applyFill="1" applyBorder="1"/>
    <xf numFmtId="0" fontId="68" fillId="37" borderId="5" xfId="0" applyFont="1" applyFill="1" applyBorder="1"/>
    <xf numFmtId="0" fontId="68" fillId="37" borderId="5" xfId="0" applyFont="1" applyFill="1" applyBorder="1" applyAlignment="1">
      <alignment horizontal="right"/>
    </xf>
    <xf numFmtId="0" fontId="68" fillId="37" borderId="6" xfId="0" applyFont="1" applyFill="1" applyBorder="1" applyAlignment="1">
      <alignment horizontal="right"/>
    </xf>
    <xf numFmtId="1" fontId="32" fillId="0" borderId="0" xfId="372" applyNumberFormat="1" applyFont="1" applyAlignment="1" applyProtection="1">
      <alignment horizontal="right" vertical="top" wrapText="1"/>
      <protection locked="0"/>
    </xf>
    <xf numFmtId="1" fontId="32" fillId="0" borderId="0" xfId="372" applyNumberFormat="1" applyFont="1" applyAlignment="1" applyProtection="1">
      <alignment vertical="top"/>
      <protection locked="0"/>
    </xf>
    <xf numFmtId="0" fontId="67" fillId="26" borderId="40" xfId="0" applyFont="1" applyFill="1" applyBorder="1"/>
    <xf numFmtId="0" fontId="65" fillId="24" borderId="6" xfId="0" applyFont="1" applyFill="1" applyBorder="1" applyAlignment="1">
      <alignment horizontal="right"/>
    </xf>
    <xf numFmtId="0" fontId="67" fillId="38" borderId="45" xfId="374" applyFont="1" applyFill="1" applyBorder="1"/>
    <xf numFmtId="0" fontId="67" fillId="38" borderId="76" xfId="374" applyFont="1" applyFill="1" applyBorder="1"/>
    <xf numFmtId="0" fontId="47" fillId="28" borderId="41" xfId="374" applyFont="1" applyFill="1" applyBorder="1"/>
    <xf numFmtId="0" fontId="47" fillId="28" borderId="45" xfId="374" applyFont="1" applyFill="1" applyBorder="1"/>
    <xf numFmtId="0" fontId="37" fillId="28" borderId="4" xfId="374" applyFont="1" applyFill="1" applyBorder="1"/>
    <xf numFmtId="0" fontId="37" fillId="28" borderId="5" xfId="374" applyFont="1" applyFill="1" applyBorder="1"/>
    <xf numFmtId="0" fontId="37" fillId="28" borderId="5" xfId="374" applyFont="1" applyFill="1" applyBorder="1" applyAlignment="1">
      <alignment horizontal="right"/>
    </xf>
    <xf numFmtId="0" fontId="37" fillId="28" borderId="6" xfId="374" applyFont="1" applyFill="1" applyBorder="1" applyAlignment="1">
      <alignment horizontal="right"/>
    </xf>
    <xf numFmtId="0" fontId="68" fillId="38" borderId="0" xfId="505" applyFont="1" applyFill="1" applyAlignment="1">
      <alignment horizontal="justify" vertical="justify" wrapText="1"/>
    </xf>
    <xf numFmtId="0" fontId="24" fillId="0" borderId="0" xfId="505" applyFont="1" applyAlignment="1">
      <alignment wrapText="1"/>
    </xf>
    <xf numFmtId="0" fontId="45" fillId="0" borderId="0" xfId="505" applyFont="1"/>
    <xf numFmtId="0" fontId="22" fillId="10" borderId="74" xfId="372" applyFill="1" applyBorder="1" applyAlignment="1">
      <alignment horizontal="center"/>
    </xf>
    <xf numFmtId="2" fontId="108" fillId="2" borderId="0" xfId="0" applyNumberFormat="1" applyFont="1" applyFill="1"/>
    <xf numFmtId="2" fontId="65" fillId="38" borderId="1" xfId="372" applyNumberFormat="1" applyFont="1" applyFill="1" applyBorder="1"/>
    <xf numFmtId="0" fontId="65" fillId="16" borderId="0" xfId="372" applyFont="1" applyFill="1"/>
    <xf numFmtId="0" fontId="65" fillId="17" borderId="0" xfId="372" applyFont="1" applyFill="1"/>
    <xf numFmtId="0" fontId="65" fillId="20" borderId="0" xfId="372" applyFont="1" applyFill="1"/>
    <xf numFmtId="0" fontId="65" fillId="3" borderId="0" xfId="372" applyFont="1" applyFill="1"/>
    <xf numFmtId="0" fontId="65" fillId="21" borderId="0" xfId="372" applyFont="1" applyFill="1"/>
    <xf numFmtId="0" fontId="65" fillId="28" borderId="0" xfId="372" applyFont="1" applyFill="1"/>
    <xf numFmtId="0" fontId="0" fillId="8" borderId="13" xfId="0" applyFill="1" applyBorder="1"/>
    <xf numFmtId="49" fontId="0" fillId="5" borderId="53" xfId="0" applyNumberFormat="1" applyFill="1" applyBorder="1" applyAlignment="1">
      <alignment horizontal="left"/>
    </xf>
    <xf numFmtId="4" fontId="0" fillId="4" borderId="17" xfId="0" applyNumberFormat="1" applyFill="1" applyBorder="1" applyAlignment="1">
      <alignment horizontal="right"/>
    </xf>
    <xf numFmtId="0" fontId="61" fillId="5" borderId="5" xfId="372" applyFont="1" applyFill="1" applyBorder="1" applyAlignment="1">
      <alignment horizontal="left" wrapText="1"/>
    </xf>
    <xf numFmtId="0" fontId="22" fillId="5" borderId="5" xfId="372" applyFill="1" applyBorder="1" applyAlignment="1">
      <alignment horizontal="left" wrapText="1"/>
    </xf>
    <xf numFmtId="0" fontId="22" fillId="5" borderId="10" xfId="372" applyFill="1" applyBorder="1" applyAlignment="1">
      <alignment horizontal="left" wrapText="1"/>
    </xf>
    <xf numFmtId="0" fontId="61" fillId="5" borderId="10" xfId="372" applyFont="1" applyFill="1" applyBorder="1" applyAlignment="1">
      <alignment horizontal="left" wrapText="1"/>
    </xf>
    <xf numFmtId="0" fontId="61" fillId="5" borderId="77" xfId="372" applyFont="1" applyFill="1" applyBorder="1" applyAlignment="1">
      <alignment horizontal="left" wrapText="1"/>
    </xf>
    <xf numFmtId="166" fontId="0" fillId="0" borderId="0" xfId="0" applyNumberFormat="1"/>
    <xf numFmtId="0" fontId="37" fillId="0" borderId="9" xfId="0" applyFont="1" applyBorder="1" applyAlignment="1">
      <alignment horizontal="center" vertical="center" wrapText="1"/>
    </xf>
    <xf numFmtId="0" fontId="16" fillId="2" borderId="27" xfId="0" applyFont="1" applyFill="1" applyBorder="1"/>
    <xf numFmtId="165" fontId="0" fillId="2" borderId="1" xfId="0" applyNumberFormat="1" applyFill="1" applyBorder="1" applyAlignment="1">
      <alignment horizontal="center"/>
    </xf>
    <xf numFmtId="14" fontId="105" fillId="31" borderId="33" xfId="0" applyNumberFormat="1" applyFont="1" applyFill="1" applyBorder="1" applyAlignment="1">
      <alignment horizontal="center"/>
    </xf>
    <xf numFmtId="0" fontId="114" fillId="2" borderId="0" xfId="372" applyFont="1" applyFill="1"/>
    <xf numFmtId="2" fontId="114" fillId="2" borderId="0" xfId="372" applyNumberFormat="1" applyFont="1" applyFill="1"/>
    <xf numFmtId="0" fontId="115" fillId="0" borderId="0" xfId="372" applyFont="1"/>
    <xf numFmtId="0" fontId="116" fillId="0" borderId="0" xfId="377" applyFont="1" applyBorder="1" applyProtection="1"/>
    <xf numFmtId="0" fontId="114" fillId="0" borderId="0" xfId="372" applyFont="1" applyAlignment="1">
      <alignment horizontal="left"/>
    </xf>
    <xf numFmtId="0" fontId="117" fillId="0" borderId="0" xfId="0" applyFont="1"/>
    <xf numFmtId="0" fontId="118" fillId="0" borderId="0" xfId="372" applyFont="1"/>
    <xf numFmtId="0" fontId="115" fillId="0" borderId="0" xfId="0" applyFont="1"/>
    <xf numFmtId="0" fontId="119" fillId="0" borderId="0" xfId="538" applyFont="1" applyBorder="1" applyProtection="1"/>
    <xf numFmtId="0" fontId="119" fillId="0" borderId="0" xfId="372" applyFont="1" applyAlignment="1">
      <alignment horizontal="right"/>
    </xf>
    <xf numFmtId="0" fontId="115" fillId="2" borderId="0" xfId="372" applyFont="1" applyFill="1"/>
    <xf numFmtId="0" fontId="116" fillId="2" borderId="0" xfId="377" applyFont="1" applyFill="1" applyBorder="1" applyProtection="1"/>
    <xf numFmtId="0" fontId="118" fillId="2" borderId="0" xfId="372" applyFont="1" applyFill="1"/>
    <xf numFmtId="0" fontId="119" fillId="2" borderId="0" xfId="538" applyFont="1" applyFill="1" applyBorder="1" applyProtection="1"/>
    <xf numFmtId="0" fontId="119" fillId="2" borderId="0" xfId="372" applyFont="1" applyFill="1" applyAlignment="1">
      <alignment horizontal="right"/>
    </xf>
    <xf numFmtId="0" fontId="117" fillId="2" borderId="0" xfId="0" applyFont="1" applyFill="1"/>
    <xf numFmtId="0" fontId="115" fillId="4" borderId="0" xfId="372" applyFont="1" applyFill="1"/>
    <xf numFmtId="0" fontId="115" fillId="15" borderId="0" xfId="372" applyFont="1" applyFill="1"/>
    <xf numFmtId="0" fontId="115" fillId="14" borderId="0" xfId="372" applyFont="1" applyFill="1"/>
    <xf numFmtId="2" fontId="115" fillId="0" borderId="0" xfId="372" applyNumberFormat="1" applyFont="1" applyAlignment="1" applyProtection="1">
      <alignment horizontal="left"/>
      <protection locked="0"/>
    </xf>
    <xf numFmtId="2" fontId="115" fillId="2" borderId="0" xfId="372" applyNumberFormat="1" applyFont="1" applyFill="1" applyAlignment="1" applyProtection="1">
      <alignment horizontal="left"/>
      <protection locked="0"/>
    </xf>
    <xf numFmtId="2" fontId="117" fillId="0" borderId="0" xfId="0" applyNumberFormat="1" applyFont="1"/>
    <xf numFmtId="0" fontId="117" fillId="4" borderId="0" xfId="0" applyFont="1" applyFill="1"/>
    <xf numFmtId="0" fontId="115" fillId="2" borderId="0" xfId="0" applyFont="1" applyFill="1"/>
    <xf numFmtId="0" fontId="0" fillId="2" borderId="12" xfId="0" applyFill="1" applyBorder="1" applyAlignment="1" applyProtection="1">
      <alignment vertical="center"/>
      <protection locked="0"/>
    </xf>
    <xf numFmtId="0" fontId="0" fillId="2" borderId="18" xfId="0" applyFill="1" applyBorder="1" applyAlignment="1" applyProtection="1">
      <alignment horizontal="right"/>
      <protection locked="0"/>
    </xf>
    <xf numFmtId="2" fontId="66" fillId="2" borderId="0" xfId="372" applyNumberFormat="1" applyFont="1" applyFill="1" applyAlignment="1">
      <alignment horizontal="center"/>
    </xf>
    <xf numFmtId="2" fontId="22" fillId="0" borderId="0" xfId="0" applyNumberFormat="1" applyFont="1" applyAlignment="1" applyProtection="1">
      <alignment horizontal="left"/>
      <protection locked="0"/>
    </xf>
    <xf numFmtId="2" fontId="22" fillId="44" borderId="0" xfId="0" applyNumberFormat="1" applyFont="1" applyFill="1" applyAlignment="1" applyProtection="1">
      <alignment horizontal="left"/>
      <protection locked="0"/>
    </xf>
    <xf numFmtId="2" fontId="79" fillId="44" borderId="0" xfId="0" applyNumberFormat="1" applyFont="1" applyFill="1" applyAlignment="1" applyProtection="1">
      <alignment horizontal="left"/>
      <protection locked="0"/>
    </xf>
    <xf numFmtId="0" fontId="14" fillId="0" borderId="0" xfId="0" applyFont="1"/>
    <xf numFmtId="1" fontId="73" fillId="0" borderId="10" xfId="374" applyNumberFormat="1" applyFont="1" applyBorder="1"/>
    <xf numFmtId="1" fontId="33" fillId="0" borderId="0" xfId="374" applyNumberFormat="1" applyFont="1"/>
    <xf numFmtId="0" fontId="22" fillId="2" borderId="4" xfId="372" applyFill="1" applyBorder="1" applyAlignment="1">
      <alignment horizontal="center"/>
    </xf>
    <xf numFmtId="0" fontId="22" fillId="2" borderId="5" xfId="372" applyFill="1" applyBorder="1" applyAlignment="1">
      <alignment horizontal="center"/>
    </xf>
    <xf numFmtId="0" fontId="22" fillId="2" borderId="5" xfId="372" applyFill="1" applyBorder="1" applyProtection="1">
      <protection locked="0"/>
    </xf>
    <xf numFmtId="0" fontId="22" fillId="2" borderId="6" xfId="372" applyFill="1" applyBorder="1" applyAlignment="1">
      <alignment horizontal="center"/>
    </xf>
    <xf numFmtId="1" fontId="50" fillId="2" borderId="5" xfId="372" applyNumberFormat="1" applyFont="1" applyFill="1" applyBorder="1" applyAlignment="1">
      <alignment horizontal="center"/>
    </xf>
    <xf numFmtId="0" fontId="22" fillId="4" borderId="4" xfId="372" applyFill="1" applyBorder="1" applyAlignment="1">
      <alignment horizontal="center"/>
    </xf>
    <xf numFmtId="0" fontId="22" fillId="4" borderId="5" xfId="372" applyFill="1" applyBorder="1" applyAlignment="1">
      <alignment horizontal="center"/>
    </xf>
    <xf numFmtId="0" fontId="22" fillId="4" borderId="5" xfId="372" applyFill="1" applyBorder="1" applyProtection="1">
      <protection locked="0"/>
    </xf>
    <xf numFmtId="1" fontId="50" fillId="4" borderId="6" xfId="372" applyNumberFormat="1" applyFont="1" applyFill="1" applyBorder="1" applyAlignment="1">
      <alignment horizontal="center"/>
    </xf>
    <xf numFmtId="1" fontId="50" fillId="2" borderId="6" xfId="372" applyNumberFormat="1" applyFont="1" applyFill="1" applyBorder="1" applyAlignment="1">
      <alignment horizontal="center"/>
    </xf>
    <xf numFmtId="1" fontId="50" fillId="4" borderId="5" xfId="372" applyNumberFormat="1" applyFont="1" applyFill="1" applyBorder="1" applyAlignment="1">
      <alignment horizontal="center"/>
    </xf>
    <xf numFmtId="0" fontId="50" fillId="4" borderId="6" xfId="372" applyFont="1" applyFill="1" applyBorder="1" applyAlignment="1">
      <alignment horizontal="center"/>
    </xf>
    <xf numFmtId="0" fontId="50" fillId="2" borderId="6" xfId="372" applyFont="1" applyFill="1" applyBorder="1" applyAlignment="1">
      <alignment horizontal="center"/>
    </xf>
    <xf numFmtId="1" fontId="32" fillId="2" borderId="46" xfId="372" applyNumberFormat="1" applyFont="1" applyFill="1" applyBorder="1" applyAlignment="1" applyProtection="1">
      <alignment horizontal="right" vertical="top" wrapText="1"/>
      <protection locked="0"/>
    </xf>
    <xf numFmtId="0" fontId="22" fillId="2" borderId="34" xfId="372" applyFill="1" applyBorder="1" applyAlignment="1">
      <alignment horizontal="center"/>
    </xf>
    <xf numFmtId="0" fontId="22" fillId="2" borderId="27" xfId="372" applyFill="1" applyBorder="1" applyAlignment="1">
      <alignment horizontal="center"/>
    </xf>
    <xf numFmtId="0" fontId="22" fillId="2" borderId="27" xfId="372" applyFill="1" applyBorder="1" applyProtection="1">
      <protection locked="0"/>
    </xf>
    <xf numFmtId="1" fontId="50" fillId="2" borderId="19" xfId="372" applyNumberFormat="1" applyFont="1" applyFill="1" applyBorder="1" applyAlignment="1">
      <alignment horizontal="center"/>
    </xf>
    <xf numFmtId="0" fontId="22" fillId="4" borderId="34" xfId="372" applyFill="1" applyBorder="1" applyAlignment="1">
      <alignment horizontal="center"/>
    </xf>
    <xf numFmtId="0" fontId="22" fillId="4" borderId="27" xfId="372" applyFill="1" applyBorder="1" applyAlignment="1">
      <alignment horizontal="center"/>
    </xf>
    <xf numFmtId="1" fontId="50" fillId="4" borderId="19" xfId="372" applyNumberFormat="1" applyFont="1" applyFill="1" applyBorder="1" applyAlignment="1">
      <alignment horizontal="center"/>
    </xf>
    <xf numFmtId="0" fontId="22" fillId="4" borderId="27" xfId="372" applyFill="1" applyBorder="1" applyProtection="1">
      <protection locked="0"/>
    </xf>
    <xf numFmtId="0" fontId="22" fillId="0" borderId="29" xfId="372" applyBorder="1" applyAlignment="1">
      <alignment horizontal="center"/>
    </xf>
    <xf numFmtId="0" fontId="22" fillId="0" borderId="43" xfId="372" applyBorder="1" applyAlignment="1">
      <alignment horizontal="center"/>
    </xf>
    <xf numFmtId="0" fontId="51" fillId="10" borderId="43" xfId="372" applyFont="1" applyFill="1" applyBorder="1" applyProtection="1">
      <protection locked="0"/>
    </xf>
    <xf numFmtId="1" fontId="22" fillId="10" borderId="44" xfId="372" applyNumberFormat="1" applyFill="1" applyBorder="1" applyProtection="1">
      <protection locked="0"/>
    </xf>
    <xf numFmtId="0" fontId="22" fillId="0" borderId="5" xfId="372" applyBorder="1" applyAlignment="1">
      <alignment horizontal="center" wrapText="1"/>
    </xf>
    <xf numFmtId="0" fontId="55" fillId="0" borderId="27" xfId="372" applyFont="1" applyBorder="1" applyAlignment="1">
      <alignment horizontal="centerContinuous"/>
    </xf>
    <xf numFmtId="0" fontId="55" fillId="0" borderId="11" xfId="372" applyFont="1" applyBorder="1" applyAlignment="1">
      <alignment horizontal="centerContinuous"/>
    </xf>
    <xf numFmtId="0" fontId="54" fillId="0" borderId="38" xfId="372" applyFont="1" applyBorder="1" applyAlignment="1">
      <alignment horizontal="centerContinuous"/>
    </xf>
    <xf numFmtId="167" fontId="55" fillId="0" borderId="38" xfId="372" applyNumberFormat="1" applyFont="1" applyBorder="1" applyAlignment="1">
      <alignment horizontal="centerContinuous"/>
    </xf>
    <xf numFmtId="167" fontId="54" fillId="0" borderId="39" xfId="372" applyNumberFormat="1" applyFont="1" applyBorder="1" applyAlignment="1">
      <alignment horizontal="centerContinuous" vertical="top"/>
    </xf>
    <xf numFmtId="0" fontId="22" fillId="10" borderId="2" xfId="372" applyFill="1" applyBorder="1" applyAlignment="1">
      <alignment horizontal="center"/>
    </xf>
    <xf numFmtId="0" fontId="22" fillId="10" borderId="10" xfId="372" applyFill="1" applyBorder="1" applyAlignment="1">
      <alignment horizontal="center"/>
    </xf>
    <xf numFmtId="0" fontId="22" fillId="10" borderId="54" xfId="372" applyFill="1" applyBorder="1" applyAlignment="1">
      <alignment horizontal="center"/>
    </xf>
    <xf numFmtId="1" fontId="50" fillId="10" borderId="56" xfId="372" applyNumberFormat="1" applyFont="1" applyFill="1" applyBorder="1" applyAlignment="1">
      <alignment horizontal="center"/>
    </xf>
    <xf numFmtId="0" fontId="22" fillId="10" borderId="69" xfId="372" applyFill="1" applyBorder="1" applyAlignment="1">
      <alignment horizontal="center"/>
    </xf>
    <xf numFmtId="0" fontId="22" fillId="10" borderId="71" xfId="372" applyFill="1" applyBorder="1" applyAlignment="1">
      <alignment horizontal="center"/>
    </xf>
    <xf numFmtId="1" fontId="50" fillId="10" borderId="70" xfId="372" applyNumberFormat="1" applyFont="1" applyFill="1" applyBorder="1" applyAlignment="1">
      <alignment horizontal="center"/>
    </xf>
    <xf numFmtId="1" fontId="32" fillId="0" borderId="10" xfId="372" applyNumberFormat="1" applyFont="1" applyBorder="1" applyAlignment="1" applyProtection="1">
      <alignment vertical="top"/>
      <protection locked="0"/>
    </xf>
    <xf numFmtId="0" fontId="22" fillId="10" borderId="73" xfId="372" applyFill="1" applyBorder="1" applyAlignment="1">
      <alignment horizontal="center"/>
    </xf>
    <xf numFmtId="1" fontId="50" fillId="10" borderId="72" xfId="372" applyNumberFormat="1" applyFont="1" applyFill="1" applyBorder="1" applyAlignment="1">
      <alignment horizontal="center"/>
    </xf>
    <xf numFmtId="0" fontId="22" fillId="10" borderId="93" xfId="372" applyFill="1" applyBorder="1" applyAlignment="1">
      <alignment horizontal="center"/>
    </xf>
    <xf numFmtId="0" fontId="22" fillId="10" borderId="50" xfId="372" applyFill="1" applyBorder="1" applyAlignment="1">
      <alignment horizontal="center"/>
    </xf>
    <xf numFmtId="1" fontId="50" fillId="10" borderId="51" xfId="372" applyNumberFormat="1" applyFont="1" applyFill="1" applyBorder="1" applyAlignment="1">
      <alignment horizontal="center"/>
    </xf>
    <xf numFmtId="1" fontId="22" fillId="0" borderId="5" xfId="372" applyNumberFormat="1" applyBorder="1" applyAlignment="1">
      <alignment horizontal="center"/>
    </xf>
    <xf numFmtId="0" fontId="22" fillId="0" borderId="4" xfId="372" applyBorder="1" applyAlignment="1">
      <alignment horizontal="center"/>
    </xf>
    <xf numFmtId="1" fontId="22" fillId="0" borderId="6" xfId="372" applyNumberFormat="1" applyBorder="1" applyAlignment="1">
      <alignment horizontal="center"/>
    </xf>
    <xf numFmtId="1" fontId="22" fillId="10" borderId="5" xfId="372" applyNumberFormat="1" applyFill="1" applyBorder="1" applyProtection="1">
      <protection locked="0"/>
    </xf>
    <xf numFmtId="1" fontId="22" fillId="10" borderId="6" xfId="372" applyNumberFormat="1" applyFill="1" applyBorder="1" applyProtection="1">
      <protection locked="0"/>
    </xf>
    <xf numFmtId="0" fontId="22" fillId="0" borderId="5" xfId="372" applyBorder="1" applyAlignment="1" applyProtection="1">
      <alignment horizontal="left" wrapText="1"/>
      <protection locked="0"/>
    </xf>
    <xf numFmtId="0" fontId="22" fillId="0" borderId="5" xfId="372" applyBorder="1" applyAlignment="1">
      <alignment horizontal="left" wrapText="1"/>
    </xf>
    <xf numFmtId="0" fontId="22" fillId="0" borderId="0" xfId="372" applyAlignment="1" applyProtection="1">
      <alignment horizontal="left"/>
      <protection locked="0"/>
    </xf>
    <xf numFmtId="0" fontId="41" fillId="10" borderId="5" xfId="372" applyFont="1" applyFill="1" applyBorder="1" applyAlignment="1">
      <alignment horizontal="left" wrapText="1"/>
    </xf>
    <xf numFmtId="0" fontId="41" fillId="10" borderId="43" xfId="372" applyFont="1" applyFill="1" applyBorder="1" applyAlignment="1">
      <alignment horizontal="left" wrapText="1"/>
    </xf>
    <xf numFmtId="0" fontId="51" fillId="10" borderId="5" xfId="372" applyFont="1" applyFill="1" applyBorder="1" applyAlignment="1" applyProtection="1">
      <alignment horizontal="left" wrapText="1"/>
      <protection locked="0"/>
    </xf>
    <xf numFmtId="0" fontId="30" fillId="0" borderId="4" xfId="373" applyFont="1" applyBorder="1" applyAlignment="1">
      <alignment horizontal="centerContinuous"/>
    </xf>
    <xf numFmtId="0" fontId="31" fillId="0" borderId="5" xfId="373" applyFont="1" applyBorder="1" applyAlignment="1">
      <alignment horizontal="centerContinuous"/>
    </xf>
    <xf numFmtId="167" fontId="26" fillId="0" borderId="5" xfId="373" applyNumberFormat="1" applyFont="1" applyBorder="1" applyAlignment="1">
      <alignment horizontal="centerContinuous"/>
    </xf>
    <xf numFmtId="167" fontId="24" fillId="0" borderId="6" xfId="373" applyNumberFormat="1" applyBorder="1" applyAlignment="1">
      <alignment horizontal="centerContinuous" vertical="top"/>
    </xf>
    <xf numFmtId="0" fontId="30" fillId="0" borderId="5" xfId="373" applyFont="1" applyBorder="1" applyAlignment="1">
      <alignment horizontal="centerContinuous"/>
    </xf>
    <xf numFmtId="1" fontId="30" fillId="0" borderId="4" xfId="373" applyNumberFormat="1" applyFont="1" applyBorder="1" applyAlignment="1">
      <alignment horizontal="centerContinuous"/>
    </xf>
    <xf numFmtId="0" fontId="22" fillId="0" borderId="34" xfId="372" applyBorder="1" applyAlignment="1">
      <alignment horizontal="center"/>
    </xf>
    <xf numFmtId="0" fontId="22" fillId="0" borderId="27" xfId="372" applyBorder="1" applyAlignment="1">
      <alignment horizontal="center"/>
    </xf>
    <xf numFmtId="0" fontId="51" fillId="10" borderId="27" xfId="372" applyFont="1" applyFill="1" applyBorder="1" applyProtection="1">
      <protection locked="0"/>
    </xf>
    <xf numFmtId="0" fontId="22" fillId="0" borderId="27" xfId="372" applyBorder="1" applyAlignment="1" applyProtection="1">
      <alignment horizontal="left" wrapText="1"/>
      <protection locked="0"/>
    </xf>
    <xf numFmtId="1" fontId="22" fillId="10" borderId="19" xfId="372" applyNumberFormat="1" applyFill="1" applyBorder="1" applyProtection="1">
      <protection locked="0"/>
    </xf>
    <xf numFmtId="0" fontId="23" fillId="0" borderId="4" xfId="372" applyFont="1" applyBorder="1" applyAlignment="1">
      <alignment horizontal="centerContinuous"/>
    </xf>
    <xf numFmtId="0" fontId="25" fillId="0" borderId="5" xfId="373" applyFont="1" applyBorder="1" applyAlignment="1">
      <alignment horizontal="centerContinuous"/>
    </xf>
    <xf numFmtId="0" fontId="26" fillId="0" borderId="5" xfId="373" applyFont="1" applyBorder="1" applyAlignment="1">
      <alignment horizontal="centerContinuous"/>
    </xf>
    <xf numFmtId="0" fontId="24" fillId="0" borderId="6" xfId="373" applyBorder="1" applyAlignment="1">
      <alignment horizontal="centerContinuous" vertical="top"/>
    </xf>
    <xf numFmtId="0" fontId="27" fillId="0" borderId="5" xfId="373" applyFont="1" applyBorder="1" applyAlignment="1">
      <alignment horizontal="centerContinuous"/>
    </xf>
    <xf numFmtId="0" fontId="24" fillId="0" borderId="5" xfId="373" applyBorder="1" applyAlignment="1">
      <alignment horizontal="centerContinuous" vertical="top"/>
    </xf>
    <xf numFmtId="2" fontId="61" fillId="3" borderId="1" xfId="372" applyNumberFormat="1" applyFont="1" applyFill="1" applyBorder="1" applyAlignment="1" applyProtection="1">
      <alignment horizontal="center"/>
      <protection locked="0"/>
    </xf>
    <xf numFmtId="2" fontId="61" fillId="0" borderId="1" xfId="372" applyNumberFormat="1" applyFont="1" applyBorder="1" applyAlignment="1" applyProtection="1">
      <alignment horizontal="center"/>
      <protection locked="0"/>
    </xf>
    <xf numFmtId="2" fontId="61" fillId="4" borderId="1" xfId="372" applyNumberFormat="1" applyFont="1" applyFill="1" applyBorder="1" applyAlignment="1">
      <alignment horizontal="center"/>
    </xf>
    <xf numFmtId="2" fontId="61" fillId="4" borderId="16" xfId="372" applyNumberFormat="1" applyFont="1" applyFill="1" applyBorder="1" applyAlignment="1">
      <alignment horizontal="center" vertical="center"/>
    </xf>
    <xf numFmtId="0" fontId="7" fillId="4" borderId="18" xfId="0" applyFont="1" applyFill="1" applyBorder="1" applyAlignment="1">
      <alignment horizontal="center" vertical="center" wrapText="1"/>
    </xf>
    <xf numFmtId="1" fontId="33" fillId="0" borderId="10" xfId="374" applyNumberFormat="1" applyFont="1" applyBorder="1"/>
    <xf numFmtId="1" fontId="34" fillId="0" borderId="10" xfId="372" applyNumberFormat="1" applyFont="1" applyBorder="1" applyAlignment="1">
      <alignment horizontal="center"/>
    </xf>
    <xf numFmtId="1" fontId="17" fillId="0" borderId="0" xfId="0" applyNumberFormat="1" applyFont="1"/>
    <xf numFmtId="0" fontId="130" fillId="0" borderId="0" xfId="374" applyFont="1"/>
    <xf numFmtId="0" fontId="0" fillId="2" borderId="1" xfId="0" applyFill="1" applyBorder="1" applyAlignment="1" applyProtection="1">
      <alignment horizontal="left"/>
      <protection locked="0"/>
    </xf>
    <xf numFmtId="1" fontId="50" fillId="2" borderId="7" xfId="372" applyNumberFormat="1" applyFont="1" applyFill="1" applyBorder="1" applyAlignment="1">
      <alignment horizontal="center"/>
    </xf>
    <xf numFmtId="0" fontId="22" fillId="2" borderId="10" xfId="372" applyFill="1" applyBorder="1" applyAlignment="1" applyProtection="1">
      <alignment horizontal="left" wrapText="1"/>
      <protection locked="0"/>
    </xf>
    <xf numFmtId="1" fontId="22" fillId="2" borderId="7" xfId="372" applyNumberFormat="1" applyFill="1" applyBorder="1" applyProtection="1">
      <protection locked="0"/>
    </xf>
    <xf numFmtId="0" fontId="22" fillId="4" borderId="6" xfId="372" applyFill="1" applyBorder="1" applyAlignment="1">
      <alignment horizontal="center"/>
    </xf>
    <xf numFmtId="0" fontId="50" fillId="2" borderId="5" xfId="372" applyFont="1" applyFill="1" applyBorder="1" applyProtection="1">
      <protection locked="0"/>
    </xf>
    <xf numFmtId="0" fontId="50" fillId="2" borderId="27" xfId="372" applyFont="1" applyFill="1" applyBorder="1" applyProtection="1">
      <protection locked="0"/>
    </xf>
    <xf numFmtId="0" fontId="0" fillId="2" borderId="64" xfId="0" applyFill="1" applyBorder="1" applyProtection="1">
      <protection locked="0"/>
    </xf>
    <xf numFmtId="2" fontId="85" fillId="31" borderId="22" xfId="0" applyNumberFormat="1" applyFont="1" applyFill="1" applyBorder="1"/>
    <xf numFmtId="0" fontId="62" fillId="0" borderId="0" xfId="505" applyFont="1" applyAlignment="1">
      <alignment wrapText="1"/>
    </xf>
    <xf numFmtId="166" fontId="0" fillId="3" borderId="9" xfId="0" applyNumberFormat="1" applyFill="1" applyBorder="1" applyAlignment="1" applyProtection="1">
      <alignment horizontal="center"/>
      <protection locked="0"/>
    </xf>
    <xf numFmtId="166" fontId="0" fillId="3" borderId="15" xfId="0" applyNumberFormat="1" applyFill="1" applyBorder="1" applyAlignment="1" applyProtection="1">
      <alignment horizontal="center"/>
      <protection locked="0"/>
    </xf>
    <xf numFmtId="0" fontId="0" fillId="5" borderId="27" xfId="0" applyFill="1" applyBorder="1" applyAlignment="1">
      <alignment vertical="center"/>
    </xf>
    <xf numFmtId="0" fontId="0" fillId="5" borderId="5" xfId="0" applyFill="1" applyBorder="1" applyAlignment="1">
      <alignment vertical="center"/>
    </xf>
    <xf numFmtId="0" fontId="133" fillId="0" borderId="0" xfId="0" applyFont="1"/>
    <xf numFmtId="0" fontId="0" fillId="2" borderId="1" xfId="0" applyFill="1" applyBorder="1" applyAlignment="1" applyProtection="1">
      <alignment horizontal="left" wrapText="1"/>
      <protection locked="0"/>
    </xf>
    <xf numFmtId="0" fontId="0" fillId="2" borderId="14" xfId="0" applyFill="1" applyBorder="1" applyAlignment="1" applyProtection="1">
      <alignment horizontal="left"/>
      <protection locked="0"/>
    </xf>
    <xf numFmtId="166" fontId="0" fillId="3" borderId="4" xfId="0" applyNumberFormat="1" applyFill="1" applyBorder="1" applyAlignment="1" applyProtection="1">
      <alignment horizontal="center" wrapText="1"/>
      <protection locked="0"/>
    </xf>
    <xf numFmtId="166" fontId="0" fillId="4" borderId="1" xfId="0" applyNumberFormat="1" applyFill="1" applyBorder="1" applyAlignment="1" applyProtection="1">
      <alignment horizontal="center" wrapText="1"/>
      <protection locked="0"/>
    </xf>
    <xf numFmtId="0" fontId="0" fillId="2" borderId="14" xfId="0" applyFill="1" applyBorder="1" applyAlignment="1" applyProtection="1">
      <alignment horizontal="left" wrapText="1"/>
      <protection locked="0"/>
    </xf>
    <xf numFmtId="0" fontId="0" fillId="5" borderId="10" xfId="0" applyFill="1" applyBorder="1" applyAlignment="1">
      <alignment horizontal="center"/>
    </xf>
    <xf numFmtId="2" fontId="14" fillId="5" borderId="1" xfId="0" applyNumberFormat="1" applyFont="1" applyFill="1" applyBorder="1"/>
    <xf numFmtId="2" fontId="14" fillId="5" borderId="16" xfId="0" applyNumberFormat="1" applyFont="1" applyFill="1" applyBorder="1"/>
    <xf numFmtId="0" fontId="61" fillId="4" borderId="14" xfId="372" applyFont="1" applyFill="1" applyBorder="1" applyAlignment="1" applyProtection="1">
      <alignment horizontal="right"/>
      <protection locked="0"/>
    </xf>
    <xf numFmtId="0" fontId="22" fillId="4" borderId="14" xfId="372" applyFill="1" applyBorder="1"/>
    <xf numFmtId="0" fontId="61" fillId="4" borderId="40" xfId="372" applyFont="1" applyFill="1" applyBorder="1" applyAlignment="1" applyProtection="1">
      <alignment horizontal="right"/>
      <protection locked="0"/>
    </xf>
    <xf numFmtId="0" fontId="17" fillId="22" borderId="0" xfId="0" applyFont="1" applyFill="1"/>
    <xf numFmtId="0" fontId="134" fillId="0" borderId="0" xfId="0" applyFont="1"/>
    <xf numFmtId="0" fontId="136" fillId="0" borderId="0" xfId="0" applyFont="1"/>
    <xf numFmtId="0" fontId="137" fillId="0" borderId="0" xfId="0" applyFont="1" applyAlignment="1">
      <alignment horizontal="left"/>
    </xf>
    <xf numFmtId="0" fontId="0" fillId="0" borderId="33" xfId="0" applyBorder="1" applyAlignment="1">
      <alignment horizontal="center" wrapText="1"/>
    </xf>
    <xf numFmtId="0" fontId="0" fillId="46" borderId="0" xfId="0" applyFill="1" applyAlignment="1">
      <alignment wrapText="1"/>
    </xf>
    <xf numFmtId="0" fontId="0" fillId="0" borderId="33" xfId="0" applyBorder="1"/>
    <xf numFmtId="0" fontId="17" fillId="22" borderId="0" xfId="0" applyFont="1" applyFill="1" applyAlignment="1">
      <alignment horizontal="center"/>
    </xf>
    <xf numFmtId="0" fontId="0" fillId="0" borderId="1" xfId="0" applyBorder="1" applyAlignment="1">
      <alignment wrapText="1"/>
    </xf>
    <xf numFmtId="0" fontId="0" fillId="46" borderId="1" xfId="0" applyFill="1" applyBorder="1" applyAlignment="1">
      <alignment horizontal="center" wrapText="1"/>
    </xf>
    <xf numFmtId="0" fontId="0" fillId="0" borderId="9" xfId="0" applyBorder="1" applyAlignment="1">
      <alignment horizontal="center" wrapText="1"/>
    </xf>
    <xf numFmtId="0" fontId="0" fillId="46" borderId="14" xfId="0" applyFill="1" applyBorder="1" applyAlignment="1">
      <alignment wrapText="1"/>
    </xf>
    <xf numFmtId="0" fontId="0" fillId="0" borderId="14" xfId="0" applyBorder="1"/>
    <xf numFmtId="0" fontId="114" fillId="2" borderId="0" xfId="372" applyFont="1" applyFill="1" applyAlignment="1">
      <alignment horizontal="center"/>
    </xf>
    <xf numFmtId="0" fontId="107" fillId="2" borderId="0" xfId="372" applyFont="1" applyFill="1" applyAlignment="1">
      <alignment horizontal="left"/>
    </xf>
    <xf numFmtId="0" fontId="77" fillId="2" borderId="0" xfId="372" applyFont="1" applyFill="1" applyAlignment="1">
      <alignment horizontal="left"/>
    </xf>
    <xf numFmtId="0" fontId="117" fillId="2" borderId="0" xfId="0" applyFont="1" applyFill="1" applyAlignment="1">
      <alignment horizontal="left"/>
    </xf>
    <xf numFmtId="9" fontId="107" fillId="2" borderId="0" xfId="372" applyNumberFormat="1" applyFont="1" applyFill="1" applyAlignment="1">
      <alignment horizontal="left"/>
    </xf>
    <xf numFmtId="0" fontId="139" fillId="2" borderId="0" xfId="372" applyFont="1" applyFill="1"/>
    <xf numFmtId="0" fontId="110" fillId="2" borderId="0" xfId="372" applyFont="1" applyFill="1" applyAlignment="1">
      <alignment horizontal="left"/>
    </xf>
    <xf numFmtId="0" fontId="111" fillId="2" borderId="0" xfId="372" applyFont="1" applyFill="1" applyAlignment="1">
      <alignment horizontal="left"/>
    </xf>
    <xf numFmtId="0" fontId="112" fillId="2" borderId="0" xfId="372" applyFont="1" applyFill="1" applyAlignment="1">
      <alignment horizontal="left"/>
    </xf>
    <xf numFmtId="0" fontId="113" fillId="2" borderId="0" xfId="372" applyFont="1" applyFill="1" applyAlignment="1">
      <alignment horizontal="left"/>
    </xf>
    <xf numFmtId="0" fontId="133" fillId="0" borderId="23" xfId="0" applyFont="1" applyBorder="1"/>
    <xf numFmtId="0" fontId="133" fillId="0" borderId="24" xfId="0" applyFont="1" applyBorder="1"/>
    <xf numFmtId="0" fontId="0" fillId="46" borderId="0" xfId="0" applyFill="1"/>
    <xf numFmtId="0" fontId="0" fillId="46" borderId="78" xfId="0" applyFill="1" applyBorder="1"/>
    <xf numFmtId="0" fontId="133" fillId="46" borderId="24" xfId="0" applyFont="1" applyFill="1" applyBorder="1"/>
    <xf numFmtId="0" fontId="0" fillId="46" borderId="1" xfId="0" applyFill="1" applyBorder="1"/>
    <xf numFmtId="0" fontId="0" fillId="46" borderId="14" xfId="0" applyFill="1" applyBorder="1"/>
    <xf numFmtId="0" fontId="133" fillId="46" borderId="25" xfId="0" applyFont="1" applyFill="1" applyBorder="1"/>
    <xf numFmtId="0" fontId="140" fillId="2" borderId="0" xfId="372" applyFont="1" applyFill="1"/>
    <xf numFmtId="0" fontId="142" fillId="2" borderId="0" xfId="372" applyFont="1" applyFill="1"/>
    <xf numFmtId="2" fontId="142" fillId="0" borderId="0" xfId="372" applyNumberFormat="1" applyFont="1"/>
    <xf numFmtId="2" fontId="143" fillId="0" borderId="0" xfId="372" applyNumberFormat="1" applyFont="1"/>
    <xf numFmtId="0" fontId="143" fillId="2" borderId="0" xfId="372" applyFont="1" applyFill="1" applyAlignment="1">
      <alignment horizontal="left"/>
    </xf>
    <xf numFmtId="0" fontId="0" fillId="27" borderId="9" xfId="0" applyFill="1" applyBorder="1" applyAlignment="1">
      <alignment horizontal="center" wrapText="1"/>
    </xf>
    <xf numFmtId="0" fontId="0" fillId="27" borderId="1" xfId="0" applyFill="1" applyBorder="1" applyAlignment="1">
      <alignment wrapText="1"/>
    </xf>
    <xf numFmtId="0" fontId="0" fillId="27" borderId="14" xfId="0" applyFill="1" applyBorder="1" applyAlignment="1">
      <alignment wrapText="1"/>
    </xf>
    <xf numFmtId="0" fontId="133" fillId="27" borderId="24" xfId="0" applyFont="1" applyFill="1" applyBorder="1"/>
    <xf numFmtId="0" fontId="0" fillId="27" borderId="1" xfId="0" applyFill="1" applyBorder="1" applyAlignment="1">
      <alignment horizontal="center" wrapText="1"/>
    </xf>
    <xf numFmtId="0" fontId="0" fillId="46" borderId="4" xfId="0" applyFill="1" applyBorder="1" applyAlignment="1">
      <alignment wrapText="1"/>
    </xf>
    <xf numFmtId="0" fontId="0" fillId="46" borderId="4" xfId="0" applyFill="1" applyBorder="1"/>
    <xf numFmtId="0" fontId="133" fillId="27" borderId="45" xfId="0" applyFont="1" applyFill="1" applyBorder="1"/>
    <xf numFmtId="0" fontId="133" fillId="27" borderId="76" xfId="0" applyFont="1" applyFill="1" applyBorder="1"/>
    <xf numFmtId="0" fontId="0" fillId="27" borderId="9" xfId="0" applyFill="1" applyBorder="1" applyAlignment="1">
      <alignment wrapText="1"/>
    </xf>
    <xf numFmtId="0" fontId="17" fillId="22" borderId="14" xfId="0" applyFont="1" applyFill="1" applyBorder="1"/>
    <xf numFmtId="0" fontId="0" fillId="0" borderId="95" xfId="0" applyBorder="1"/>
    <xf numFmtId="0" fontId="17" fillId="0" borderId="78" xfId="0" applyFont="1" applyBorder="1"/>
    <xf numFmtId="2" fontId="17" fillId="0" borderId="78" xfId="0" applyNumberFormat="1" applyFont="1" applyBorder="1" applyAlignment="1">
      <alignment horizontal="center"/>
    </xf>
    <xf numFmtId="166" fontId="17" fillId="0" borderId="78" xfId="0" applyNumberFormat="1" applyFont="1" applyBorder="1" applyAlignment="1">
      <alignment wrapText="1"/>
    </xf>
    <xf numFmtId="166" fontId="0" fillId="2" borderId="1" xfId="0" applyNumberFormat="1" applyFill="1" applyBorder="1" applyAlignment="1" applyProtection="1">
      <alignment horizontal="center"/>
      <protection locked="0"/>
    </xf>
    <xf numFmtId="166" fontId="0" fillId="2" borderId="1" xfId="0" applyNumberFormat="1" applyFill="1" applyBorder="1" applyAlignment="1">
      <alignment horizontal="center"/>
    </xf>
    <xf numFmtId="0" fontId="0" fillId="4" borderId="5" xfId="0" applyFill="1" applyBorder="1" applyAlignment="1">
      <alignment horizontal="center" wrapText="1"/>
    </xf>
    <xf numFmtId="0" fontId="0" fillId="4" borderId="9" xfId="0" applyFill="1" applyBorder="1" applyAlignment="1">
      <alignment wrapText="1"/>
    </xf>
    <xf numFmtId="0" fontId="13" fillId="0" borderId="0" xfId="0" applyFont="1" applyAlignment="1">
      <alignment wrapText="1"/>
    </xf>
    <xf numFmtId="0" fontId="13" fillId="46" borderId="78" xfId="0" applyFont="1" applyFill="1" applyBorder="1" applyAlignment="1">
      <alignment wrapText="1"/>
    </xf>
    <xf numFmtId="0" fontId="13" fillId="46" borderId="0" xfId="0" applyFont="1" applyFill="1" applyAlignment="1">
      <alignment wrapText="1"/>
    </xf>
    <xf numFmtId="0" fontId="13" fillId="0" borderId="33" xfId="0" applyFont="1" applyBorder="1" applyAlignment="1">
      <alignment horizontal="center" wrapText="1"/>
    </xf>
    <xf numFmtId="0" fontId="145" fillId="4" borderId="59" xfId="372" applyFont="1" applyFill="1" applyBorder="1" applyAlignment="1">
      <alignment horizontal="center" vertical="center" wrapText="1"/>
    </xf>
    <xf numFmtId="2" fontId="85" fillId="48" borderId="22" xfId="0" applyNumberFormat="1" applyFont="1" applyFill="1" applyBorder="1" applyAlignment="1">
      <alignment horizontal="center"/>
    </xf>
    <xf numFmtId="166" fontId="0" fillId="4" borderId="1" xfId="0" applyNumberFormat="1" applyFill="1" applyBorder="1" applyAlignment="1" applyProtection="1">
      <alignment horizontal="center"/>
      <protection locked="0"/>
    </xf>
    <xf numFmtId="0" fontId="0" fillId="4" borderId="1" xfId="0" applyFill="1" applyBorder="1" applyAlignment="1" applyProtection="1">
      <alignment horizontal="left" wrapText="1"/>
      <protection locked="0"/>
    </xf>
    <xf numFmtId="0" fontId="0" fillId="4" borderId="1" xfId="0" applyFill="1" applyBorder="1" applyAlignment="1" applyProtection="1">
      <alignment horizontal="left"/>
      <protection locked="0"/>
    </xf>
    <xf numFmtId="0" fontId="0" fillId="4" borderId="14" xfId="0" applyFill="1" applyBorder="1" applyAlignment="1" applyProtection="1">
      <alignment horizontal="left"/>
      <protection locked="0"/>
    </xf>
    <xf numFmtId="0" fontId="17" fillId="0" borderId="0" xfId="0" applyFont="1" applyAlignment="1">
      <alignment horizontal="left" wrapText="1"/>
    </xf>
    <xf numFmtId="0" fontId="127" fillId="0" borderId="0" xfId="0" applyFont="1" applyAlignment="1">
      <alignment wrapText="1"/>
    </xf>
    <xf numFmtId="0" fontId="95" fillId="0" borderId="0" xfId="0" applyFont="1" applyAlignment="1">
      <alignment horizontal="left" wrapText="1"/>
    </xf>
    <xf numFmtId="2" fontId="0" fillId="5" borderId="40" xfId="0" applyNumberFormat="1" applyFill="1" applyBorder="1"/>
    <xf numFmtId="2" fontId="17" fillId="31" borderId="40" xfId="0" applyNumberFormat="1" applyFont="1" applyFill="1" applyBorder="1"/>
    <xf numFmtId="0" fontId="148" fillId="0" borderId="0" xfId="0" applyFont="1"/>
    <xf numFmtId="0" fontId="148" fillId="8" borderId="13" xfId="0" applyFont="1" applyFill="1" applyBorder="1"/>
    <xf numFmtId="0" fontId="148" fillId="8" borderId="5" xfId="0" applyFont="1" applyFill="1" applyBorder="1"/>
    <xf numFmtId="0" fontId="148" fillId="8" borderId="6" xfId="0" applyFont="1" applyFill="1" applyBorder="1"/>
    <xf numFmtId="0" fontId="148" fillId="4" borderId="14" xfId="0" applyFont="1" applyFill="1" applyBorder="1"/>
    <xf numFmtId="4" fontId="148" fillId="5" borderId="14" xfId="0" applyNumberFormat="1" applyFont="1" applyFill="1" applyBorder="1" applyAlignment="1">
      <alignment horizontal="right"/>
    </xf>
    <xf numFmtId="49" fontId="148" fillId="5" borderId="53" xfId="0" applyNumberFormat="1" applyFont="1" applyFill="1" applyBorder="1" applyAlignment="1">
      <alignment horizontal="left"/>
    </xf>
    <xf numFmtId="49" fontId="148" fillId="5" borderId="10" xfId="0" applyNumberFormat="1" applyFont="1" applyFill="1" applyBorder="1" applyAlignment="1">
      <alignment horizontal="left"/>
    </xf>
    <xf numFmtId="49" fontId="148" fillId="5" borderId="7" xfId="0" applyNumberFormat="1" applyFont="1" applyFill="1" applyBorder="1" applyAlignment="1">
      <alignment horizontal="left"/>
    </xf>
    <xf numFmtId="4" fontId="148" fillId="5" borderId="64" xfId="0" applyNumberFormat="1" applyFont="1" applyFill="1" applyBorder="1" applyAlignment="1">
      <alignment horizontal="right"/>
    </xf>
    <xf numFmtId="2" fontId="148" fillId="5" borderId="14" xfId="0" applyNumberFormat="1" applyFont="1" applyFill="1" applyBorder="1" applyAlignment="1">
      <alignment horizontal="right"/>
    </xf>
    <xf numFmtId="2" fontId="148" fillId="5" borderId="63" xfId="0" applyNumberFormat="1" applyFont="1" applyFill="1" applyBorder="1" applyAlignment="1">
      <alignment horizontal="right"/>
    </xf>
    <xf numFmtId="4" fontId="148" fillId="4" borderId="52" xfId="0" applyNumberFormat="1" applyFont="1" applyFill="1" applyBorder="1" applyAlignment="1">
      <alignment horizontal="right"/>
    </xf>
    <xf numFmtId="4" fontId="148" fillId="5" borderId="18" xfId="0" applyNumberFormat="1" applyFont="1" applyFill="1" applyBorder="1" applyAlignment="1">
      <alignment horizontal="right"/>
    </xf>
    <xf numFmtId="2" fontId="148" fillId="5" borderId="64" xfId="0" applyNumberFormat="1" applyFont="1" applyFill="1" applyBorder="1" applyAlignment="1">
      <alignment horizontal="right"/>
    </xf>
    <xf numFmtId="4" fontId="148" fillId="4" borderId="17" xfId="0" applyNumberFormat="1" applyFont="1" applyFill="1" applyBorder="1" applyAlignment="1">
      <alignment horizontal="right"/>
    </xf>
    <xf numFmtId="0" fontId="147" fillId="0" borderId="33" xfId="0" applyFont="1" applyBorder="1" applyAlignment="1">
      <alignment horizontal="center" vertical="center"/>
    </xf>
    <xf numFmtId="4" fontId="148" fillId="2" borderId="0" xfId="0" applyNumberFormat="1" applyFont="1" applyFill="1" applyAlignment="1">
      <alignment horizontal="right"/>
    </xf>
    <xf numFmtId="0" fontId="148" fillId="0" borderId="0" xfId="0" applyFont="1" applyAlignment="1">
      <alignment horizontal="center"/>
    </xf>
    <xf numFmtId="0" fontId="65" fillId="2" borderId="10" xfId="372" applyFont="1" applyFill="1" applyBorder="1" applyProtection="1">
      <protection locked="0"/>
    </xf>
    <xf numFmtId="0" fontId="0" fillId="27" borderId="0" xfId="0" applyFill="1" applyAlignment="1">
      <alignment wrapText="1"/>
    </xf>
    <xf numFmtId="0" fontId="0" fillId="0" borderId="0" xfId="0" applyAlignment="1">
      <alignment horizontal="right"/>
    </xf>
    <xf numFmtId="0" fontId="153" fillId="0" borderId="0" xfId="0" applyFont="1" applyAlignment="1">
      <alignment wrapText="1"/>
    </xf>
    <xf numFmtId="0" fontId="0" fillId="3" borderId="9" xfId="0" applyFill="1" applyBorder="1" applyAlignment="1">
      <alignment horizontal="center" wrapText="1"/>
    </xf>
    <xf numFmtId="0" fontId="0" fillId="3" borderId="1" xfId="0" applyFill="1" applyBorder="1"/>
    <xf numFmtId="0" fontId="0" fillId="3" borderId="14" xfId="0" applyFill="1" applyBorder="1"/>
    <xf numFmtId="0" fontId="0" fillId="2" borderId="1" xfId="0" applyFill="1" applyBorder="1"/>
    <xf numFmtId="0" fontId="0" fillId="47" borderId="1" xfId="0" applyFill="1" applyBorder="1" applyAlignment="1">
      <alignment wrapText="1"/>
    </xf>
    <xf numFmtId="0" fontId="0" fillId="27" borderId="9" xfId="0" applyFill="1" applyBorder="1"/>
    <xf numFmtId="0" fontId="107" fillId="0" borderId="85" xfId="372" applyFont="1" applyBorder="1"/>
    <xf numFmtId="0" fontId="18" fillId="2" borderId="0" xfId="0" applyFont="1" applyFill="1" applyAlignment="1">
      <alignment wrapText="1"/>
    </xf>
    <xf numFmtId="0" fontId="93" fillId="0" borderId="0" xfId="0" applyFont="1" applyAlignment="1">
      <alignment horizontal="left" vertical="center" wrapText="1"/>
    </xf>
    <xf numFmtId="0" fontId="92" fillId="31" borderId="33" xfId="0" applyFont="1" applyFill="1" applyBorder="1" applyAlignment="1">
      <alignment horizontal="center" vertical="center"/>
    </xf>
    <xf numFmtId="2" fontId="0" fillId="4" borderId="14" xfId="0" applyNumberFormat="1" applyFill="1" applyBorder="1" applyAlignment="1">
      <alignment horizontal="center"/>
    </xf>
    <xf numFmtId="0" fontId="0" fillId="3" borderId="0" xfId="0" applyFill="1"/>
    <xf numFmtId="0" fontId="0" fillId="47" borderId="0" xfId="0" applyFill="1"/>
    <xf numFmtId="0" fontId="157" fillId="49" borderId="0" xfId="0" applyFont="1" applyFill="1"/>
    <xf numFmtId="0" fontId="0" fillId="16" borderId="0" xfId="0" applyFill="1"/>
    <xf numFmtId="0" fontId="79" fillId="49" borderId="0" xfId="372" applyFont="1" applyFill="1"/>
    <xf numFmtId="0" fontId="79" fillId="16" borderId="0" xfId="372" applyFont="1" applyFill="1"/>
    <xf numFmtId="0" fontId="0" fillId="50" borderId="0" xfId="0" applyFill="1"/>
    <xf numFmtId="0" fontId="79" fillId="50" borderId="0" xfId="372" applyFont="1" applyFill="1"/>
    <xf numFmtId="0" fontId="0" fillId="51" borderId="0" xfId="0" applyFill="1"/>
    <xf numFmtId="0" fontId="79" fillId="51" borderId="0" xfId="372" applyFont="1" applyFill="1"/>
    <xf numFmtId="0" fontId="0" fillId="52" borderId="0" xfId="0" applyFill="1"/>
    <xf numFmtId="0" fontId="79" fillId="52" borderId="0" xfId="372" applyFont="1" applyFill="1"/>
    <xf numFmtId="0" fontId="0" fillId="20" borderId="0" xfId="0" applyFill="1"/>
    <xf numFmtId="0" fontId="79" fillId="20" borderId="0" xfId="372" applyFont="1" applyFill="1"/>
    <xf numFmtId="0" fontId="0" fillId="53" borderId="0" xfId="0" applyFill="1"/>
    <xf numFmtId="0" fontId="17" fillId="53" borderId="0" xfId="0" applyFont="1" applyFill="1"/>
    <xf numFmtId="0" fontId="0" fillId="31" borderId="0" xfId="0" applyFill="1"/>
    <xf numFmtId="0" fontId="0" fillId="54" borderId="0" xfId="0" applyFill="1"/>
    <xf numFmtId="0" fontId="0" fillId="55" borderId="0" xfId="0" applyFill="1"/>
    <xf numFmtId="0" fontId="22" fillId="4" borderId="7" xfId="372" applyFill="1" applyBorder="1" applyAlignment="1">
      <alignment horizontal="center"/>
    </xf>
    <xf numFmtId="0" fontId="22" fillId="2" borderId="7" xfId="372" applyFill="1" applyBorder="1" applyAlignment="1">
      <alignment horizontal="center"/>
    </xf>
    <xf numFmtId="0" fontId="50" fillId="4" borderId="5" xfId="372" applyFont="1" applyFill="1" applyBorder="1" applyProtection="1">
      <protection locked="0"/>
    </xf>
    <xf numFmtId="0" fontId="32" fillId="2" borderId="5" xfId="372" applyFont="1" applyFill="1" applyBorder="1" applyProtection="1">
      <protection locked="0"/>
    </xf>
    <xf numFmtId="0" fontId="50" fillId="2" borderId="6" xfId="372" applyFont="1" applyFill="1" applyBorder="1" applyProtection="1">
      <protection locked="0"/>
    </xf>
    <xf numFmtId="2" fontId="22" fillId="4" borderId="17" xfId="372" applyNumberFormat="1" applyFill="1" applyBorder="1" applyAlignment="1">
      <alignment horizontal="right"/>
    </xf>
    <xf numFmtId="0" fontId="22" fillId="4" borderId="14" xfId="372" applyFill="1" applyBorder="1" applyAlignment="1" applyProtection="1">
      <alignment horizontal="right"/>
      <protection locked="0"/>
    </xf>
    <xf numFmtId="2" fontId="22" fillId="4" borderId="17" xfId="372" applyNumberFormat="1" applyFill="1" applyBorder="1" applyAlignment="1" applyProtection="1">
      <alignment horizontal="right"/>
      <protection locked="0"/>
    </xf>
    <xf numFmtId="0" fontId="12" fillId="0" borderId="33" xfId="0" applyFont="1" applyBorder="1" applyAlignment="1">
      <alignment horizontal="center" vertical="center"/>
    </xf>
    <xf numFmtId="2" fontId="0" fillId="2" borderId="0" xfId="0" applyNumberFormat="1" applyFill="1" applyAlignment="1">
      <alignment horizontal="center"/>
    </xf>
    <xf numFmtId="0" fontId="0" fillId="0" borderId="78" xfId="0" applyBorder="1"/>
    <xf numFmtId="0" fontId="148" fillId="2" borderId="0" xfId="0" applyFont="1" applyFill="1"/>
    <xf numFmtId="2" fontId="148" fillId="2" borderId="0" xfId="0" applyNumberFormat="1" applyFont="1" applyFill="1" applyAlignment="1">
      <alignment horizontal="center"/>
    </xf>
    <xf numFmtId="0" fontId="148" fillId="0" borderId="78" xfId="0" applyFont="1" applyBorder="1"/>
    <xf numFmtId="49" fontId="148" fillId="2" borderId="0" xfId="0" applyNumberFormat="1" applyFont="1" applyFill="1" applyAlignment="1">
      <alignment horizontal="left" wrapText="1"/>
    </xf>
    <xf numFmtId="4" fontId="148" fillId="2" borderId="78" xfId="0" applyNumberFormat="1" applyFont="1" applyFill="1" applyBorder="1" applyAlignment="1">
      <alignment horizontal="right"/>
    </xf>
    <xf numFmtId="49" fontId="0" fillId="9" borderId="0" xfId="0" applyNumberFormat="1" applyFill="1" applyAlignment="1">
      <alignment wrapText="1"/>
    </xf>
    <xf numFmtId="2" fontId="76" fillId="35" borderId="9" xfId="0" applyNumberFormat="1" applyFont="1" applyFill="1" applyBorder="1" applyAlignment="1">
      <alignment horizontal="center" wrapText="1"/>
    </xf>
    <xf numFmtId="166" fontId="0" fillId="5" borderId="9" xfId="0" applyNumberFormat="1" applyFill="1" applyBorder="1" applyAlignment="1">
      <alignment horizontal="center"/>
    </xf>
    <xf numFmtId="2" fontId="0" fillId="5" borderId="14" xfId="0" applyNumberFormat="1" applyFill="1" applyBorder="1" applyAlignment="1">
      <alignment horizontal="center" wrapText="1"/>
    </xf>
    <xf numFmtId="166" fontId="0" fillId="4" borderId="9" xfId="0" applyNumberFormat="1" applyFill="1" applyBorder="1" applyAlignment="1">
      <alignment horizontal="center"/>
    </xf>
    <xf numFmtId="2" fontId="0" fillId="5" borderId="14" xfId="0" applyNumberFormat="1" applyFill="1" applyBorder="1" applyAlignment="1">
      <alignment horizontal="center"/>
    </xf>
    <xf numFmtId="166" fontId="0" fillId="5" borderId="15" xfId="0" applyNumberFormat="1" applyFill="1" applyBorder="1" applyAlignment="1">
      <alignment horizontal="center"/>
    </xf>
    <xf numFmtId="166" fontId="0" fillId="5" borderId="16" xfId="0" applyNumberFormat="1" applyFill="1" applyBorder="1" applyAlignment="1">
      <alignment horizontal="center"/>
    </xf>
    <xf numFmtId="2" fontId="0" fillId="5" borderId="16" xfId="0" applyNumberFormat="1" applyFill="1" applyBorder="1" applyAlignment="1">
      <alignment horizontal="center"/>
    </xf>
    <xf numFmtId="2" fontId="0" fillId="5" borderId="17" xfId="0" applyNumberFormat="1" applyFill="1" applyBorder="1" applyAlignment="1">
      <alignment horizontal="center"/>
    </xf>
    <xf numFmtId="2" fontId="96" fillId="2" borderId="0" xfId="0" applyNumberFormat="1" applyFont="1" applyFill="1" applyAlignment="1">
      <alignment horizontal="left" wrapText="1"/>
    </xf>
    <xf numFmtId="0" fontId="101" fillId="0" borderId="0" xfId="505" applyFont="1" applyAlignment="1">
      <alignment horizontal="left" wrapText="1"/>
    </xf>
    <xf numFmtId="0" fontId="0" fillId="2" borderId="8" xfId="0" applyFill="1" applyBorder="1" applyAlignment="1" applyProtection="1">
      <alignment horizontal="left"/>
      <protection locked="0"/>
    </xf>
    <xf numFmtId="166" fontId="0" fillId="2" borderId="8" xfId="0" applyNumberFormat="1" applyFill="1" applyBorder="1" applyAlignment="1" applyProtection="1">
      <alignment horizontal="center"/>
      <protection locked="0"/>
    </xf>
    <xf numFmtId="0" fontId="0" fillId="4" borderId="8" xfId="0" applyFill="1" applyBorder="1" applyAlignment="1" applyProtection="1">
      <alignment horizontal="left" wrapText="1"/>
      <protection locked="0"/>
    </xf>
    <xf numFmtId="0" fontId="0" fillId="4" borderId="8" xfId="0" applyFill="1" applyBorder="1" applyAlignment="1" applyProtection="1">
      <alignment horizontal="left"/>
      <protection locked="0"/>
    </xf>
    <xf numFmtId="166" fontId="0" fillId="4" borderId="8" xfId="0" applyNumberFormat="1" applyFill="1" applyBorder="1" applyAlignment="1" applyProtection="1">
      <alignment horizontal="center"/>
      <protection locked="0"/>
    </xf>
    <xf numFmtId="0" fontId="0" fillId="4" borderId="64" xfId="0" applyFill="1" applyBorder="1" applyAlignment="1" applyProtection="1">
      <alignment horizontal="left"/>
      <protection locked="0"/>
    </xf>
    <xf numFmtId="0" fontId="0" fillId="2" borderId="8" xfId="0" applyFill="1" applyBorder="1" applyAlignment="1" applyProtection="1">
      <alignment horizontal="left" wrapText="1"/>
      <protection locked="0"/>
    </xf>
    <xf numFmtId="0" fontId="0" fillId="2" borderId="64" xfId="0" applyFill="1" applyBorder="1" applyAlignment="1" applyProtection="1">
      <alignment horizontal="left"/>
      <protection locked="0"/>
    </xf>
    <xf numFmtId="166" fontId="0" fillId="4" borderId="16" xfId="0" applyNumberFormat="1" applyFill="1" applyBorder="1" applyAlignment="1">
      <alignment horizontal="center"/>
    </xf>
    <xf numFmtId="166" fontId="0" fillId="4" borderId="16" xfId="0" applyNumberFormat="1" applyFill="1" applyBorder="1" applyAlignment="1" applyProtection="1">
      <alignment horizontal="center"/>
      <protection locked="0"/>
    </xf>
    <xf numFmtId="0" fontId="0" fillId="4" borderId="16" xfId="0" applyFill="1" applyBorder="1" applyAlignment="1" applyProtection="1">
      <alignment horizontal="left" wrapText="1"/>
      <protection locked="0"/>
    </xf>
    <xf numFmtId="0" fontId="0" fillId="4" borderId="16" xfId="0" applyFill="1" applyBorder="1" applyAlignment="1" applyProtection="1">
      <alignment horizontal="left"/>
      <protection locked="0"/>
    </xf>
    <xf numFmtId="0" fontId="0" fillId="4" borderId="17" xfId="0" applyFill="1" applyBorder="1" applyAlignment="1" applyProtection="1">
      <alignment horizontal="left"/>
      <protection locked="0"/>
    </xf>
    <xf numFmtId="166" fontId="0" fillId="4" borderId="15" xfId="0" applyNumberFormat="1" applyFill="1" applyBorder="1" applyAlignment="1">
      <alignment horizontal="center"/>
    </xf>
    <xf numFmtId="2" fontId="0" fillId="4" borderId="16" xfId="0" applyNumberFormat="1" applyFill="1" applyBorder="1" applyAlignment="1">
      <alignment horizontal="center"/>
    </xf>
    <xf numFmtId="2" fontId="0" fillId="4" borderId="17" xfId="0" applyNumberFormat="1" applyFill="1" applyBorder="1" applyAlignment="1">
      <alignment horizontal="center"/>
    </xf>
    <xf numFmtId="166" fontId="0" fillId="4" borderId="26" xfId="0" applyNumberFormat="1" applyFill="1" applyBorder="1" applyAlignment="1">
      <alignment horizontal="center"/>
    </xf>
    <xf numFmtId="166" fontId="0" fillId="4" borderId="12" xfId="0" applyNumberFormat="1" applyFill="1" applyBorder="1" applyAlignment="1">
      <alignment horizontal="center"/>
    </xf>
    <xf numFmtId="2" fontId="0" fillId="4" borderId="12" xfId="0" applyNumberFormat="1" applyFill="1" applyBorder="1" applyAlignment="1">
      <alignment horizontal="center"/>
    </xf>
    <xf numFmtId="2" fontId="0" fillId="4" borderId="18" xfId="0" applyNumberFormat="1" applyFill="1" applyBorder="1" applyAlignment="1">
      <alignment horizontal="center"/>
    </xf>
    <xf numFmtId="166" fontId="0" fillId="3" borderId="26" xfId="0" applyNumberFormat="1" applyFill="1" applyBorder="1" applyAlignment="1" applyProtection="1">
      <alignment horizontal="center"/>
      <protection locked="0"/>
    </xf>
    <xf numFmtId="166" fontId="0" fillId="4" borderId="35" xfId="0" applyNumberFormat="1" applyFill="1" applyBorder="1" applyAlignment="1" applyProtection="1">
      <alignment horizontal="center"/>
      <protection locked="0"/>
    </xf>
    <xf numFmtId="0" fontId="0" fillId="4" borderId="35" xfId="0" applyFill="1" applyBorder="1" applyAlignment="1" applyProtection="1">
      <alignment horizontal="left" wrapText="1"/>
      <protection locked="0"/>
    </xf>
    <xf numFmtId="0" fontId="0" fillId="4" borderId="35" xfId="0" applyFill="1" applyBorder="1" applyAlignment="1" applyProtection="1">
      <alignment horizontal="left"/>
      <protection locked="0"/>
    </xf>
    <xf numFmtId="0" fontId="0" fillId="4" borderId="63" xfId="0" applyFill="1" applyBorder="1" applyAlignment="1" applyProtection="1">
      <alignment horizontal="left"/>
      <protection locked="0"/>
    </xf>
    <xf numFmtId="166" fontId="0" fillId="2" borderId="16" xfId="0" applyNumberFormat="1" applyFill="1" applyBorder="1" applyAlignment="1">
      <alignment horizontal="center"/>
    </xf>
    <xf numFmtId="166" fontId="0" fillId="2" borderId="16" xfId="0" applyNumberFormat="1" applyFill="1" applyBorder="1" applyAlignment="1" applyProtection="1">
      <alignment horizontal="center"/>
      <protection locked="0"/>
    </xf>
    <xf numFmtId="0" fontId="0" fillId="2" borderId="16" xfId="0" applyFill="1" applyBorder="1" applyAlignment="1" applyProtection="1">
      <alignment horizontal="left" wrapText="1"/>
      <protection locked="0"/>
    </xf>
    <xf numFmtId="0" fontId="0" fillId="2" borderId="16" xfId="0" applyFill="1" applyBorder="1" applyAlignment="1" applyProtection="1">
      <alignment horizontal="left"/>
      <protection locked="0"/>
    </xf>
    <xf numFmtId="0" fontId="0" fillId="2" borderId="17" xfId="0" applyFill="1" applyBorder="1" applyAlignment="1" applyProtection="1">
      <alignment horizontal="left"/>
      <protection locked="0"/>
    </xf>
    <xf numFmtId="0" fontId="43" fillId="2" borderId="7" xfId="372" applyFont="1" applyFill="1" applyBorder="1" applyAlignment="1">
      <alignment horizontal="center"/>
    </xf>
    <xf numFmtId="0" fontId="0" fillId="2" borderId="0" xfId="343" applyNumberFormat="1" applyFont="1" applyFill="1"/>
    <xf numFmtId="0" fontId="22" fillId="0" borderId="49" xfId="372" applyBorder="1" applyProtection="1">
      <protection locked="0"/>
    </xf>
    <xf numFmtId="0" fontId="0" fillId="0" borderId="0" xfId="0" applyAlignment="1">
      <alignment horizontal="left"/>
    </xf>
    <xf numFmtId="49" fontId="0" fillId="2" borderId="0" xfId="0" applyNumberFormat="1" applyFill="1" applyAlignment="1">
      <alignment horizontal="center" vertical="center"/>
    </xf>
    <xf numFmtId="0" fontId="163" fillId="0" borderId="0" xfId="505" applyFont="1" applyAlignment="1">
      <alignment horizontal="left" wrapText="1"/>
    </xf>
    <xf numFmtId="0" fontId="96" fillId="0" borderId="0" xfId="0" applyFont="1"/>
    <xf numFmtId="0" fontId="92" fillId="31" borderId="84" xfId="0" applyFont="1" applyFill="1" applyBorder="1" applyAlignment="1">
      <alignment horizontal="center" vertical="center" textRotation="90"/>
    </xf>
    <xf numFmtId="0" fontId="92" fillId="31" borderId="85" xfId="0" applyFont="1" applyFill="1" applyBorder="1" applyAlignment="1">
      <alignment horizontal="center" vertical="center" textRotation="90"/>
    </xf>
    <xf numFmtId="0" fontId="92" fillId="31" borderId="89" xfId="0" applyFont="1" applyFill="1" applyBorder="1" applyAlignment="1">
      <alignment horizontal="center" vertical="center" textRotation="90"/>
    </xf>
    <xf numFmtId="0" fontId="0" fillId="0" borderId="1" xfId="0" applyBorder="1" applyAlignment="1">
      <alignment horizontal="left"/>
    </xf>
    <xf numFmtId="0" fontId="0" fillId="2" borderId="58" xfId="0" applyFill="1" applyBorder="1" applyAlignment="1">
      <alignment horizontal="left"/>
    </xf>
    <xf numFmtId="0" fontId="0" fillId="2" borderId="59" xfId="0" applyFill="1" applyBorder="1" applyAlignment="1">
      <alignment horizontal="left"/>
    </xf>
    <xf numFmtId="0" fontId="0" fillId="0" borderId="59" xfId="0" applyBorder="1" applyAlignment="1">
      <alignment horizontal="left"/>
    </xf>
    <xf numFmtId="0" fontId="0" fillId="0" borderId="52" xfId="0" applyBorder="1" applyAlignment="1">
      <alignment horizontal="left"/>
    </xf>
    <xf numFmtId="14" fontId="105" fillId="31" borderId="0" xfId="0" applyNumberFormat="1" applyFont="1" applyFill="1" applyAlignment="1">
      <alignment horizontal="center"/>
    </xf>
    <xf numFmtId="14" fontId="105" fillId="31" borderId="45" xfId="0" applyNumberFormat="1" applyFont="1" applyFill="1" applyBorder="1" applyAlignment="1">
      <alignment horizontal="center"/>
    </xf>
    <xf numFmtId="14" fontId="105" fillId="31" borderId="76" xfId="0" applyNumberFormat="1" applyFont="1" applyFill="1" applyBorder="1" applyAlignment="1">
      <alignment horizontal="center"/>
    </xf>
    <xf numFmtId="0" fontId="0" fillId="0" borderId="16" xfId="0" applyBorder="1" applyAlignment="1">
      <alignment horizontal="left"/>
    </xf>
    <xf numFmtId="0" fontId="105" fillId="31" borderId="58" xfId="0" applyFont="1" applyFill="1" applyBorder="1" applyAlignment="1">
      <alignment horizontal="center" vertical="center" textRotation="90"/>
    </xf>
    <xf numFmtId="0" fontId="105" fillId="31" borderId="26" xfId="0" applyFont="1" applyFill="1" applyBorder="1" applyAlignment="1">
      <alignment horizontal="center" vertical="center" textRotation="90"/>
    </xf>
    <xf numFmtId="0" fontId="105" fillId="31" borderId="9" xfId="0" applyFont="1" applyFill="1" applyBorder="1" applyAlignment="1">
      <alignment horizontal="center" vertical="center" textRotation="90"/>
    </xf>
    <xf numFmtId="0" fontId="105" fillId="31" borderId="15" xfId="0" applyFont="1" applyFill="1" applyBorder="1" applyAlignment="1">
      <alignment horizontal="center" vertical="center" textRotation="90"/>
    </xf>
    <xf numFmtId="0" fontId="105" fillId="31" borderId="81" xfId="0" applyFont="1" applyFill="1" applyBorder="1" applyAlignment="1">
      <alignment horizontal="center"/>
    </xf>
    <xf numFmtId="0" fontId="105" fillId="31" borderId="60" xfId="0" applyFont="1" applyFill="1" applyBorder="1" applyAlignment="1">
      <alignment horizontal="center"/>
    </xf>
    <xf numFmtId="0" fontId="105" fillId="31" borderId="37" xfId="0" applyFont="1" applyFill="1" applyBorder="1" applyAlignment="1">
      <alignment horizontal="center"/>
    </xf>
    <xf numFmtId="0" fontId="105" fillId="31" borderId="38" xfId="0" applyFont="1" applyFill="1" applyBorder="1" applyAlignment="1">
      <alignment horizontal="center"/>
    </xf>
    <xf numFmtId="0" fontId="105" fillId="31" borderId="39" xfId="0" applyFont="1" applyFill="1" applyBorder="1" applyAlignment="1">
      <alignment horizontal="center"/>
    </xf>
    <xf numFmtId="0" fontId="105" fillId="31" borderId="0" xfId="0" applyFont="1" applyFill="1" applyAlignment="1">
      <alignment horizontal="left"/>
    </xf>
    <xf numFmtId="0" fontId="105" fillId="31" borderId="27" xfId="0" applyFont="1" applyFill="1" applyBorder="1" applyAlignment="1">
      <alignment horizontal="left"/>
    </xf>
    <xf numFmtId="0" fontId="105" fillId="31" borderId="11" xfId="0" applyFont="1" applyFill="1" applyBorder="1" applyAlignment="1">
      <alignment horizontal="center"/>
    </xf>
    <xf numFmtId="0" fontId="0" fillId="0" borderId="36" xfId="0" applyBorder="1" applyAlignment="1">
      <alignment horizontal="center"/>
    </xf>
    <xf numFmtId="0" fontId="0" fillId="0" borderId="60" xfId="0" applyBorder="1" applyAlignment="1">
      <alignment horizontal="center"/>
    </xf>
    <xf numFmtId="0" fontId="0" fillId="0" borderId="33" xfId="0" applyBorder="1" applyAlignment="1">
      <alignment horizontal="center"/>
    </xf>
    <xf numFmtId="0" fontId="0" fillId="0" borderId="0" xfId="0" applyAlignment="1">
      <alignment horizontal="center"/>
    </xf>
    <xf numFmtId="0" fontId="0" fillId="0" borderId="53" xfId="0" applyBorder="1" applyAlignment="1">
      <alignment horizontal="center"/>
    </xf>
    <xf numFmtId="0" fontId="0" fillId="0" borderId="10" xfId="0" applyBorder="1" applyAlignment="1">
      <alignment horizontal="center"/>
    </xf>
    <xf numFmtId="2" fontId="17" fillId="36" borderId="13" xfId="0" applyNumberFormat="1" applyFont="1" applyFill="1" applyBorder="1" applyAlignment="1">
      <alignment horizontal="center"/>
    </xf>
    <xf numFmtId="2" fontId="17" fillId="36" borderId="5" xfId="0" applyNumberFormat="1" applyFont="1" applyFill="1" applyBorder="1" applyAlignment="1">
      <alignment horizontal="center"/>
    </xf>
    <xf numFmtId="2" fontId="17" fillId="36" borderId="40" xfId="0" applyNumberFormat="1" applyFont="1" applyFill="1" applyBorder="1" applyAlignment="1">
      <alignment horizontal="center"/>
    </xf>
    <xf numFmtId="0" fontId="105" fillId="31" borderId="36" xfId="0" applyFont="1" applyFill="1" applyBorder="1" applyAlignment="1">
      <alignment horizontal="center"/>
    </xf>
    <xf numFmtId="0" fontId="105" fillId="31" borderId="65" xfId="0" applyFont="1" applyFill="1" applyBorder="1" applyAlignment="1">
      <alignment horizontal="center"/>
    </xf>
    <xf numFmtId="14" fontId="105" fillId="31" borderId="41" xfId="0" applyNumberFormat="1" applyFont="1" applyFill="1" applyBorder="1" applyAlignment="1">
      <alignment horizontal="center"/>
    </xf>
    <xf numFmtId="2" fontId="20" fillId="2" borderId="36" xfId="0" applyNumberFormat="1" applyFont="1" applyFill="1" applyBorder="1" applyAlignment="1">
      <alignment horizontal="left" wrapText="1"/>
    </xf>
    <xf numFmtId="2" fontId="20" fillId="2" borderId="60" xfId="0" applyNumberFormat="1" applyFont="1" applyFill="1" applyBorder="1" applyAlignment="1">
      <alignment horizontal="left" wrapText="1"/>
    </xf>
    <xf numFmtId="2" fontId="20" fillId="2" borderId="65" xfId="0" applyNumberFormat="1" applyFont="1" applyFill="1" applyBorder="1" applyAlignment="1">
      <alignment horizontal="left" wrapText="1"/>
    </xf>
    <xf numFmtId="2" fontId="20" fillId="2" borderId="33" xfId="0" applyNumberFormat="1" applyFont="1" applyFill="1" applyBorder="1" applyAlignment="1">
      <alignment horizontal="left" wrapText="1"/>
    </xf>
    <xf numFmtId="2" fontId="20" fillId="2" borderId="0" xfId="0" applyNumberFormat="1" applyFont="1" applyFill="1" applyAlignment="1">
      <alignment horizontal="left" wrapText="1"/>
    </xf>
    <xf numFmtId="2" fontId="20" fillId="2" borderId="78" xfId="0" applyNumberFormat="1" applyFont="1" applyFill="1" applyBorder="1" applyAlignment="1">
      <alignment horizontal="left" wrapText="1"/>
    </xf>
    <xf numFmtId="2" fontId="20" fillId="2" borderId="41" xfId="0" applyNumberFormat="1" applyFont="1" applyFill="1" applyBorder="1" applyAlignment="1">
      <alignment horizontal="left" wrapText="1"/>
    </xf>
    <xf numFmtId="2" fontId="20" fillId="2" borderId="45" xfId="0" applyNumberFormat="1" applyFont="1" applyFill="1" applyBorder="1" applyAlignment="1">
      <alignment horizontal="left" wrapText="1"/>
    </xf>
    <xf numFmtId="2" fontId="20" fillId="2" borderId="76" xfId="0" applyNumberFormat="1" applyFont="1" applyFill="1" applyBorder="1" applyAlignment="1">
      <alignment horizontal="left" wrapText="1"/>
    </xf>
    <xf numFmtId="0" fontId="20" fillId="0" borderId="10" xfId="0" applyFont="1" applyBorder="1" applyAlignment="1">
      <alignment horizontal="left" wrapText="1"/>
    </xf>
    <xf numFmtId="0" fontId="20" fillId="0" borderId="0" xfId="0" applyFont="1" applyAlignment="1">
      <alignment horizontal="left" wrapText="1"/>
    </xf>
    <xf numFmtId="2" fontId="17" fillId="36" borderId="29" xfId="0" applyNumberFormat="1" applyFont="1" applyFill="1" applyBorder="1" applyAlignment="1">
      <alignment horizontal="center"/>
    </xf>
    <xf numFmtId="2" fontId="17" fillId="36" borderId="43" xfId="0" applyNumberFormat="1" applyFont="1" applyFill="1" applyBorder="1" applyAlignment="1">
      <alignment horizontal="center"/>
    </xf>
    <xf numFmtId="2" fontId="17" fillId="36" borderId="44" xfId="0" applyNumberFormat="1" applyFont="1" applyFill="1" applyBorder="1" applyAlignment="1">
      <alignment horizontal="center"/>
    </xf>
    <xf numFmtId="0" fontId="0" fillId="0" borderId="9" xfId="0" applyBorder="1" applyAlignment="1">
      <alignment horizontal="left"/>
    </xf>
    <xf numFmtId="0" fontId="0" fillId="0" borderId="14" xfId="0" applyBorder="1" applyAlignment="1">
      <alignment horizontal="left"/>
    </xf>
    <xf numFmtId="0" fontId="0" fillId="4" borderId="15" xfId="0" applyFill="1" applyBorder="1" applyAlignment="1">
      <alignment horizontal="left"/>
    </xf>
    <xf numFmtId="0" fontId="0" fillId="4" borderId="16" xfId="0" applyFill="1" applyBorder="1" applyAlignment="1">
      <alignment horizontal="left"/>
    </xf>
    <xf numFmtId="0" fontId="96" fillId="0" borderId="45" xfId="0" applyFont="1" applyBorder="1" applyAlignment="1">
      <alignment horizontal="left" wrapText="1"/>
    </xf>
    <xf numFmtId="0" fontId="159" fillId="27" borderId="23" xfId="539" applyFont="1" applyFill="1" applyBorder="1" applyAlignment="1">
      <alignment horizontal="center" wrapText="1"/>
    </xf>
    <xf numFmtId="0" fontId="159" fillId="27" borderId="24" xfId="539" applyFont="1" applyFill="1" applyBorder="1" applyAlignment="1">
      <alignment horizontal="center" wrapText="1"/>
    </xf>
    <xf numFmtId="0" fontId="159" fillId="56" borderId="23" xfId="539" applyFont="1" applyFill="1" applyBorder="1" applyAlignment="1">
      <alignment horizontal="center" wrapText="1"/>
    </xf>
    <xf numFmtId="0" fontId="159" fillId="56" borderId="25" xfId="539" applyFont="1" applyFill="1" applyBorder="1" applyAlignment="1">
      <alignment horizontal="center" wrapText="1"/>
    </xf>
    <xf numFmtId="0" fontId="159" fillId="29" borderId="23" xfId="539" applyFont="1" applyFill="1" applyBorder="1" applyAlignment="1">
      <alignment horizontal="center" wrapText="1"/>
    </xf>
    <xf numFmtId="0" fontId="159" fillId="29" borderId="25" xfId="539" applyFont="1" applyFill="1" applyBorder="1" applyAlignment="1">
      <alignment horizontal="center" wrapText="1"/>
    </xf>
    <xf numFmtId="0" fontId="159" fillId="49" borderId="23" xfId="539" applyFont="1" applyFill="1" applyBorder="1" applyAlignment="1">
      <alignment horizontal="center" wrapText="1"/>
    </xf>
    <xf numFmtId="0" fontId="159" fillId="49" borderId="25" xfId="539" applyFont="1" applyFill="1" applyBorder="1" applyAlignment="1">
      <alignment horizontal="center" wrapText="1"/>
    </xf>
    <xf numFmtId="0" fontId="159" fillId="2" borderId="95" xfId="539" applyFont="1" applyFill="1" applyBorder="1" applyAlignment="1">
      <alignment horizontal="center" wrapText="1"/>
    </xf>
    <xf numFmtId="0" fontId="24" fillId="0" borderId="0" xfId="505" applyFont="1" applyAlignment="1">
      <alignment horizontal="center"/>
    </xf>
    <xf numFmtId="0" fontId="62" fillId="0" borderId="0" xfId="505" applyFont="1" applyAlignment="1">
      <alignment horizontal="left" vertical="center" wrapText="1"/>
    </xf>
    <xf numFmtId="0" fontId="37" fillId="14" borderId="0" xfId="505" applyFill="1" applyAlignment="1">
      <alignment horizontal="justify" vertical="justify" wrapText="1"/>
    </xf>
    <xf numFmtId="0" fontId="37" fillId="18" borderId="0" xfId="505" applyFill="1" applyAlignment="1">
      <alignment horizontal="justify" vertical="justify" wrapText="1"/>
    </xf>
    <xf numFmtId="0" fontId="37" fillId="0" borderId="0" xfId="505" applyAlignment="1">
      <alignment horizontal="justify" vertical="justify" wrapText="1"/>
    </xf>
    <xf numFmtId="0" fontId="37" fillId="28" borderId="0" xfId="505" applyFill="1" applyAlignment="1">
      <alignment horizontal="left" vertical="justify" wrapText="1"/>
    </xf>
    <xf numFmtId="0" fontId="96" fillId="0" borderId="0" xfId="0" applyFont="1" applyAlignment="1">
      <alignment horizontal="center"/>
    </xf>
    <xf numFmtId="0" fontId="0" fillId="0" borderId="0" xfId="0" applyAlignment="1">
      <alignment horizontal="left" wrapText="1"/>
    </xf>
    <xf numFmtId="0" fontId="96" fillId="0" borderId="0" xfId="0" applyFont="1" applyAlignment="1">
      <alignment horizontal="left"/>
    </xf>
    <xf numFmtId="0" fontId="126" fillId="0" borderId="0" xfId="0" applyFont="1" applyAlignment="1">
      <alignment horizontal="center" wrapText="1"/>
    </xf>
    <xf numFmtId="0" fontId="0" fillId="0" borderId="0" xfId="0" applyAlignment="1">
      <alignment horizontal="center" wrapText="1"/>
    </xf>
    <xf numFmtId="0" fontId="0" fillId="0" borderId="0" xfId="0" applyAlignment="1">
      <alignment horizontal="left"/>
    </xf>
    <xf numFmtId="0" fontId="78" fillId="0" borderId="0" xfId="0" applyFont="1" applyAlignment="1">
      <alignment horizontal="left" wrapText="1"/>
    </xf>
    <xf numFmtId="0" fontId="8" fillId="0" borderId="0" xfId="0" applyFont="1" applyAlignment="1">
      <alignment horizontal="left" wrapText="1"/>
    </xf>
    <xf numFmtId="0" fontId="146" fillId="0" borderId="0" xfId="0" applyFont="1" applyAlignment="1">
      <alignment horizontal="left" wrapText="1"/>
    </xf>
    <xf numFmtId="0" fontId="93" fillId="0" borderId="0" xfId="0" applyFont="1" applyAlignment="1">
      <alignment horizontal="left"/>
    </xf>
    <xf numFmtId="0" fontId="93" fillId="0" borderId="0" xfId="0" applyFont="1" applyAlignment="1">
      <alignment horizontal="left" wrapText="1"/>
    </xf>
    <xf numFmtId="0" fontId="127" fillId="0" borderId="0" xfId="0" applyFont="1" applyAlignment="1">
      <alignment horizontal="left" wrapText="1"/>
    </xf>
    <xf numFmtId="0" fontId="0" fillId="0" borderId="0" xfId="505" applyFont="1" applyAlignment="1">
      <alignment horizontal="left" vertical="justify"/>
    </xf>
    <xf numFmtId="0" fontId="2" fillId="0" borderId="0" xfId="505" applyFont="1" applyAlignment="1">
      <alignment horizontal="left" vertical="justify"/>
    </xf>
    <xf numFmtId="0" fontId="136" fillId="0" borderId="0" xfId="0" applyFont="1" applyAlignment="1">
      <alignment horizontal="left" wrapText="1"/>
    </xf>
    <xf numFmtId="0" fontId="137" fillId="0" borderId="0" xfId="0" applyFont="1" applyAlignment="1">
      <alignment horizontal="left"/>
    </xf>
    <xf numFmtId="0" fontId="136" fillId="0" borderId="0" xfId="0" applyFont="1" applyAlignment="1">
      <alignment horizontal="left"/>
    </xf>
    <xf numFmtId="0" fontId="135" fillId="0" borderId="0" xfId="0" applyFont="1" applyAlignment="1">
      <alignment horizontal="center"/>
    </xf>
    <xf numFmtId="0" fontId="0" fillId="0" borderId="0" xfId="0" applyAlignment="1">
      <alignment horizontal="center" vertical="center"/>
    </xf>
    <xf numFmtId="0" fontId="92" fillId="0" borderId="24" xfId="0" applyFont="1" applyBorder="1" applyAlignment="1">
      <alignment horizontal="center" vertical="center"/>
    </xf>
    <xf numFmtId="0" fontId="99" fillId="31" borderId="67" xfId="0" applyFont="1" applyFill="1" applyBorder="1" applyAlignment="1">
      <alignment horizontal="center" vertical="center" textRotation="90"/>
    </xf>
    <xf numFmtId="0" fontId="99" fillId="31" borderId="68" xfId="0" applyFont="1" applyFill="1" applyBorder="1" applyAlignment="1">
      <alignment horizontal="center" vertical="center" textRotation="90"/>
    </xf>
    <xf numFmtId="0" fontId="11" fillId="6" borderId="37" xfId="0" applyFont="1" applyFill="1" applyBorder="1" applyAlignment="1" applyProtection="1">
      <alignment horizontal="center"/>
      <protection locked="0"/>
    </xf>
    <xf numFmtId="0" fontId="11" fillId="6" borderId="38" xfId="0" applyFont="1" applyFill="1" applyBorder="1" applyAlignment="1" applyProtection="1">
      <alignment horizontal="center"/>
      <protection locked="0"/>
    </xf>
    <xf numFmtId="0" fontId="11" fillId="6" borderId="39" xfId="0" applyFont="1" applyFill="1" applyBorder="1" applyAlignment="1" applyProtection="1">
      <alignment horizontal="center"/>
      <protection locked="0"/>
    </xf>
    <xf numFmtId="0" fontId="0" fillId="5" borderId="1" xfId="0" applyFill="1" applyBorder="1" applyAlignment="1">
      <alignment horizontal="left"/>
    </xf>
    <xf numFmtId="0" fontId="0" fillId="3" borderId="4" xfId="0" applyFill="1" applyBorder="1" applyAlignment="1" applyProtection="1">
      <alignment horizontal="center"/>
      <protection locked="0"/>
    </xf>
    <xf numFmtId="0" fontId="0" fillId="3" borderId="5" xfId="0" applyFill="1" applyBorder="1" applyAlignment="1" applyProtection="1">
      <alignment horizontal="center"/>
      <protection locked="0"/>
    </xf>
    <xf numFmtId="0" fontId="0" fillId="3" borderId="40" xfId="0" applyFill="1" applyBorder="1" applyAlignment="1" applyProtection="1">
      <alignment horizontal="center"/>
      <protection locked="0"/>
    </xf>
    <xf numFmtId="0" fontId="0" fillId="5" borderId="2" xfId="0" applyFill="1" applyBorder="1" applyAlignment="1">
      <alignment horizontal="left" vertical="center" wrapText="1"/>
    </xf>
    <xf numFmtId="0" fontId="0" fillId="5" borderId="10" xfId="0" applyFill="1" applyBorder="1" applyAlignment="1">
      <alignment horizontal="left" vertical="center" wrapText="1"/>
    </xf>
    <xf numFmtId="0" fontId="0" fillId="5" borderId="7" xfId="0" applyFill="1" applyBorder="1" applyAlignment="1">
      <alignment horizontal="left" vertical="center" wrapText="1"/>
    </xf>
    <xf numFmtId="0" fontId="0" fillId="5" borderId="3" xfId="0" applyFill="1" applyBorder="1" applyAlignment="1">
      <alignment horizontal="left" vertical="center" wrapText="1"/>
    </xf>
    <xf numFmtId="0" fontId="0" fillId="5" borderId="0" xfId="0" applyFill="1" applyAlignment="1">
      <alignment horizontal="left" vertical="center" wrapText="1"/>
    </xf>
    <xf numFmtId="0" fontId="0" fillId="5" borderId="46" xfId="0" applyFill="1" applyBorder="1" applyAlignment="1">
      <alignment horizontal="left" vertical="center" wrapText="1"/>
    </xf>
    <xf numFmtId="0" fontId="0" fillId="5" borderId="34" xfId="0" applyFill="1" applyBorder="1" applyAlignment="1">
      <alignment horizontal="left" vertical="center" wrapText="1"/>
    </xf>
    <xf numFmtId="0" fontId="0" fillId="5" borderId="27" xfId="0" applyFill="1" applyBorder="1" applyAlignment="1">
      <alignment horizontal="left" vertical="center" wrapText="1"/>
    </xf>
    <xf numFmtId="0" fontId="0" fillId="5" borderId="19" xfId="0" applyFill="1" applyBorder="1" applyAlignment="1">
      <alignment horizontal="left" vertical="center" wrapText="1"/>
    </xf>
    <xf numFmtId="0" fontId="0" fillId="5" borderId="4" xfId="0"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40" xfId="0" applyFill="1" applyBorder="1" applyAlignment="1" applyProtection="1">
      <alignment horizontal="center"/>
      <protection locked="0"/>
    </xf>
    <xf numFmtId="0" fontId="0" fillId="4" borderId="4" xfId="0" applyFill="1" applyBorder="1" applyAlignment="1">
      <alignment horizontal="center"/>
    </xf>
    <xf numFmtId="0" fontId="0" fillId="4" borderId="6" xfId="0" applyFill="1" applyBorder="1" applyAlignment="1">
      <alignment horizontal="center"/>
    </xf>
    <xf numFmtId="0" fontId="0" fillId="4" borderId="40" xfId="0" applyFill="1" applyBorder="1" applyAlignment="1">
      <alignment horizontal="center"/>
    </xf>
    <xf numFmtId="49" fontId="0" fillId="3" borderId="4" xfId="0" applyNumberFormat="1" applyFill="1" applyBorder="1" applyAlignment="1" applyProtection="1">
      <alignment horizontal="center"/>
      <protection locked="0"/>
    </xf>
    <xf numFmtId="49" fontId="0" fillId="3" borderId="6" xfId="0" applyNumberFormat="1" applyFill="1" applyBorder="1" applyAlignment="1" applyProtection="1">
      <alignment horizontal="center"/>
      <protection locked="0"/>
    </xf>
    <xf numFmtId="49" fontId="0" fillId="3" borderId="40" xfId="0" applyNumberFormat="1" applyFill="1" applyBorder="1" applyAlignment="1" applyProtection="1">
      <alignment horizontal="center"/>
      <protection locked="0"/>
    </xf>
    <xf numFmtId="0" fontId="0" fillId="5" borderId="1" xfId="0" applyFill="1" applyBorder="1" applyAlignment="1">
      <alignment horizontal="left" wrapText="1"/>
    </xf>
    <xf numFmtId="0" fontId="7" fillId="3" borderId="42" xfId="0" applyFont="1" applyFill="1" applyBorder="1" applyAlignment="1" applyProtection="1">
      <alignment horizontal="center" wrapText="1"/>
      <protection locked="0"/>
    </xf>
    <xf numFmtId="0" fontId="7" fillId="3" borderId="43" xfId="0" applyFont="1" applyFill="1" applyBorder="1" applyAlignment="1" applyProtection="1">
      <alignment horizontal="center" wrapText="1"/>
      <protection locked="0"/>
    </xf>
    <xf numFmtId="0" fontId="7" fillId="3" borderId="44" xfId="0" applyFont="1" applyFill="1" applyBorder="1" applyAlignment="1" applyProtection="1">
      <alignment horizontal="center" wrapText="1"/>
      <protection locked="0"/>
    </xf>
    <xf numFmtId="0" fontId="7" fillId="5" borderId="34" xfId="0" applyFont="1" applyFill="1" applyBorder="1" applyAlignment="1">
      <alignment horizontal="left" wrapText="1"/>
    </xf>
    <xf numFmtId="0" fontId="7" fillId="5" borderId="27" xfId="0" applyFont="1" applyFill="1" applyBorder="1" applyAlignment="1">
      <alignment horizontal="left" wrapText="1"/>
    </xf>
    <xf numFmtId="0" fontId="7" fillId="5" borderId="75" xfId="0" applyFont="1" applyFill="1" applyBorder="1" applyAlignment="1">
      <alignment horizontal="left" wrapText="1"/>
    </xf>
    <xf numFmtId="0" fontId="99" fillId="31" borderId="66" xfId="0" applyFont="1" applyFill="1" applyBorder="1" applyAlignment="1">
      <alignment horizontal="center" vertical="center" textRotation="90"/>
    </xf>
    <xf numFmtId="165" fontId="0" fillId="3" borderId="4" xfId="0" applyNumberFormat="1" applyFill="1" applyBorder="1" applyAlignment="1" applyProtection="1">
      <alignment horizontal="center"/>
      <protection locked="0"/>
    </xf>
    <xf numFmtId="165" fontId="0" fillId="3" borderId="5" xfId="0" applyNumberFormat="1" applyFill="1" applyBorder="1" applyAlignment="1" applyProtection="1">
      <alignment horizontal="center"/>
      <protection locked="0"/>
    </xf>
    <xf numFmtId="165" fontId="0" fillId="3" borderId="40" xfId="0" applyNumberFormat="1" applyFill="1" applyBorder="1" applyAlignment="1" applyProtection="1">
      <alignment horizontal="center"/>
      <protection locked="0"/>
    </xf>
    <xf numFmtId="0" fontId="89" fillId="31" borderId="37" xfId="0" applyFont="1" applyFill="1" applyBorder="1" applyAlignment="1">
      <alignment horizontal="left"/>
    </xf>
    <xf numFmtId="0" fontId="89" fillId="31" borderId="38" xfId="0" applyFont="1" applyFill="1" applyBorder="1" applyAlignment="1">
      <alignment horizontal="left"/>
    </xf>
    <xf numFmtId="0" fontId="89" fillId="31" borderId="39" xfId="0" applyFont="1" applyFill="1" applyBorder="1" applyAlignment="1">
      <alignment horizontal="left"/>
    </xf>
    <xf numFmtId="0" fontId="0" fillId="5" borderId="3" xfId="0" applyFill="1" applyBorder="1" applyAlignment="1">
      <alignment horizontal="left" wrapText="1"/>
    </xf>
    <xf numFmtId="0" fontId="0" fillId="5" borderId="0" xfId="0" applyFill="1" applyAlignment="1">
      <alignment horizontal="left" wrapText="1"/>
    </xf>
    <xf numFmtId="0" fontId="0" fillId="5" borderId="78" xfId="0" applyFill="1" applyBorder="1" applyAlignment="1">
      <alignment horizontal="left" wrapText="1"/>
    </xf>
    <xf numFmtId="0" fontId="7" fillId="5" borderId="2" xfId="0" applyFont="1" applyFill="1" applyBorder="1" applyAlignment="1">
      <alignment horizontal="left"/>
    </xf>
    <xf numFmtId="0" fontId="7" fillId="5" borderId="10" xfId="0" applyFont="1" applyFill="1" applyBorder="1" applyAlignment="1">
      <alignment horizontal="left"/>
    </xf>
    <xf numFmtId="0" fontId="7" fillId="5" borderId="77" xfId="0" applyFont="1" applyFill="1" applyBorder="1" applyAlignment="1">
      <alignment horizontal="left"/>
    </xf>
    <xf numFmtId="0" fontId="0" fillId="5" borderId="4" xfId="0" applyFill="1" applyBorder="1" applyAlignment="1">
      <alignment horizontal="left" wrapText="1"/>
    </xf>
    <xf numFmtId="0" fontId="0" fillId="5" borderId="5" xfId="0" applyFill="1" applyBorder="1" applyAlignment="1">
      <alignment horizontal="left" wrapText="1"/>
    </xf>
    <xf numFmtId="0" fontId="0" fillId="5" borderId="6" xfId="0" applyFill="1" applyBorder="1" applyAlignment="1">
      <alignment horizontal="left" wrapText="1"/>
    </xf>
    <xf numFmtId="165" fontId="0" fillId="5" borderId="4" xfId="0" applyNumberFormat="1" applyFill="1" applyBorder="1" applyAlignment="1">
      <alignment horizontal="center"/>
    </xf>
    <xf numFmtId="165" fontId="0" fillId="5" borderId="5" xfId="0" applyNumberFormat="1" applyFill="1" applyBorder="1" applyAlignment="1">
      <alignment horizontal="center"/>
    </xf>
    <xf numFmtId="165" fontId="0" fillId="5" borderId="40" xfId="0" applyNumberFormat="1" applyFill="1" applyBorder="1" applyAlignment="1">
      <alignment horizontal="center"/>
    </xf>
    <xf numFmtId="0" fontId="95" fillId="0" borderId="0" xfId="0" applyFont="1" applyAlignment="1">
      <alignment horizontal="left" wrapText="1"/>
    </xf>
    <xf numFmtId="0" fontId="96" fillId="0" borderId="0" xfId="0" applyFont="1" applyAlignment="1">
      <alignment horizontal="left" vertical="center" wrapText="1"/>
    </xf>
    <xf numFmtId="0" fontId="0" fillId="5" borderId="4" xfId="0" applyFill="1" applyBorder="1" applyAlignment="1">
      <alignment horizontal="left" vertical="center" wrapText="1"/>
    </xf>
    <xf numFmtId="0" fontId="0" fillId="5" borderId="5" xfId="0" applyFill="1" applyBorder="1" applyAlignment="1">
      <alignment horizontal="left" vertical="center" wrapText="1"/>
    </xf>
    <xf numFmtId="0" fontId="0" fillId="5" borderId="6" xfId="0" applyFill="1" applyBorder="1" applyAlignment="1">
      <alignment horizontal="left" vertical="center" wrapText="1"/>
    </xf>
    <xf numFmtId="49" fontId="0" fillId="3" borderId="5" xfId="0" applyNumberFormat="1" applyFill="1" applyBorder="1" applyAlignment="1" applyProtection="1">
      <alignment horizontal="center"/>
      <protection locked="0"/>
    </xf>
    <xf numFmtId="0" fontId="0" fillId="2" borderId="1" xfId="0" applyFill="1" applyBorder="1" applyAlignment="1">
      <alignment horizontal="left" wrapText="1"/>
    </xf>
    <xf numFmtId="0" fontId="100" fillId="31" borderId="61" xfId="0" applyFont="1" applyFill="1" applyBorder="1" applyAlignment="1">
      <alignment horizontal="center" vertical="center" textRotation="90"/>
    </xf>
    <xf numFmtId="0" fontId="100" fillId="31" borderId="46" xfId="0" applyFont="1" applyFill="1" applyBorder="1" applyAlignment="1">
      <alignment horizontal="center" vertical="center" textRotation="90"/>
    </xf>
    <xf numFmtId="0" fontId="7" fillId="3" borderId="4" xfId="0" applyFont="1" applyFill="1" applyBorder="1" applyAlignment="1" applyProtection="1">
      <alignment horizontal="center" wrapText="1"/>
      <protection locked="0"/>
    </xf>
    <xf numFmtId="0" fontId="7" fillId="3" borderId="5" xfId="0" applyFont="1" applyFill="1" applyBorder="1" applyAlignment="1" applyProtection="1">
      <alignment horizontal="center" wrapText="1"/>
      <protection locked="0"/>
    </xf>
    <xf numFmtId="0" fontId="7" fillId="3" borderId="40" xfId="0" applyFont="1" applyFill="1" applyBorder="1" applyAlignment="1" applyProtection="1">
      <alignment horizontal="center" wrapText="1"/>
      <protection locked="0"/>
    </xf>
    <xf numFmtId="0" fontId="159" fillId="28" borderId="24" xfId="539" applyFont="1" applyFill="1" applyBorder="1" applyAlignment="1">
      <alignment horizontal="center" wrapText="1"/>
    </xf>
    <xf numFmtId="0" fontId="159" fillId="28" borderId="25" xfId="539" applyFont="1" applyFill="1" applyBorder="1" applyAlignment="1">
      <alignment horizontal="center" wrapText="1"/>
    </xf>
    <xf numFmtId="0" fontId="93" fillId="0" borderId="0" xfId="0" applyFont="1" applyAlignment="1">
      <alignment horizontal="left" vertical="center" wrapText="1"/>
    </xf>
    <xf numFmtId="0" fontId="95" fillId="0" borderId="0" xfId="0" applyFont="1" applyAlignment="1">
      <alignment horizontal="left" vertical="center" wrapText="1"/>
    </xf>
    <xf numFmtId="0" fontId="0" fillId="5" borderId="2" xfId="0" applyFill="1" applyBorder="1" applyAlignment="1">
      <alignment horizontal="left"/>
    </xf>
    <xf numFmtId="0" fontId="0" fillId="5" borderId="10" xfId="0" applyFill="1" applyBorder="1" applyAlignment="1">
      <alignment horizontal="left"/>
    </xf>
    <xf numFmtId="0" fontId="0" fillId="5" borderId="4" xfId="0" applyFill="1" applyBorder="1" applyAlignment="1">
      <alignment horizontal="left" vertical="center"/>
    </xf>
    <xf numFmtId="0" fontId="0" fillId="5" borderId="5" xfId="0" applyFill="1" applyBorder="1" applyAlignment="1">
      <alignment horizontal="left" vertical="center"/>
    </xf>
    <xf numFmtId="0" fontId="78" fillId="2" borderId="4" xfId="0" applyFont="1" applyFill="1" applyBorder="1" applyAlignment="1" applyProtection="1">
      <alignment horizontal="left" vertical="center"/>
      <protection locked="0"/>
    </xf>
    <xf numFmtId="0" fontId="78" fillId="2" borderId="6" xfId="0" applyFont="1" applyFill="1" applyBorder="1" applyAlignment="1" applyProtection="1">
      <alignment horizontal="left" vertical="center"/>
      <protection locked="0"/>
    </xf>
    <xf numFmtId="0" fontId="0" fillId="5" borderId="34" xfId="0" applyFill="1" applyBorder="1" applyAlignment="1">
      <alignment horizontal="left" vertical="center"/>
    </xf>
    <xf numFmtId="0" fontId="0" fillId="5" borderId="27" xfId="0" applyFill="1" applyBorder="1" applyAlignment="1">
      <alignment horizontal="left" vertical="center"/>
    </xf>
    <xf numFmtId="0" fontId="78" fillId="2" borderId="13" xfId="0" applyFont="1" applyFill="1" applyBorder="1" applyAlignment="1" applyProtection="1">
      <alignment horizontal="left" vertical="center"/>
      <protection locked="0"/>
    </xf>
    <xf numFmtId="0" fontId="78" fillId="2" borderId="5" xfId="0" applyFont="1" applyFill="1" applyBorder="1" applyAlignment="1" applyProtection="1">
      <alignment horizontal="left" vertical="center"/>
      <protection locked="0"/>
    </xf>
    <xf numFmtId="0" fontId="93" fillId="0" borderId="0" xfId="0" applyFont="1" applyAlignment="1">
      <alignment horizontal="center" vertical="center"/>
    </xf>
    <xf numFmtId="0" fontId="93" fillId="0" borderId="0" xfId="0" applyFont="1" applyAlignment="1">
      <alignment horizontal="center" vertical="center" wrapText="1"/>
    </xf>
    <xf numFmtId="0" fontId="97" fillId="31" borderId="41" xfId="0" applyFont="1" applyFill="1" applyBorder="1" applyAlignment="1">
      <alignment horizontal="center" vertical="center" wrapText="1"/>
    </xf>
    <xf numFmtId="0" fontId="97" fillId="31" borderId="45" xfId="0" applyFont="1" applyFill="1" applyBorder="1" applyAlignment="1">
      <alignment horizontal="center" vertical="center" wrapText="1"/>
    </xf>
    <xf numFmtId="0" fontId="97" fillId="31" borderId="76" xfId="0" applyFont="1" applyFill="1" applyBorder="1" applyAlignment="1">
      <alignment horizontal="center" vertical="center" wrapText="1"/>
    </xf>
    <xf numFmtId="166" fontId="0" fillId="4" borderId="4" xfId="0" applyNumberFormat="1" applyFill="1" applyBorder="1" applyAlignment="1">
      <alignment horizontal="center" wrapText="1"/>
    </xf>
    <xf numFmtId="166" fontId="0" fillId="4" borderId="40" xfId="0" applyNumberFormat="1" applyFill="1" applyBorder="1" applyAlignment="1">
      <alignment horizontal="center" wrapText="1"/>
    </xf>
    <xf numFmtId="0" fontId="93" fillId="0" borderId="60" xfId="0" applyFont="1" applyBorder="1" applyAlignment="1">
      <alignment horizontal="left" vertical="center" wrapText="1"/>
    </xf>
    <xf numFmtId="0" fontId="7" fillId="4" borderId="12" xfId="0" applyFont="1" applyFill="1" applyBorder="1" applyAlignment="1">
      <alignment horizontal="center" vertical="center" wrapText="1"/>
    </xf>
    <xf numFmtId="0" fontId="97" fillId="31" borderId="36" xfId="0" applyFont="1" applyFill="1" applyBorder="1" applyAlignment="1">
      <alignment horizontal="center" vertical="center" wrapText="1"/>
    </xf>
    <xf numFmtId="0" fontId="97" fillId="31" borderId="60" xfId="0" applyFont="1" applyFill="1" applyBorder="1" applyAlignment="1">
      <alignment horizontal="center" vertical="center" wrapText="1"/>
    </xf>
    <xf numFmtId="0" fontId="97" fillId="31" borderId="65" xfId="0" applyFont="1" applyFill="1" applyBorder="1" applyAlignment="1">
      <alignment horizontal="center" vertical="center" wrapText="1"/>
    </xf>
    <xf numFmtId="0" fontId="78" fillId="4" borderId="62" xfId="0" applyFont="1" applyFill="1" applyBorder="1" applyAlignment="1">
      <alignment horizontal="left" vertical="center" wrapText="1"/>
    </xf>
    <xf numFmtId="0" fontId="78" fillId="4" borderId="27" xfId="0" applyFont="1" applyFill="1" applyBorder="1" applyAlignment="1">
      <alignment horizontal="left" vertical="center" wrapText="1"/>
    </xf>
    <xf numFmtId="0" fontId="78" fillId="4" borderId="19" xfId="0" applyFont="1" applyFill="1" applyBorder="1" applyAlignment="1">
      <alignment horizontal="left" vertical="center" wrapText="1"/>
    </xf>
    <xf numFmtId="0" fontId="87" fillId="31" borderId="36" xfId="0" applyFont="1" applyFill="1" applyBorder="1" applyAlignment="1">
      <alignment horizontal="center"/>
    </xf>
    <xf numFmtId="0" fontId="87" fillId="31" borderId="60" xfId="0" applyFont="1" applyFill="1" applyBorder="1" applyAlignment="1">
      <alignment horizontal="center"/>
    </xf>
    <xf numFmtId="0" fontId="87" fillId="31" borderId="65" xfId="0" applyFont="1" applyFill="1" applyBorder="1" applyAlignment="1">
      <alignment horizontal="center"/>
    </xf>
    <xf numFmtId="0" fontId="87" fillId="31" borderId="33" xfId="0" applyFont="1" applyFill="1" applyBorder="1" applyAlignment="1">
      <alignment horizontal="center"/>
    </xf>
    <xf numFmtId="0" fontId="87" fillId="31" borderId="0" xfId="0" applyFont="1" applyFill="1" applyAlignment="1">
      <alignment horizontal="center"/>
    </xf>
    <xf numFmtId="0" fontId="87" fillId="31" borderId="62" xfId="0" applyFont="1" applyFill="1" applyBorder="1" applyAlignment="1">
      <alignment horizontal="center"/>
    </xf>
    <xf numFmtId="0" fontId="87" fillId="31" borderId="27" xfId="0" applyFont="1" applyFill="1" applyBorder="1" applyAlignment="1">
      <alignment horizontal="center"/>
    </xf>
    <xf numFmtId="0" fontId="105" fillId="31" borderId="0" xfId="0" applyFont="1" applyFill="1" applyAlignment="1">
      <alignment horizontal="center"/>
    </xf>
    <xf numFmtId="0" fontId="105" fillId="31" borderId="78" xfId="0" applyFont="1" applyFill="1" applyBorder="1" applyAlignment="1">
      <alignment horizontal="center"/>
    </xf>
    <xf numFmtId="49" fontId="15" fillId="3" borderId="1" xfId="0" applyNumberFormat="1" applyFont="1" applyFill="1" applyBorder="1" applyAlignment="1" applyProtection="1">
      <alignment horizontal="center"/>
      <protection locked="0"/>
    </xf>
    <xf numFmtId="49" fontId="15" fillId="3" borderId="4" xfId="0" applyNumberFormat="1" applyFont="1" applyFill="1" applyBorder="1" applyAlignment="1" applyProtection="1">
      <alignment horizontal="center"/>
      <protection locked="0"/>
    </xf>
    <xf numFmtId="49" fontId="15" fillId="3" borderId="5" xfId="0" applyNumberFormat="1" applyFont="1" applyFill="1" applyBorder="1" applyAlignment="1" applyProtection="1">
      <alignment horizontal="center"/>
      <protection locked="0"/>
    </xf>
    <xf numFmtId="49" fontId="15" fillId="3" borderId="40" xfId="0" applyNumberFormat="1" applyFont="1" applyFill="1" applyBorder="1" applyAlignment="1" applyProtection="1">
      <alignment horizontal="center"/>
      <protection locked="0"/>
    </xf>
    <xf numFmtId="0" fontId="71" fillId="4" borderId="62" xfId="0" applyFont="1" applyFill="1" applyBorder="1" applyAlignment="1">
      <alignment horizontal="left" wrapText="1"/>
    </xf>
    <xf numFmtId="0" fontId="71" fillId="4" borderId="27" xfId="0" applyFont="1" applyFill="1" applyBorder="1" applyAlignment="1">
      <alignment horizontal="left" wrapText="1"/>
    </xf>
    <xf numFmtId="0" fontId="71" fillId="4" borderId="75" xfId="0" applyFont="1" applyFill="1" applyBorder="1" applyAlignment="1">
      <alignment horizontal="left" wrapText="1"/>
    </xf>
    <xf numFmtId="0" fontId="0" fillId="4" borderId="13" xfId="0" applyFill="1" applyBorder="1" applyAlignment="1">
      <alignment horizontal="center"/>
    </xf>
    <xf numFmtId="2" fontId="0" fillId="4" borderId="4" xfId="0" applyNumberFormat="1" applyFill="1" applyBorder="1" applyAlignment="1">
      <alignment horizontal="center" wrapText="1"/>
    </xf>
    <xf numFmtId="2" fontId="0" fillId="4" borderId="6" xfId="0" applyNumberFormat="1" applyFill="1" applyBorder="1" applyAlignment="1">
      <alignment horizontal="center" wrapText="1"/>
    </xf>
    <xf numFmtId="166" fontId="0" fillId="3" borderId="4" xfId="0" applyNumberFormat="1" applyFill="1" applyBorder="1" applyAlignment="1">
      <alignment horizontal="center" wrapText="1"/>
    </xf>
    <xf numFmtId="166" fontId="0" fillId="3" borderId="5" xfId="0" applyNumberFormat="1" applyFill="1" applyBorder="1" applyAlignment="1">
      <alignment horizontal="center" wrapText="1"/>
    </xf>
    <xf numFmtId="166" fontId="0" fillId="3" borderId="40" xfId="0" applyNumberFormat="1" applyFill="1" applyBorder="1" applyAlignment="1">
      <alignment horizontal="center" wrapText="1"/>
    </xf>
    <xf numFmtId="2" fontId="0" fillId="4" borderId="40" xfId="0" applyNumberFormat="1" applyFill="1" applyBorder="1" applyAlignment="1">
      <alignment horizontal="center" wrapText="1"/>
    </xf>
    <xf numFmtId="166" fontId="0" fillId="4" borderId="5" xfId="0" applyNumberFormat="1" applyFill="1" applyBorder="1" applyAlignment="1">
      <alignment horizontal="center" wrapText="1"/>
    </xf>
    <xf numFmtId="0" fontId="159" fillId="49" borderId="24" xfId="539" applyFont="1" applyFill="1" applyBorder="1" applyAlignment="1">
      <alignment horizontal="center" wrapText="1"/>
    </xf>
    <xf numFmtId="2" fontId="61" fillId="0" borderId="1" xfId="372" applyNumberFormat="1" applyFont="1" applyBorder="1" applyAlignment="1" applyProtection="1">
      <alignment horizontal="center"/>
      <protection locked="0"/>
    </xf>
    <xf numFmtId="2" fontId="61" fillId="0" borderId="14" xfId="372" applyNumberFormat="1" applyFont="1" applyBorder="1" applyAlignment="1" applyProtection="1">
      <alignment horizontal="center"/>
      <protection locked="0"/>
    </xf>
    <xf numFmtId="0" fontId="61" fillId="0" borderId="4" xfId="372" applyFont="1" applyBorder="1" applyAlignment="1" applyProtection="1">
      <alignment horizontal="left"/>
      <protection locked="0"/>
    </xf>
    <xf numFmtId="0" fontId="61" fillId="0" borderId="5" xfId="372" applyFont="1" applyBorder="1" applyAlignment="1" applyProtection="1">
      <alignment horizontal="left"/>
      <protection locked="0"/>
    </xf>
    <xf numFmtId="0" fontId="61" fillId="0" borderId="6" xfId="372" applyFont="1" applyBorder="1" applyAlignment="1" applyProtection="1">
      <alignment horizontal="left"/>
      <protection locked="0"/>
    </xf>
    <xf numFmtId="0" fontId="61" fillId="0" borderId="13" xfId="372" applyFont="1" applyBorder="1" applyAlignment="1" applyProtection="1">
      <alignment horizontal="center"/>
      <protection locked="0"/>
    </xf>
    <xf numFmtId="0" fontId="61" fillId="0" borderId="6" xfId="372" applyFont="1" applyBorder="1" applyAlignment="1" applyProtection="1">
      <alignment horizontal="center"/>
      <protection locked="0"/>
    </xf>
    <xf numFmtId="0" fontId="61" fillId="0" borderId="5" xfId="372" applyFont="1" applyBorder="1" applyAlignment="1" applyProtection="1">
      <alignment horizontal="center"/>
      <protection locked="0"/>
    </xf>
    <xf numFmtId="0" fontId="133" fillId="3" borderId="58" xfId="0" applyFont="1" applyFill="1" applyBorder="1" applyAlignment="1">
      <alignment horizontal="center" wrapText="1"/>
    </xf>
    <xf numFmtId="0" fontId="133" fillId="3" borderId="59" xfId="0" applyFont="1" applyFill="1" applyBorder="1" applyAlignment="1">
      <alignment horizontal="center" wrapText="1"/>
    </xf>
    <xf numFmtId="0" fontId="133" fillId="3" borderId="52" xfId="0" applyFont="1" applyFill="1" applyBorder="1" applyAlignment="1">
      <alignment horizontal="center" wrapText="1"/>
    </xf>
    <xf numFmtId="0" fontId="0" fillId="0" borderId="60" xfId="0" applyBorder="1" applyAlignment="1">
      <alignment horizontal="center" wrapText="1"/>
    </xf>
    <xf numFmtId="0" fontId="37" fillId="0" borderId="1" xfId="372" applyFont="1" applyBorder="1" applyAlignment="1">
      <alignment horizontal="center" vertical="center" wrapText="1"/>
    </xf>
    <xf numFmtId="0" fontId="53" fillId="0" borderId="1" xfId="372" applyFont="1" applyBorder="1" applyAlignment="1">
      <alignment horizontal="center" vertical="center" wrapText="1"/>
    </xf>
    <xf numFmtId="0" fontId="37" fillId="4" borderId="13" xfId="372" applyFont="1" applyFill="1" applyBorder="1" applyAlignment="1">
      <alignment horizontal="left" vertical="center" wrapText="1"/>
    </xf>
    <xf numFmtId="0" fontId="37" fillId="4" borderId="5" xfId="372" applyFont="1" applyFill="1" applyBorder="1" applyAlignment="1">
      <alignment horizontal="left" vertical="center" wrapText="1"/>
    </xf>
    <xf numFmtId="0" fontId="37" fillId="4" borderId="40" xfId="372" applyFont="1" applyFill="1" applyBorder="1" applyAlignment="1">
      <alignment horizontal="left" vertical="center" wrapText="1"/>
    </xf>
    <xf numFmtId="0" fontId="123" fillId="44" borderId="13" xfId="0" applyFont="1" applyFill="1" applyBorder="1" applyAlignment="1" applyProtection="1">
      <alignment horizontal="left"/>
      <protection locked="0"/>
    </xf>
    <xf numFmtId="0" fontId="123" fillId="44" borderId="5" xfId="0" applyFont="1" applyFill="1" applyBorder="1" applyAlignment="1" applyProtection="1">
      <alignment horizontal="left"/>
      <protection locked="0"/>
    </xf>
    <xf numFmtId="0" fontId="123" fillId="44" borderId="6" xfId="0" applyFont="1" applyFill="1" applyBorder="1" applyAlignment="1" applyProtection="1">
      <alignment horizontal="left"/>
      <protection locked="0"/>
    </xf>
    <xf numFmtId="0" fontId="61" fillId="2" borderId="4" xfId="372" applyFont="1" applyFill="1" applyBorder="1" applyAlignment="1" applyProtection="1">
      <alignment horizontal="center"/>
      <protection locked="0"/>
    </xf>
    <xf numFmtId="0" fontId="61" fillId="2" borderId="5" xfId="372" applyFont="1" applyFill="1" applyBorder="1" applyAlignment="1" applyProtection="1">
      <alignment horizontal="center"/>
      <protection locked="0"/>
    </xf>
    <xf numFmtId="0" fontId="61" fillId="2" borderId="40" xfId="372" applyFont="1" applyFill="1" applyBorder="1" applyAlignment="1" applyProtection="1">
      <alignment horizontal="center"/>
      <protection locked="0"/>
    </xf>
    <xf numFmtId="0" fontId="133" fillId="46" borderId="58" xfId="0" applyFont="1" applyFill="1" applyBorder="1" applyAlignment="1">
      <alignment horizontal="center" wrapText="1"/>
    </xf>
    <xf numFmtId="0" fontId="133" fillId="46" borderId="59" xfId="0" applyFont="1" applyFill="1" applyBorder="1" applyAlignment="1">
      <alignment horizontal="center" wrapText="1"/>
    </xf>
    <xf numFmtId="0" fontId="133" fillId="46" borderId="52" xfId="0" applyFont="1" applyFill="1" applyBorder="1" applyAlignment="1">
      <alignment horizontal="center" wrapText="1"/>
    </xf>
    <xf numFmtId="0" fontId="17" fillId="22" borderId="1" xfId="0" applyFont="1" applyFill="1" applyBorder="1" applyAlignment="1">
      <alignment horizontal="center"/>
    </xf>
    <xf numFmtId="0" fontId="17" fillId="22" borderId="14" xfId="0" applyFont="1" applyFill="1" applyBorder="1" applyAlignment="1">
      <alignment horizontal="center"/>
    </xf>
    <xf numFmtId="0" fontId="37" fillId="0" borderId="80" xfId="372" applyFont="1" applyBorder="1" applyAlignment="1">
      <alignment horizontal="center" vertical="center" wrapText="1"/>
    </xf>
    <xf numFmtId="0" fontId="37" fillId="0" borderId="12" xfId="372" applyFont="1" applyBorder="1" applyAlignment="1">
      <alignment horizontal="center" vertical="center" wrapText="1"/>
    </xf>
    <xf numFmtId="0" fontId="18" fillId="0" borderId="0" xfId="0" applyFont="1" applyAlignment="1">
      <alignment horizontal="center"/>
    </xf>
    <xf numFmtId="0" fontId="61" fillId="0" borderId="62" xfId="372" applyFont="1" applyBorder="1" applyAlignment="1" applyProtection="1">
      <alignment horizontal="center"/>
      <protection locked="0"/>
    </xf>
    <xf numFmtId="0" fontId="61" fillId="0" borderId="19" xfId="372" applyFont="1" applyBorder="1" applyAlignment="1" applyProtection="1">
      <alignment horizontal="center"/>
      <protection locked="0"/>
    </xf>
    <xf numFmtId="0" fontId="37" fillId="4" borderId="4" xfId="372" applyFont="1" applyFill="1" applyBorder="1" applyAlignment="1">
      <alignment horizontal="center" vertical="center" wrapText="1"/>
    </xf>
    <xf numFmtId="0" fontId="37" fillId="4" borderId="6" xfId="372" applyFont="1" applyFill="1" applyBorder="1" applyAlignment="1">
      <alignment horizontal="center" vertical="center" wrapText="1"/>
    </xf>
    <xf numFmtId="0" fontId="77" fillId="4" borderId="66" xfId="372" applyFont="1" applyFill="1" applyBorder="1" applyAlignment="1">
      <alignment horizontal="left"/>
    </xf>
    <xf numFmtId="0" fontId="77" fillId="4" borderId="94" xfId="372" applyFont="1" applyFill="1" applyBorder="1" applyAlignment="1">
      <alignment horizontal="left"/>
    </xf>
    <xf numFmtId="0" fontId="77" fillId="4" borderId="16" xfId="372" applyFont="1" applyFill="1" applyBorder="1" applyAlignment="1">
      <alignment horizontal="left"/>
    </xf>
    <xf numFmtId="0" fontId="91" fillId="3" borderId="13" xfId="372" applyFont="1" applyFill="1" applyBorder="1" applyAlignment="1">
      <alignment horizontal="center" vertical="center" wrapText="1"/>
    </xf>
    <xf numFmtId="0" fontId="91" fillId="3" borderId="5" xfId="372" applyFont="1" applyFill="1" applyBorder="1" applyAlignment="1">
      <alignment horizontal="center" vertical="center" wrapText="1"/>
    </xf>
    <xf numFmtId="0" fontId="91" fillId="3" borderId="6" xfId="372" applyFont="1" applyFill="1" applyBorder="1" applyAlignment="1">
      <alignment horizontal="center" vertical="center" wrapText="1"/>
    </xf>
    <xf numFmtId="0" fontId="22" fillId="10" borderId="73" xfId="372" applyFill="1" applyBorder="1" applyAlignment="1" applyProtection="1">
      <alignment horizontal="left"/>
      <protection locked="0"/>
    </xf>
    <xf numFmtId="0" fontId="22" fillId="10" borderId="74" xfId="372" applyFill="1" applyBorder="1" applyAlignment="1" applyProtection="1">
      <alignment horizontal="left"/>
      <protection locked="0"/>
    </xf>
    <xf numFmtId="0" fontId="22" fillId="10" borderId="72" xfId="372" applyFill="1" applyBorder="1" applyAlignment="1" applyProtection="1">
      <alignment horizontal="left"/>
      <protection locked="0"/>
    </xf>
    <xf numFmtId="2" fontId="61" fillId="4" borderId="42" xfId="372" applyNumberFormat="1" applyFont="1" applyFill="1" applyBorder="1" applyAlignment="1">
      <alignment horizontal="center" vertical="center"/>
    </xf>
    <xf numFmtId="2" fontId="61" fillId="4" borderId="43" xfId="372" applyNumberFormat="1" applyFont="1" applyFill="1" applyBorder="1" applyAlignment="1">
      <alignment horizontal="center" vertical="center"/>
    </xf>
    <xf numFmtId="2" fontId="61" fillId="4" borderId="44" xfId="372" applyNumberFormat="1" applyFont="1" applyFill="1" applyBorder="1" applyAlignment="1">
      <alignment horizontal="center" vertical="center"/>
    </xf>
    <xf numFmtId="0" fontId="61" fillId="5" borderId="29" xfId="372" applyFont="1" applyFill="1" applyBorder="1" applyAlignment="1">
      <alignment horizontal="left" wrapText="1"/>
    </xf>
    <xf numFmtId="0" fontId="61" fillId="5" borderId="43" xfId="372" applyFont="1" applyFill="1" applyBorder="1" applyAlignment="1">
      <alignment horizontal="left" wrapText="1"/>
    </xf>
    <xf numFmtId="0" fontId="37" fillId="5" borderId="5" xfId="372" applyFont="1" applyFill="1" applyBorder="1" applyAlignment="1">
      <alignment horizontal="center"/>
    </xf>
    <xf numFmtId="176" fontId="22" fillId="0" borderId="0" xfId="372" applyNumberFormat="1" applyAlignment="1">
      <alignment horizontal="center"/>
    </xf>
    <xf numFmtId="0" fontId="43" fillId="5" borderId="58" xfId="372" applyFont="1" applyFill="1" applyBorder="1" applyAlignment="1">
      <alignment horizontal="center"/>
    </xf>
    <xf numFmtId="0" fontId="43" fillId="5" borderId="59" xfId="372" applyFont="1" applyFill="1" applyBorder="1" applyAlignment="1">
      <alignment horizontal="center"/>
    </xf>
    <xf numFmtId="0" fontId="43" fillId="5" borderId="52" xfId="372" applyFont="1" applyFill="1" applyBorder="1" applyAlignment="1">
      <alignment horizontal="center"/>
    </xf>
    <xf numFmtId="0" fontId="82" fillId="31" borderId="36" xfId="372" applyFont="1" applyFill="1" applyBorder="1" applyAlignment="1">
      <alignment horizontal="center"/>
    </xf>
    <xf numFmtId="0" fontId="82" fillId="31" borderId="60" xfId="372" applyFont="1" applyFill="1" applyBorder="1" applyAlignment="1">
      <alignment horizontal="center"/>
    </xf>
    <xf numFmtId="0" fontId="82" fillId="31" borderId="65" xfId="372" applyFont="1" applyFill="1" applyBorder="1" applyAlignment="1">
      <alignment horizontal="center"/>
    </xf>
    <xf numFmtId="0" fontId="91" fillId="3" borderId="4" xfId="372" applyFont="1" applyFill="1" applyBorder="1" applyAlignment="1">
      <alignment horizontal="center" vertical="center" wrapText="1"/>
    </xf>
    <xf numFmtId="0" fontId="91" fillId="3" borderId="40" xfId="372" applyFont="1" applyFill="1" applyBorder="1" applyAlignment="1">
      <alignment horizontal="center" vertical="center" wrapText="1"/>
    </xf>
    <xf numFmtId="0" fontId="61" fillId="5" borderId="5" xfId="372" applyFont="1" applyFill="1" applyBorder="1" applyAlignment="1">
      <alignment horizontal="left" wrapText="1"/>
    </xf>
    <xf numFmtId="0" fontId="50" fillId="4" borderId="13" xfId="372" applyFont="1" applyFill="1" applyBorder="1" applyAlignment="1">
      <alignment horizontal="center" vertical="center" wrapText="1"/>
    </xf>
    <xf numFmtId="0" fontId="50" fillId="4" borderId="6" xfId="372" applyFont="1" applyFill="1" applyBorder="1" applyAlignment="1">
      <alignment horizontal="center" vertical="center" wrapText="1"/>
    </xf>
    <xf numFmtId="0" fontId="37" fillId="4" borderId="4" xfId="372" applyFont="1" applyFill="1" applyBorder="1" applyAlignment="1">
      <alignment horizontal="left" vertical="center" wrapText="1"/>
    </xf>
    <xf numFmtId="0" fontId="37" fillId="4" borderId="6" xfId="372" applyFont="1" applyFill="1" applyBorder="1" applyAlignment="1">
      <alignment horizontal="left" vertical="center" wrapText="1"/>
    </xf>
    <xf numFmtId="0" fontId="122" fillId="4" borderId="10" xfId="372" applyFont="1" applyFill="1" applyBorder="1" applyAlignment="1">
      <alignment horizontal="center"/>
    </xf>
    <xf numFmtId="0" fontId="122" fillId="4" borderId="77" xfId="372" applyFont="1" applyFill="1" applyBorder="1" applyAlignment="1">
      <alignment horizontal="center"/>
    </xf>
    <xf numFmtId="0" fontId="115" fillId="2" borderId="0" xfId="372" applyFont="1" applyFill="1" applyAlignment="1">
      <alignment horizontal="left"/>
    </xf>
    <xf numFmtId="0" fontId="80" fillId="4" borderId="58" xfId="372" applyFont="1" applyFill="1" applyBorder="1" applyAlignment="1">
      <alignment horizontal="center" vertical="center"/>
    </xf>
    <xf numFmtId="0" fontId="80" fillId="4" borderId="59" xfId="372" applyFont="1" applyFill="1" applyBorder="1" applyAlignment="1">
      <alignment horizontal="center" vertical="center"/>
    </xf>
    <xf numFmtId="0" fontId="80" fillId="4" borderId="37" xfId="372" applyFont="1" applyFill="1" applyBorder="1" applyAlignment="1">
      <alignment horizontal="center" vertical="center"/>
    </xf>
    <xf numFmtId="0" fontId="80" fillId="4" borderId="52" xfId="372" applyFont="1" applyFill="1" applyBorder="1" applyAlignment="1">
      <alignment horizontal="center" vertical="center"/>
    </xf>
    <xf numFmtId="0" fontId="22" fillId="0" borderId="9" xfId="372" applyBorder="1" applyAlignment="1">
      <alignment horizontal="left"/>
    </xf>
    <xf numFmtId="0" fontId="22" fillId="0" borderId="1" xfId="372" applyBorder="1" applyAlignment="1">
      <alignment horizontal="left"/>
    </xf>
    <xf numFmtId="2" fontId="22" fillId="0" borderId="1" xfId="372" applyNumberFormat="1" applyBorder="1" applyAlignment="1">
      <alignment horizontal="center"/>
    </xf>
    <xf numFmtId="2" fontId="22" fillId="0" borderId="4" xfId="372" applyNumberFormat="1" applyBorder="1" applyAlignment="1">
      <alignment horizontal="center"/>
    </xf>
    <xf numFmtId="2" fontId="22" fillId="0" borderId="14" xfId="372" applyNumberFormat="1" applyBorder="1" applyAlignment="1">
      <alignment horizontal="center"/>
    </xf>
    <xf numFmtId="0" fontId="22" fillId="29" borderId="9" xfId="372" applyFill="1" applyBorder="1" applyAlignment="1">
      <alignment horizontal="left"/>
    </xf>
    <xf numFmtId="0" fontId="22" fillId="29" borderId="1" xfId="372" applyFill="1" applyBorder="1" applyAlignment="1">
      <alignment horizontal="left"/>
    </xf>
    <xf numFmtId="2" fontId="61" fillId="29" borderId="1" xfId="372" applyNumberFormat="1" applyFont="1" applyFill="1" applyBorder="1" applyAlignment="1">
      <alignment horizontal="center"/>
    </xf>
    <xf numFmtId="2" fontId="61" fillId="29" borderId="4" xfId="372" applyNumberFormat="1" applyFont="1" applyFill="1" applyBorder="1" applyAlignment="1">
      <alignment horizontal="center"/>
    </xf>
    <xf numFmtId="2" fontId="61" fillId="29" borderId="14" xfId="372" applyNumberFormat="1" applyFont="1" applyFill="1" applyBorder="1" applyAlignment="1">
      <alignment horizontal="center"/>
    </xf>
    <xf numFmtId="0" fontId="22" fillId="4" borderId="29" xfId="372" applyFill="1" applyBorder="1" applyAlignment="1">
      <alignment horizontal="left"/>
    </xf>
    <xf numFmtId="0" fontId="22" fillId="4" borderId="43" xfId="372" applyFill="1" applyBorder="1" applyAlignment="1">
      <alignment horizontal="left"/>
    </xf>
    <xf numFmtId="0" fontId="22" fillId="4" borderId="32" xfId="372" applyFill="1" applyBorder="1" applyAlignment="1">
      <alignment horizontal="left"/>
    </xf>
    <xf numFmtId="2" fontId="22" fillId="2" borderId="1" xfId="372" applyNumberFormat="1" applyFill="1" applyBorder="1" applyAlignment="1">
      <alignment horizontal="center"/>
    </xf>
    <xf numFmtId="2" fontId="22" fillId="2" borderId="4" xfId="372" applyNumberFormat="1" applyFill="1" applyBorder="1" applyAlignment="1">
      <alignment horizontal="center"/>
    </xf>
    <xf numFmtId="2" fontId="22" fillId="2" borderId="14" xfId="372" applyNumberFormat="1" applyFill="1" applyBorder="1" applyAlignment="1">
      <alignment horizontal="center"/>
    </xf>
    <xf numFmtId="0" fontId="65" fillId="38" borderId="9" xfId="372" applyFont="1" applyFill="1" applyBorder="1" applyAlignment="1">
      <alignment horizontal="left"/>
    </xf>
    <xf numFmtId="0" fontId="65" fillId="38" borderId="1" xfId="372" applyFont="1" applyFill="1" applyBorder="1" applyAlignment="1">
      <alignment horizontal="left"/>
    </xf>
    <xf numFmtId="2" fontId="65" fillId="38" borderId="1" xfId="372" applyNumberFormat="1" applyFont="1" applyFill="1" applyBorder="1" applyAlignment="1">
      <alignment horizontal="center"/>
    </xf>
    <xf numFmtId="2" fontId="65" fillId="38" borderId="4" xfId="372" applyNumberFormat="1" applyFont="1" applyFill="1" applyBorder="1" applyAlignment="1">
      <alignment horizontal="center"/>
    </xf>
    <xf numFmtId="2" fontId="65" fillId="38" borderId="14" xfId="372" applyNumberFormat="1" applyFont="1" applyFill="1" applyBorder="1" applyAlignment="1">
      <alignment horizontal="center"/>
    </xf>
    <xf numFmtId="2" fontId="22" fillId="29" borderId="4" xfId="372" applyNumberFormat="1" applyFill="1" applyBorder="1" applyAlignment="1">
      <alignment horizontal="center"/>
    </xf>
    <xf numFmtId="2" fontId="22" fillId="29" borderId="5" xfId="372" applyNumberFormat="1" applyFill="1" applyBorder="1" applyAlignment="1">
      <alignment horizontal="center"/>
    </xf>
    <xf numFmtId="2" fontId="22" fillId="29" borderId="40" xfId="372" applyNumberFormat="1" applyFill="1" applyBorder="1" applyAlignment="1">
      <alignment horizontal="center"/>
    </xf>
    <xf numFmtId="0" fontId="158" fillId="29" borderId="13" xfId="372" applyFont="1" applyFill="1" applyBorder="1" applyAlignment="1">
      <alignment horizontal="left"/>
    </xf>
    <xf numFmtId="0" fontId="158" fillId="29" borderId="5" xfId="372" applyFont="1" applyFill="1" applyBorder="1" applyAlignment="1">
      <alignment horizontal="left"/>
    </xf>
    <xf numFmtId="0" fontId="158" fillId="29" borderId="6" xfId="372" applyFont="1" applyFill="1" applyBorder="1" applyAlignment="1">
      <alignment horizontal="left"/>
    </xf>
    <xf numFmtId="0" fontId="80" fillId="4" borderId="59" xfId="372" applyFont="1" applyFill="1" applyBorder="1" applyAlignment="1">
      <alignment horizontal="center" vertical="center" wrapText="1"/>
    </xf>
    <xf numFmtId="0" fontId="80" fillId="4" borderId="52" xfId="372" applyFont="1" applyFill="1" applyBorder="1" applyAlignment="1">
      <alignment horizontal="center" vertical="center" wrapText="1"/>
    </xf>
    <xf numFmtId="2" fontId="61" fillId="3" borderId="1" xfId="372" applyNumberFormat="1" applyFont="1" applyFill="1" applyBorder="1" applyAlignment="1" applyProtection="1">
      <alignment horizontal="center"/>
      <protection locked="0"/>
    </xf>
    <xf numFmtId="2" fontId="61" fillId="3" borderId="14" xfId="372" applyNumberFormat="1" applyFont="1" applyFill="1" applyBorder="1" applyAlignment="1" applyProtection="1">
      <alignment horizontal="center"/>
      <protection locked="0"/>
    </xf>
    <xf numFmtId="0" fontId="80" fillId="4" borderId="9" xfId="372" applyFont="1" applyFill="1" applyBorder="1" applyAlignment="1">
      <alignment horizontal="center" vertical="center"/>
    </xf>
    <xf numFmtId="0" fontId="80" fillId="4" borderId="1" xfId="372" applyFont="1" applyFill="1" applyBorder="1" applyAlignment="1">
      <alignment horizontal="center" vertical="center"/>
    </xf>
    <xf numFmtId="0" fontId="22" fillId="10" borderId="4" xfId="372" applyFill="1" applyBorder="1" applyAlignment="1" applyProtection="1">
      <alignment horizontal="left"/>
      <protection locked="0"/>
    </xf>
    <xf numFmtId="0" fontId="22" fillId="10" borderId="5" xfId="372" applyFill="1" applyBorder="1" applyAlignment="1" applyProtection="1">
      <alignment horizontal="left"/>
      <protection locked="0"/>
    </xf>
    <xf numFmtId="0" fontId="22" fillId="10" borderId="6" xfId="372" applyFill="1" applyBorder="1" applyAlignment="1" applyProtection="1">
      <alignment horizontal="left"/>
      <protection locked="0"/>
    </xf>
    <xf numFmtId="2" fontId="65" fillId="38" borderId="5" xfId="372" applyNumberFormat="1" applyFont="1" applyFill="1" applyBorder="1" applyAlignment="1">
      <alignment horizontal="center"/>
    </xf>
    <xf numFmtId="2" fontId="65" fillId="38" borderId="40" xfId="372" applyNumberFormat="1" applyFont="1" applyFill="1" applyBorder="1" applyAlignment="1">
      <alignment horizontal="center"/>
    </xf>
    <xf numFmtId="0" fontId="65" fillId="38" borderId="13" xfId="372" applyFont="1" applyFill="1" applyBorder="1" applyAlignment="1">
      <alignment horizontal="left"/>
    </xf>
    <xf numFmtId="0" fontId="65" fillId="38" borderId="5" xfId="372" applyFont="1" applyFill="1" applyBorder="1" applyAlignment="1">
      <alignment horizontal="left"/>
    </xf>
    <xf numFmtId="0" fontId="65" fillId="38" borderId="6" xfId="372" applyFont="1" applyFill="1" applyBorder="1" applyAlignment="1">
      <alignment horizontal="left"/>
    </xf>
    <xf numFmtId="2" fontId="66" fillId="30" borderId="16" xfId="372" applyNumberFormat="1" applyFont="1" applyFill="1" applyBorder="1" applyAlignment="1">
      <alignment horizontal="center"/>
    </xf>
    <xf numFmtId="2" fontId="66" fillId="30" borderId="42" xfId="372" applyNumberFormat="1" applyFont="1" applyFill="1" applyBorder="1" applyAlignment="1">
      <alignment horizontal="center"/>
    </xf>
    <xf numFmtId="2" fontId="66" fillId="30" borderId="17" xfId="372" applyNumberFormat="1" applyFont="1" applyFill="1" applyBorder="1" applyAlignment="1">
      <alignment horizontal="center"/>
    </xf>
    <xf numFmtId="0" fontId="80" fillId="4" borderId="58" xfId="372" applyFont="1" applyFill="1" applyBorder="1" applyAlignment="1">
      <alignment horizontal="center" vertical="center" wrapText="1"/>
    </xf>
    <xf numFmtId="0" fontId="22" fillId="40" borderId="13" xfId="0" applyFont="1" applyFill="1" applyBorder="1" applyAlignment="1">
      <alignment horizontal="left"/>
    </xf>
    <xf numFmtId="0" fontId="22" fillId="40" borderId="5" xfId="0" applyFont="1" applyFill="1" applyBorder="1" applyAlignment="1">
      <alignment horizontal="left"/>
    </xf>
    <xf numFmtId="0" fontId="22" fillId="40" borderId="6" xfId="0" applyFont="1" applyFill="1" applyBorder="1" applyAlignment="1">
      <alignment horizontal="left"/>
    </xf>
    <xf numFmtId="2" fontId="22" fillId="40" borderId="4" xfId="0" applyNumberFormat="1" applyFont="1" applyFill="1" applyBorder="1" applyAlignment="1">
      <alignment horizontal="center"/>
    </xf>
    <xf numFmtId="2" fontId="22" fillId="40" borderId="5" xfId="0" applyNumberFormat="1" applyFont="1" applyFill="1" applyBorder="1" applyAlignment="1">
      <alignment horizontal="center"/>
    </xf>
    <xf numFmtId="2" fontId="22" fillId="40" borderId="40" xfId="0" applyNumberFormat="1" applyFont="1" applyFill="1" applyBorder="1" applyAlignment="1">
      <alignment horizontal="center"/>
    </xf>
    <xf numFmtId="0" fontId="123" fillId="41" borderId="13" xfId="0" applyFont="1" applyFill="1" applyBorder="1" applyAlignment="1">
      <alignment horizontal="left"/>
    </xf>
    <xf numFmtId="0" fontId="123" fillId="41" borderId="5" xfId="0" applyFont="1" applyFill="1" applyBorder="1" applyAlignment="1">
      <alignment horizontal="left"/>
    </xf>
    <xf numFmtId="0" fontId="123" fillId="41" borderId="6" xfId="0" applyFont="1" applyFill="1" applyBorder="1" applyAlignment="1">
      <alignment horizontal="left"/>
    </xf>
    <xf numFmtId="2" fontId="123" fillId="41" borderId="4" xfId="0" applyNumberFormat="1" applyFont="1" applyFill="1" applyBorder="1" applyAlignment="1">
      <alignment horizontal="center"/>
    </xf>
    <xf numFmtId="2" fontId="123" fillId="41" borderId="5" xfId="0" applyNumberFormat="1" applyFont="1" applyFill="1" applyBorder="1" applyAlignment="1">
      <alignment horizontal="center"/>
    </xf>
    <xf numFmtId="2" fontId="123" fillId="41" borderId="40" xfId="0" applyNumberFormat="1" applyFont="1" applyFill="1" applyBorder="1" applyAlignment="1">
      <alignment horizontal="center"/>
    </xf>
    <xf numFmtId="0" fontId="61" fillId="19" borderId="9" xfId="372" applyFont="1" applyFill="1" applyBorder="1" applyAlignment="1">
      <alignment horizontal="left"/>
    </xf>
    <xf numFmtId="0" fontId="61" fillId="19" borderId="1" xfId="372" applyFont="1" applyFill="1" applyBorder="1" applyAlignment="1">
      <alignment horizontal="left"/>
    </xf>
    <xf numFmtId="0" fontId="124" fillId="43" borderId="13" xfId="0" applyFont="1" applyFill="1" applyBorder="1" applyAlignment="1">
      <alignment horizontal="left"/>
    </xf>
    <xf numFmtId="0" fontId="124" fillId="43" borderId="5" xfId="0" applyFont="1" applyFill="1" applyBorder="1" applyAlignment="1">
      <alignment horizontal="left"/>
    </xf>
    <xf numFmtId="0" fontId="124" fillId="43" borderId="6" xfId="0" applyFont="1" applyFill="1" applyBorder="1" applyAlignment="1">
      <alignment horizontal="left"/>
    </xf>
    <xf numFmtId="2" fontId="124" fillId="43" borderId="4" xfId="0" applyNumberFormat="1" applyFont="1" applyFill="1" applyBorder="1" applyAlignment="1">
      <alignment horizontal="center"/>
    </xf>
    <xf numFmtId="2" fontId="124" fillId="43" borderId="5" xfId="0" applyNumberFormat="1" applyFont="1" applyFill="1" applyBorder="1" applyAlignment="1">
      <alignment horizontal="center"/>
    </xf>
    <xf numFmtId="2" fontId="124" fillId="43" borderId="40" xfId="0" applyNumberFormat="1" applyFont="1" applyFill="1" applyBorder="1" applyAlignment="1">
      <alignment horizontal="center"/>
    </xf>
    <xf numFmtId="0" fontId="124" fillId="45" borderId="29" xfId="0" applyFont="1" applyFill="1" applyBorder="1" applyAlignment="1">
      <alignment horizontal="left"/>
    </xf>
    <xf numFmtId="0" fontId="124" fillId="45" borderId="43" xfId="0" applyFont="1" applyFill="1" applyBorder="1" applyAlignment="1">
      <alignment horizontal="left"/>
    </xf>
    <xf numFmtId="0" fontId="124" fillId="45" borderId="91" xfId="0" applyFont="1" applyFill="1" applyBorder="1" applyAlignment="1">
      <alignment horizontal="left"/>
    </xf>
    <xf numFmtId="2" fontId="124" fillId="45" borderId="92" xfId="0" applyNumberFormat="1" applyFont="1" applyFill="1" applyBorder="1" applyAlignment="1">
      <alignment horizontal="center"/>
    </xf>
    <xf numFmtId="2" fontId="124" fillId="45" borderId="43" xfId="0" applyNumberFormat="1" applyFont="1" applyFill="1" applyBorder="1" applyAlignment="1">
      <alignment horizontal="center"/>
    </xf>
    <xf numFmtId="2" fontId="124" fillId="45" borderId="44" xfId="0" applyNumberFormat="1" applyFont="1" applyFill="1" applyBorder="1" applyAlignment="1">
      <alignment horizontal="center"/>
    </xf>
    <xf numFmtId="0" fontId="125" fillId="39" borderId="13" xfId="0" applyFont="1" applyFill="1" applyBorder="1" applyAlignment="1">
      <alignment horizontal="left"/>
    </xf>
    <xf numFmtId="0" fontId="125" fillId="39" borderId="5" xfId="0" applyFont="1" applyFill="1" applyBorder="1" applyAlignment="1">
      <alignment horizontal="left"/>
    </xf>
    <xf numFmtId="0" fontId="125" fillId="39" borderId="40" xfId="0" applyFont="1" applyFill="1" applyBorder="1" applyAlignment="1">
      <alignment horizontal="left"/>
    </xf>
    <xf numFmtId="0" fontId="123" fillId="39" borderId="13" xfId="0" applyFont="1" applyFill="1" applyBorder="1" applyAlignment="1">
      <alignment horizontal="left"/>
    </xf>
    <xf numFmtId="0" fontId="123" fillId="39" borderId="5" xfId="0" applyFont="1" applyFill="1" applyBorder="1" applyAlignment="1">
      <alignment horizontal="left"/>
    </xf>
    <xf numFmtId="0" fontId="123" fillId="39" borderId="6" xfId="0" applyFont="1" applyFill="1" applyBorder="1" applyAlignment="1">
      <alignment horizontal="left"/>
    </xf>
    <xf numFmtId="2" fontId="123" fillId="39" borderId="4" xfId="0" applyNumberFormat="1" applyFont="1" applyFill="1" applyBorder="1" applyAlignment="1">
      <alignment horizontal="center"/>
    </xf>
    <xf numFmtId="2" fontId="123" fillId="39" borderId="5" xfId="0" applyNumberFormat="1" applyFont="1" applyFill="1" applyBorder="1" applyAlignment="1">
      <alignment horizontal="center"/>
    </xf>
    <xf numFmtId="2" fontId="123" fillId="39" borderId="40" xfId="0" applyNumberFormat="1" applyFont="1" applyFill="1" applyBorder="1" applyAlignment="1">
      <alignment horizontal="center"/>
    </xf>
    <xf numFmtId="0" fontId="61" fillId="2" borderId="1" xfId="372" applyFont="1" applyFill="1" applyBorder="1" applyAlignment="1" applyProtection="1">
      <alignment horizontal="center"/>
      <protection locked="0"/>
    </xf>
    <xf numFmtId="0" fontId="61" fillId="2" borderId="14" xfId="372" applyFont="1" applyFill="1" applyBorder="1" applyAlignment="1" applyProtection="1">
      <alignment horizontal="center"/>
      <protection locked="0"/>
    </xf>
    <xf numFmtId="0" fontId="133" fillId="0" borderId="58" xfId="0" applyFont="1" applyBorder="1" applyAlignment="1">
      <alignment horizontal="center" wrapText="1"/>
    </xf>
    <xf numFmtId="0" fontId="133" fillId="0" borderId="59" xfId="0" applyFont="1" applyBorder="1" applyAlignment="1">
      <alignment horizontal="center" wrapText="1"/>
    </xf>
    <xf numFmtId="0" fontId="133" fillId="0" borderId="52" xfId="0" applyFont="1" applyBorder="1" applyAlignment="1">
      <alignment horizontal="center" wrapText="1"/>
    </xf>
    <xf numFmtId="0" fontId="17" fillId="22" borderId="4" xfId="0" applyFont="1" applyFill="1" applyBorder="1" applyAlignment="1">
      <alignment horizontal="center"/>
    </xf>
    <xf numFmtId="0" fontId="0" fillId="46" borderId="0" xfId="0" applyFill="1" applyAlignment="1">
      <alignment horizontal="center"/>
    </xf>
    <xf numFmtId="0" fontId="0" fillId="46" borderId="78" xfId="0" applyFill="1" applyBorder="1" applyAlignment="1">
      <alignment horizontal="center"/>
    </xf>
    <xf numFmtId="0" fontId="17" fillId="22" borderId="0" xfId="0" applyFont="1" applyFill="1" applyAlignment="1">
      <alignment horizontal="center"/>
    </xf>
    <xf numFmtId="0" fontId="0" fillId="47" borderId="23" xfId="0" applyFill="1" applyBorder="1" applyAlignment="1">
      <alignment horizontal="center"/>
    </xf>
    <xf numFmtId="0" fontId="0" fillId="47" borderId="24" xfId="0" applyFill="1" applyBorder="1" applyAlignment="1">
      <alignment horizontal="center"/>
    </xf>
    <xf numFmtId="0" fontId="0" fillId="47" borderId="25" xfId="0" applyFill="1" applyBorder="1" applyAlignment="1">
      <alignment horizontal="center"/>
    </xf>
    <xf numFmtId="0" fontId="13" fillId="0" borderId="0" xfId="0" applyFont="1" applyAlignment="1">
      <alignment horizontal="center" wrapText="1"/>
    </xf>
    <xf numFmtId="0" fontId="141" fillId="0" borderId="0" xfId="0" applyFont="1" applyAlignment="1">
      <alignment horizontal="center" wrapText="1"/>
    </xf>
    <xf numFmtId="0" fontId="133" fillId="0" borderId="37" xfId="0" applyFont="1" applyBorder="1" applyAlignment="1">
      <alignment horizontal="center" wrapText="1"/>
    </xf>
    <xf numFmtId="0" fontId="144" fillId="0" borderId="58" xfId="0" applyFont="1" applyBorder="1" applyAlignment="1">
      <alignment horizontal="center" wrapText="1"/>
    </xf>
    <xf numFmtId="0" fontId="144" fillId="0" borderId="52" xfId="0" applyFont="1" applyBorder="1" applyAlignment="1">
      <alignment horizontal="center" wrapText="1"/>
    </xf>
    <xf numFmtId="0" fontId="90" fillId="0" borderId="33" xfId="372" applyFont="1" applyBorder="1" applyAlignment="1">
      <alignment horizontal="center" vertical="center" wrapText="1"/>
    </xf>
    <xf numFmtId="0" fontId="90" fillId="0" borderId="0" xfId="372" applyFont="1" applyAlignment="1">
      <alignment horizontal="center" vertical="center" wrapText="1"/>
    </xf>
    <xf numFmtId="0" fontId="90" fillId="0" borderId="46" xfId="372" applyFont="1" applyBorder="1" applyAlignment="1">
      <alignment horizontal="center" vertical="center" wrapText="1"/>
    </xf>
    <xf numFmtId="0" fontId="90" fillId="0" borderId="62" xfId="372" applyFont="1" applyBorder="1" applyAlignment="1">
      <alignment horizontal="center" vertical="center" wrapText="1"/>
    </xf>
    <xf numFmtId="0" fontId="90" fillId="0" borderId="27" xfId="372" applyFont="1" applyBorder="1" applyAlignment="1">
      <alignment horizontal="center" vertical="center" wrapText="1"/>
    </xf>
    <xf numFmtId="0" fontId="90" fillId="0" borderId="19" xfId="372" applyFont="1" applyBorder="1" applyAlignment="1">
      <alignment horizontal="center" vertical="center" wrapText="1"/>
    </xf>
    <xf numFmtId="0" fontId="37" fillId="0" borderId="8" xfId="372" applyFont="1" applyBorder="1" applyAlignment="1">
      <alignment horizontal="center" vertical="center" wrapText="1"/>
    </xf>
    <xf numFmtId="0" fontId="82" fillId="31" borderId="23" xfId="372" applyFont="1" applyFill="1" applyBorder="1" applyAlignment="1">
      <alignment horizontal="center"/>
    </xf>
    <xf numFmtId="0" fontId="82" fillId="31" borderId="24" xfId="372" applyFont="1" applyFill="1" applyBorder="1" applyAlignment="1">
      <alignment horizontal="center"/>
    </xf>
    <xf numFmtId="0" fontId="82" fillId="31" borderId="25" xfId="372" applyFont="1" applyFill="1" applyBorder="1" applyAlignment="1">
      <alignment horizontal="center"/>
    </xf>
    <xf numFmtId="0" fontId="37" fillId="0" borderId="4" xfId="372" applyFont="1" applyBorder="1" applyAlignment="1">
      <alignment horizontal="center" vertical="center" wrapText="1"/>
    </xf>
    <xf numFmtId="0" fontId="37" fillId="0" borderId="6" xfId="372" applyFont="1" applyBorder="1" applyAlignment="1">
      <alignment horizontal="center" vertical="center" wrapText="1"/>
    </xf>
    <xf numFmtId="0" fontId="80" fillId="0" borderId="81" xfId="372" applyFont="1" applyBorder="1" applyAlignment="1">
      <alignment horizontal="center" vertical="center" wrapText="1"/>
    </xf>
    <xf numFmtId="0" fontId="80" fillId="0" borderId="60" xfId="372" applyFont="1" applyBorder="1" applyAlignment="1">
      <alignment horizontal="center" vertical="center" wrapText="1"/>
    </xf>
    <xf numFmtId="0" fontId="80" fillId="0" borderId="61" xfId="372" applyFont="1" applyBorder="1" applyAlignment="1">
      <alignment horizontal="center" vertical="center" wrapText="1"/>
    </xf>
    <xf numFmtId="0" fontId="80" fillId="0" borderId="3" xfId="372" applyFont="1" applyBorder="1" applyAlignment="1">
      <alignment horizontal="center" vertical="center" wrapText="1"/>
    </xf>
    <xf numFmtId="0" fontId="80" fillId="0" borderId="0" xfId="372" applyFont="1" applyAlignment="1">
      <alignment horizontal="center" vertical="center" wrapText="1"/>
    </xf>
    <xf numFmtId="0" fontId="80" fillId="0" borderId="46" xfId="372" applyFont="1" applyBorder="1" applyAlignment="1">
      <alignment horizontal="center" vertical="center" wrapText="1"/>
    </xf>
    <xf numFmtId="0" fontId="80" fillId="0" borderId="34" xfId="372" applyFont="1" applyBorder="1" applyAlignment="1">
      <alignment horizontal="center" vertical="center" wrapText="1"/>
    </xf>
    <xf numFmtId="0" fontId="80" fillId="0" borderId="27" xfId="372" applyFont="1" applyBorder="1" applyAlignment="1">
      <alignment horizontal="center" vertical="center" wrapText="1"/>
    </xf>
    <xf numFmtId="0" fontId="80" fillId="0" borderId="19" xfId="372" applyFont="1" applyBorder="1" applyAlignment="1">
      <alignment horizontal="center" vertical="center" wrapText="1"/>
    </xf>
    <xf numFmtId="0" fontId="0" fillId="0" borderId="45" xfId="0" applyBorder="1" applyAlignment="1">
      <alignment horizontal="center" wrapText="1"/>
    </xf>
    <xf numFmtId="0" fontId="133" fillId="3" borderId="58" xfId="0" applyFont="1" applyFill="1" applyBorder="1" applyAlignment="1">
      <alignment horizontal="center"/>
    </xf>
    <xf numFmtId="0" fontId="133" fillId="3" borderId="59" xfId="0" applyFont="1" applyFill="1" applyBorder="1" applyAlignment="1">
      <alignment horizontal="center"/>
    </xf>
    <xf numFmtId="0" fontId="133" fillId="3" borderId="52" xfId="0" applyFont="1" applyFill="1" applyBorder="1" applyAlignment="1">
      <alignment horizontal="center"/>
    </xf>
    <xf numFmtId="0" fontId="133" fillId="46" borderId="58" xfId="0" applyFont="1" applyFill="1" applyBorder="1" applyAlignment="1">
      <alignment horizontal="center"/>
    </xf>
    <xf numFmtId="0" fontId="133" fillId="46" borderId="59" xfId="0" applyFont="1" applyFill="1" applyBorder="1" applyAlignment="1">
      <alignment horizontal="center"/>
    </xf>
    <xf numFmtId="0" fontId="133" fillId="46" borderId="52" xfId="0" applyFont="1" applyFill="1" applyBorder="1" applyAlignment="1">
      <alignment horizontal="center"/>
    </xf>
    <xf numFmtId="0" fontId="37" fillId="0" borderId="96" xfId="372" applyFont="1" applyBorder="1" applyAlignment="1">
      <alignment horizontal="center" vertical="center" wrapText="1"/>
    </xf>
    <xf numFmtId="0" fontId="37" fillId="0" borderId="18" xfId="372" applyFont="1" applyBorder="1" applyAlignment="1">
      <alignment horizontal="center" vertical="center" wrapText="1"/>
    </xf>
    <xf numFmtId="0" fontId="133" fillId="46" borderId="36" xfId="0" applyFont="1" applyFill="1" applyBorder="1" applyAlignment="1">
      <alignment horizontal="center"/>
    </xf>
    <xf numFmtId="0" fontId="133" fillId="46" borderId="60" xfId="0" applyFont="1" applyFill="1" applyBorder="1" applyAlignment="1">
      <alignment horizontal="center"/>
    </xf>
    <xf numFmtId="0" fontId="133" fillId="46" borderId="65" xfId="0" applyFont="1" applyFill="1" applyBorder="1" applyAlignment="1">
      <alignment horizontal="center"/>
    </xf>
    <xf numFmtId="0" fontId="133" fillId="46" borderId="36" xfId="0" applyFont="1" applyFill="1" applyBorder="1" applyAlignment="1">
      <alignment horizontal="center" wrapText="1"/>
    </xf>
    <xf numFmtId="0" fontId="133" fillId="46" borderId="60" xfId="0" applyFont="1" applyFill="1" applyBorder="1" applyAlignment="1">
      <alignment horizontal="center" wrapText="1"/>
    </xf>
    <xf numFmtId="0" fontId="133" fillId="46" borderId="65" xfId="0" applyFont="1" applyFill="1" applyBorder="1" applyAlignment="1">
      <alignment horizontal="center" wrapText="1"/>
    </xf>
    <xf numFmtId="0" fontId="62" fillId="0" borderId="62" xfId="372" applyFont="1" applyBorder="1" applyAlignment="1">
      <alignment horizontal="center" vertical="center" wrapText="1"/>
    </xf>
    <xf numFmtId="0" fontId="62" fillId="0" borderId="27" xfId="372" applyFont="1" applyBorder="1" applyAlignment="1">
      <alignment horizontal="center" vertical="center" wrapText="1"/>
    </xf>
    <xf numFmtId="0" fontId="62" fillId="0" borderId="75" xfId="372" applyFont="1" applyBorder="1" applyAlignment="1">
      <alignment horizontal="center" vertical="center" wrapText="1"/>
    </xf>
    <xf numFmtId="0" fontId="160" fillId="27" borderId="23" xfId="539" applyFont="1" applyFill="1" applyBorder="1" applyAlignment="1">
      <alignment horizontal="center" wrapText="1"/>
    </xf>
    <xf numFmtId="0" fontId="160" fillId="27" borderId="24" xfId="539" applyFont="1" applyFill="1" applyBorder="1" applyAlignment="1">
      <alignment horizontal="center" wrapText="1"/>
    </xf>
    <xf numFmtId="0" fontId="161" fillId="2" borderId="95" xfId="539" applyFont="1" applyFill="1" applyBorder="1" applyAlignment="1">
      <alignment horizontal="center" wrapText="1"/>
    </xf>
    <xf numFmtId="0" fontId="61" fillId="2" borderId="9" xfId="372" applyFont="1" applyFill="1" applyBorder="1" applyAlignment="1" applyProtection="1">
      <alignment horizontal="left"/>
      <protection locked="0"/>
    </xf>
    <xf numFmtId="0" fontId="61" fillId="2" borderId="1" xfId="372" applyFont="1" applyFill="1" applyBorder="1" applyAlignment="1" applyProtection="1">
      <alignment horizontal="left"/>
      <protection locked="0"/>
    </xf>
    <xf numFmtId="2" fontId="61" fillId="19" borderId="1" xfId="372" applyNumberFormat="1" applyFont="1" applyFill="1" applyBorder="1" applyAlignment="1">
      <alignment horizontal="center"/>
    </xf>
    <xf numFmtId="2" fontId="61" fillId="19" borderId="14" xfId="372" applyNumberFormat="1" applyFont="1" applyFill="1" applyBorder="1" applyAlignment="1">
      <alignment horizontal="center"/>
    </xf>
    <xf numFmtId="0" fontId="61" fillId="32" borderId="9" xfId="372" applyFont="1" applyFill="1" applyBorder="1" applyAlignment="1">
      <alignment horizontal="left"/>
    </xf>
    <xf numFmtId="0" fontId="61" fillId="32" borderId="1" xfId="372" applyFont="1" applyFill="1" applyBorder="1" applyAlignment="1">
      <alignment horizontal="left"/>
    </xf>
    <xf numFmtId="0" fontId="37" fillId="4" borderId="13" xfId="372" applyFont="1" applyFill="1" applyBorder="1" applyAlignment="1">
      <alignment horizontal="left" vertical="center"/>
    </xf>
    <xf numFmtId="0" fontId="37" fillId="4" borderId="5" xfId="372" applyFont="1" applyFill="1" applyBorder="1" applyAlignment="1">
      <alignment horizontal="left" vertical="center"/>
    </xf>
    <xf numFmtId="0" fontId="37" fillId="4" borderId="6" xfId="372" applyFont="1" applyFill="1" applyBorder="1" applyAlignment="1">
      <alignment horizontal="left" vertical="center"/>
    </xf>
    <xf numFmtId="2" fontId="61" fillId="3" borderId="4" xfId="372" applyNumberFormat="1" applyFont="1" applyFill="1" applyBorder="1" applyAlignment="1" applyProtection="1">
      <alignment horizontal="center"/>
      <protection locked="0"/>
    </xf>
    <xf numFmtId="2" fontId="61" fillId="3" borderId="5" xfId="372" applyNumberFormat="1" applyFont="1" applyFill="1" applyBorder="1" applyAlignment="1" applyProtection="1">
      <alignment horizontal="center"/>
      <protection locked="0"/>
    </xf>
    <xf numFmtId="2" fontId="61" fillId="3" borderId="40" xfId="372" applyNumberFormat="1" applyFont="1" applyFill="1" applyBorder="1" applyAlignment="1" applyProtection="1">
      <alignment horizontal="center"/>
      <protection locked="0"/>
    </xf>
    <xf numFmtId="0" fontId="145" fillId="4" borderId="37" xfId="372" applyFont="1" applyFill="1" applyBorder="1" applyAlignment="1">
      <alignment horizontal="center" vertical="center"/>
    </xf>
    <xf numFmtId="0" fontId="145" fillId="4" borderId="38" xfId="372" applyFont="1" applyFill="1" applyBorder="1" applyAlignment="1">
      <alignment horizontal="center" vertical="center"/>
    </xf>
    <xf numFmtId="0" fontId="145" fillId="4" borderId="39" xfId="372" applyFont="1" applyFill="1" applyBorder="1" applyAlignment="1">
      <alignment horizontal="center" vertical="center"/>
    </xf>
    <xf numFmtId="0" fontId="65" fillId="31" borderId="41" xfId="372" applyFont="1" applyFill="1" applyBorder="1" applyAlignment="1">
      <alignment horizontal="left"/>
    </xf>
    <xf numFmtId="0" fontId="65" fillId="31" borderId="45" xfId="372" applyFont="1" applyFill="1" applyBorder="1" applyAlignment="1">
      <alignment horizontal="left"/>
    </xf>
    <xf numFmtId="0" fontId="65" fillId="31" borderId="88" xfId="372" applyFont="1" applyFill="1" applyBorder="1" applyAlignment="1">
      <alignment horizontal="left"/>
    </xf>
    <xf numFmtId="2" fontId="65" fillId="31" borderId="83" xfId="372" applyNumberFormat="1" applyFont="1" applyFill="1" applyBorder="1" applyAlignment="1">
      <alignment horizontal="center"/>
    </xf>
    <xf numFmtId="2" fontId="65" fillId="31" borderId="45" xfId="372" applyNumberFormat="1" applyFont="1" applyFill="1" applyBorder="1" applyAlignment="1">
      <alignment horizontal="center"/>
    </xf>
    <xf numFmtId="2" fontId="65" fillId="31" borderId="76" xfId="372" applyNumberFormat="1" applyFont="1" applyFill="1" applyBorder="1" applyAlignment="1">
      <alignment horizontal="center"/>
    </xf>
    <xf numFmtId="2" fontId="61" fillId="4" borderId="1" xfId="372" applyNumberFormat="1" applyFont="1" applyFill="1" applyBorder="1" applyAlignment="1">
      <alignment horizontal="center"/>
    </xf>
    <xf numFmtId="2" fontId="61" fillId="4" borderId="14" xfId="372" applyNumberFormat="1" applyFont="1" applyFill="1" applyBorder="1" applyAlignment="1">
      <alignment horizontal="center"/>
    </xf>
    <xf numFmtId="0" fontId="81" fillId="0" borderId="0" xfId="372" applyFont="1" applyAlignment="1">
      <alignment horizontal="center"/>
    </xf>
    <xf numFmtId="0" fontId="43" fillId="5" borderId="11" xfId="372" applyFont="1" applyFill="1" applyBorder="1" applyAlignment="1">
      <alignment horizontal="center"/>
    </xf>
    <xf numFmtId="0" fontId="43" fillId="5" borderId="38" xfId="372" applyFont="1" applyFill="1" applyBorder="1" applyAlignment="1">
      <alignment horizontal="center"/>
    </xf>
    <xf numFmtId="0" fontId="43" fillId="5" borderId="39" xfId="372" applyFont="1" applyFill="1" applyBorder="1" applyAlignment="1">
      <alignment horizontal="center"/>
    </xf>
    <xf numFmtId="2" fontId="65" fillId="33" borderId="1" xfId="372" applyNumberFormat="1" applyFont="1" applyFill="1" applyBorder="1" applyAlignment="1">
      <alignment horizontal="center"/>
    </xf>
    <xf numFmtId="2" fontId="65" fillId="33" borderId="14" xfId="372" applyNumberFormat="1" applyFont="1" applyFill="1" applyBorder="1" applyAlignment="1">
      <alignment horizontal="center"/>
    </xf>
    <xf numFmtId="0" fontId="77" fillId="4" borderId="9" xfId="372" applyFont="1" applyFill="1" applyBorder="1" applyAlignment="1">
      <alignment horizontal="left"/>
    </xf>
    <xf numFmtId="0" fontId="77" fillId="4" borderId="1" xfId="372" applyFont="1" applyFill="1" applyBorder="1" applyAlignment="1">
      <alignment horizontal="left"/>
    </xf>
    <xf numFmtId="0" fontId="77" fillId="4" borderId="14" xfId="372" applyFont="1" applyFill="1" applyBorder="1" applyAlignment="1">
      <alignment horizontal="left"/>
    </xf>
    <xf numFmtId="0" fontId="65" fillId="33" borderId="9" xfId="372" applyFont="1" applyFill="1" applyBorder="1" applyAlignment="1">
      <alignment horizontal="left"/>
    </xf>
    <xf numFmtId="0" fontId="65" fillId="33" borderId="1" xfId="372" applyFont="1" applyFill="1" applyBorder="1" applyAlignment="1">
      <alignment horizontal="left"/>
    </xf>
    <xf numFmtId="0" fontId="61" fillId="4" borderId="9" xfId="372" applyFont="1" applyFill="1" applyBorder="1" applyAlignment="1">
      <alignment horizontal="left"/>
    </xf>
    <xf numFmtId="0" fontId="61" fillId="4" borderId="1" xfId="372" applyFont="1" applyFill="1" applyBorder="1" applyAlignment="1">
      <alignment horizontal="left"/>
    </xf>
    <xf numFmtId="0" fontId="61" fillId="2" borderId="13" xfId="372" applyFont="1" applyFill="1" applyBorder="1" applyAlignment="1" applyProtection="1">
      <alignment horizontal="left"/>
      <protection locked="0"/>
    </xf>
    <xf numFmtId="0" fontId="61" fillId="2" borderId="5" xfId="372" applyFont="1" applyFill="1" applyBorder="1" applyAlignment="1" applyProtection="1">
      <alignment horizontal="left"/>
      <protection locked="0"/>
    </xf>
    <xf numFmtId="0" fontId="61" fillId="2" borderId="6" xfId="372" applyFont="1" applyFill="1" applyBorder="1" applyAlignment="1" applyProtection="1">
      <alignment horizontal="left"/>
      <protection locked="0"/>
    </xf>
    <xf numFmtId="0" fontId="22" fillId="29" borderId="13" xfId="372" applyFill="1" applyBorder="1" applyAlignment="1">
      <alignment horizontal="left"/>
    </xf>
    <xf numFmtId="0" fontId="22" fillId="29" borderId="5" xfId="372" applyFill="1" applyBorder="1" applyAlignment="1">
      <alignment horizontal="left"/>
    </xf>
    <xf numFmtId="0" fontId="22" fillId="29" borderId="6" xfId="372" applyFill="1" applyBorder="1" applyAlignment="1">
      <alignment horizontal="left"/>
    </xf>
    <xf numFmtId="0" fontId="115" fillId="0" borderId="0" xfId="372" applyFont="1" applyAlignment="1">
      <alignment horizontal="left"/>
    </xf>
    <xf numFmtId="0" fontId="65" fillId="0" borderId="0" xfId="372" applyFont="1" applyAlignment="1">
      <alignment horizontal="left"/>
    </xf>
    <xf numFmtId="0" fontId="43" fillId="5" borderId="4" xfId="372" applyFont="1" applyFill="1" applyBorder="1" applyAlignment="1">
      <alignment horizontal="center"/>
    </xf>
    <xf numFmtId="0" fontId="43" fillId="5" borderId="5" xfId="372" applyFont="1" applyFill="1" applyBorder="1" applyAlignment="1">
      <alignment horizontal="center"/>
    </xf>
    <xf numFmtId="0" fontId="43" fillId="5" borderId="6" xfId="372" applyFont="1" applyFill="1" applyBorder="1" applyAlignment="1">
      <alignment horizontal="center"/>
    </xf>
    <xf numFmtId="0" fontId="145" fillId="4" borderId="59" xfId="372" applyFont="1" applyFill="1" applyBorder="1" applyAlignment="1">
      <alignment horizontal="center" vertical="center"/>
    </xf>
    <xf numFmtId="0" fontId="145" fillId="4" borderId="52" xfId="372" applyFont="1" applyFill="1" applyBorder="1" applyAlignment="1">
      <alignment horizontal="center" vertical="center"/>
    </xf>
    <xf numFmtId="2" fontId="61" fillId="4" borderId="4" xfId="372" applyNumberFormat="1" applyFont="1" applyFill="1" applyBorder="1" applyAlignment="1">
      <alignment horizontal="center"/>
    </xf>
    <xf numFmtId="2" fontId="61" fillId="4" borderId="5" xfId="372" applyNumberFormat="1" applyFont="1" applyFill="1" applyBorder="1" applyAlignment="1">
      <alignment horizontal="center"/>
    </xf>
    <xf numFmtId="2" fontId="61" fillId="4" borderId="40" xfId="372" applyNumberFormat="1" applyFont="1" applyFill="1" applyBorder="1" applyAlignment="1">
      <alignment horizontal="center"/>
    </xf>
    <xf numFmtId="2" fontId="61" fillId="3" borderId="4" xfId="372" applyNumberFormat="1" applyFont="1" applyFill="1" applyBorder="1" applyProtection="1">
      <protection locked="0"/>
    </xf>
    <xf numFmtId="2" fontId="61" fillId="3" borderId="5" xfId="372" applyNumberFormat="1" applyFont="1" applyFill="1" applyBorder="1" applyProtection="1">
      <protection locked="0"/>
    </xf>
    <xf numFmtId="2" fontId="61" fillId="3" borderId="40" xfId="372" applyNumberFormat="1" applyFont="1" applyFill="1" applyBorder="1" applyProtection="1">
      <protection locked="0"/>
    </xf>
    <xf numFmtId="2" fontId="22" fillId="0" borderId="5" xfId="372" applyNumberFormat="1" applyBorder="1" applyAlignment="1">
      <alignment horizontal="center"/>
    </xf>
    <xf numFmtId="2" fontId="22" fillId="0" borderId="40" xfId="372" applyNumberFormat="1" applyBorder="1" applyAlignment="1">
      <alignment horizontal="center"/>
    </xf>
    <xf numFmtId="0" fontId="123" fillId="42" borderId="13" xfId="0" applyFont="1" applyFill="1" applyBorder="1" applyAlignment="1">
      <alignment horizontal="left"/>
    </xf>
    <xf numFmtId="0" fontId="123" fillId="42" borderId="5" xfId="0" applyFont="1" applyFill="1" applyBorder="1" applyAlignment="1">
      <alignment horizontal="left"/>
    </xf>
    <xf numFmtId="0" fontId="123" fillId="42" borderId="6" xfId="0" applyFont="1" applyFill="1" applyBorder="1" applyAlignment="1">
      <alignment horizontal="left"/>
    </xf>
    <xf numFmtId="0" fontId="125" fillId="39" borderId="90" xfId="0" applyFont="1" applyFill="1" applyBorder="1" applyAlignment="1">
      <alignment horizontal="left"/>
    </xf>
    <xf numFmtId="2" fontId="123" fillId="39" borderId="90" xfId="0" applyNumberFormat="1" applyFont="1" applyFill="1" applyBorder="1" applyAlignment="1">
      <alignment horizontal="center"/>
    </xf>
    <xf numFmtId="2" fontId="123" fillId="42" borderId="4" xfId="0" applyNumberFormat="1" applyFont="1" applyFill="1" applyBorder="1" applyAlignment="1">
      <alignment horizontal="center"/>
    </xf>
    <xf numFmtId="2" fontId="123" fillId="42" borderId="5" xfId="0" applyNumberFormat="1" applyFont="1" applyFill="1" applyBorder="1" applyAlignment="1">
      <alignment horizontal="center"/>
    </xf>
    <xf numFmtId="2" fontId="123" fillId="42" borderId="90" xfId="0" applyNumberFormat="1" applyFont="1" applyFill="1" applyBorder="1" applyAlignment="1">
      <alignment horizontal="center"/>
    </xf>
    <xf numFmtId="2" fontId="124" fillId="43" borderId="90" xfId="0" applyNumberFormat="1" applyFont="1" applyFill="1" applyBorder="1" applyAlignment="1">
      <alignment horizontal="center"/>
    </xf>
    <xf numFmtId="2" fontId="123" fillId="42" borderId="40" xfId="0" applyNumberFormat="1" applyFont="1" applyFill="1" applyBorder="1" applyAlignment="1">
      <alignment horizontal="center"/>
    </xf>
    <xf numFmtId="0" fontId="80" fillId="4" borderId="9" xfId="372" applyFont="1" applyFill="1" applyBorder="1" applyAlignment="1">
      <alignment horizontal="center" vertical="center" wrapText="1"/>
    </xf>
    <xf numFmtId="0" fontId="80" fillId="4" borderId="1" xfId="372" applyFont="1" applyFill="1" applyBorder="1" applyAlignment="1">
      <alignment horizontal="center" vertical="center" wrapText="1"/>
    </xf>
    <xf numFmtId="0" fontId="92" fillId="31" borderId="67" xfId="0" applyFont="1" applyFill="1" applyBorder="1" applyAlignment="1">
      <alignment horizontal="center" vertical="center"/>
    </xf>
    <xf numFmtId="0" fontId="92" fillId="31" borderId="68" xfId="0" applyFont="1" applyFill="1" applyBorder="1" applyAlignment="1">
      <alignment horizontal="center" vertical="center"/>
    </xf>
    <xf numFmtId="0" fontId="92" fillId="31" borderId="33" xfId="0" applyFont="1" applyFill="1" applyBorder="1" applyAlignment="1">
      <alignment horizontal="center" vertical="center"/>
    </xf>
    <xf numFmtId="49" fontId="0" fillId="5" borderId="26" xfId="0" applyNumberFormat="1" applyFill="1" applyBorder="1" applyAlignment="1">
      <alignment horizontal="left" wrapText="1"/>
    </xf>
    <xf numFmtId="49" fontId="0" fillId="5" borderId="12" xfId="0" applyNumberFormat="1" applyFill="1" applyBorder="1" applyAlignment="1">
      <alignment horizontal="left" wrapText="1"/>
    </xf>
    <xf numFmtId="4" fontId="19" fillId="5" borderId="12" xfId="0" applyNumberFormat="1" applyFont="1" applyFill="1" applyBorder="1" applyAlignment="1">
      <alignment horizontal="center" wrapText="1"/>
    </xf>
    <xf numFmtId="4" fontId="19" fillId="5" borderId="18" xfId="0" applyNumberFormat="1" applyFont="1" applyFill="1" applyBorder="1" applyAlignment="1">
      <alignment horizontal="center" wrapText="1"/>
    </xf>
    <xf numFmtId="49" fontId="0" fillId="5" borderId="9" xfId="0" applyNumberFormat="1" applyFill="1" applyBorder="1" applyAlignment="1">
      <alignment horizontal="left" wrapText="1"/>
    </xf>
    <xf numFmtId="49" fontId="0" fillId="5" borderId="1" xfId="0" applyNumberFormat="1" applyFill="1" applyBorder="1" applyAlignment="1">
      <alignment horizontal="left" wrapText="1"/>
    </xf>
    <xf numFmtId="4" fontId="19" fillId="5" borderId="1" xfId="0" applyNumberFormat="1" applyFont="1" applyFill="1" applyBorder="1" applyAlignment="1">
      <alignment horizontal="center" wrapText="1"/>
    </xf>
    <xf numFmtId="4" fontId="19" fillId="5" borderId="14" xfId="0" applyNumberFormat="1" applyFont="1" applyFill="1" applyBorder="1" applyAlignment="1">
      <alignment horizontal="center" wrapText="1"/>
    </xf>
    <xf numFmtId="0" fontId="18" fillId="0" borderId="0" xfId="0" applyFont="1" applyAlignment="1">
      <alignment horizontal="center" wrapText="1"/>
    </xf>
    <xf numFmtId="0" fontId="0" fillId="7" borderId="4" xfId="0" applyFill="1" applyBorder="1" applyAlignment="1">
      <alignment horizontal="left" wrapText="1"/>
    </xf>
    <xf numFmtId="0" fontId="0" fillId="7" borderId="5" xfId="0" applyFill="1" applyBorder="1" applyAlignment="1">
      <alignment horizontal="left" wrapText="1"/>
    </xf>
    <xf numFmtId="2" fontId="17" fillId="31" borderId="13" xfId="0" applyNumberFormat="1" applyFont="1" applyFill="1" applyBorder="1" applyAlignment="1">
      <alignment horizontal="center"/>
    </xf>
    <xf numFmtId="2" fontId="17" fillId="31" borderId="40" xfId="0" applyNumberFormat="1" applyFont="1" applyFill="1" applyBorder="1" applyAlignment="1">
      <alignment horizontal="center"/>
    </xf>
    <xf numFmtId="0" fontId="9" fillId="4" borderId="23" xfId="0" applyFont="1" applyFill="1" applyBorder="1" applyAlignment="1">
      <alignment horizontal="center" wrapText="1"/>
    </xf>
    <xf numFmtId="0" fontId="9" fillId="4" borderId="24" xfId="0" applyFont="1" applyFill="1" applyBorder="1" applyAlignment="1">
      <alignment horizontal="center" wrapText="1"/>
    </xf>
    <xf numFmtId="0" fontId="9" fillId="4" borderId="25" xfId="0" applyFont="1" applyFill="1" applyBorder="1" applyAlignment="1">
      <alignment horizontal="center" wrapText="1"/>
    </xf>
    <xf numFmtId="49" fontId="0" fillId="4" borderId="9" xfId="0" applyNumberFormat="1" applyFill="1" applyBorder="1" applyAlignment="1">
      <alignment horizontal="left" wrapText="1"/>
    </xf>
    <xf numFmtId="49" fontId="0" fillId="4" borderId="1" xfId="0" applyNumberFormat="1" applyFill="1" applyBorder="1" applyAlignment="1">
      <alignment horizontal="left" wrapText="1"/>
    </xf>
    <xf numFmtId="4" fontId="19" fillId="4" borderId="1" xfId="0" applyNumberFormat="1" applyFont="1" applyFill="1" applyBorder="1" applyAlignment="1">
      <alignment horizontal="center" wrapText="1"/>
    </xf>
    <xf numFmtId="4" fontId="19" fillId="4" borderId="14" xfId="0" applyNumberFormat="1" applyFont="1" applyFill="1" applyBorder="1" applyAlignment="1">
      <alignment horizontal="center" wrapText="1"/>
    </xf>
    <xf numFmtId="2" fontId="0" fillId="4" borderId="1" xfId="0" applyNumberFormat="1" applyFill="1" applyBorder="1" applyAlignment="1">
      <alignment horizontal="center"/>
    </xf>
    <xf numFmtId="2" fontId="0" fillId="4" borderId="14" xfId="0" applyNumberFormat="1" applyFill="1" applyBorder="1" applyAlignment="1">
      <alignment horizontal="center"/>
    </xf>
    <xf numFmtId="49" fontId="0" fillId="4" borderId="15" xfId="0" applyNumberFormat="1" applyFill="1" applyBorder="1" applyAlignment="1">
      <alignment horizontal="left" wrapText="1"/>
    </xf>
    <xf numFmtId="49" fontId="0" fillId="4" borderId="16" xfId="0" applyNumberFormat="1" applyFill="1" applyBorder="1" applyAlignment="1">
      <alignment horizontal="left" wrapText="1"/>
    </xf>
    <xf numFmtId="1" fontId="0" fillId="4" borderId="16" xfId="0" applyNumberFormat="1" applyFill="1" applyBorder="1" applyAlignment="1">
      <alignment horizontal="center" wrapText="1"/>
    </xf>
    <xf numFmtId="1" fontId="0" fillId="4" borderId="17" xfId="0" applyNumberFormat="1" applyFill="1" applyBorder="1" applyAlignment="1">
      <alignment horizontal="center" wrapText="1"/>
    </xf>
    <xf numFmtId="49" fontId="0" fillId="5" borderId="4" xfId="0" applyNumberFormat="1" applyFill="1" applyBorder="1" applyAlignment="1">
      <alignment horizontal="left" wrapText="1"/>
    </xf>
    <xf numFmtId="49" fontId="0" fillId="5" borderId="5" xfId="0" applyNumberFormat="1" applyFill="1" applyBorder="1" applyAlignment="1">
      <alignment horizontal="left" wrapText="1"/>
    </xf>
    <xf numFmtId="2" fontId="0" fillId="5" borderId="13" xfId="0" applyNumberFormat="1" applyFill="1" applyBorder="1" applyAlignment="1">
      <alignment horizontal="center"/>
    </xf>
    <xf numFmtId="2" fontId="0" fillId="5" borderId="40" xfId="0" applyNumberFormat="1" applyFill="1" applyBorder="1" applyAlignment="1">
      <alignment horizontal="center"/>
    </xf>
    <xf numFmtId="49" fontId="0" fillId="4" borderId="4" xfId="0" applyNumberFormat="1" applyFill="1" applyBorder="1" applyAlignment="1">
      <alignment horizontal="left" wrapText="1"/>
    </xf>
    <xf numFmtId="49" fontId="0" fillId="4" borderId="5" xfId="0" applyNumberFormat="1" applyFill="1" applyBorder="1" applyAlignment="1">
      <alignment horizontal="left" wrapText="1"/>
    </xf>
    <xf numFmtId="1" fontId="0" fillId="4" borderId="13" xfId="0" applyNumberFormat="1" applyFill="1" applyBorder="1" applyAlignment="1">
      <alignment horizontal="center" wrapText="1"/>
    </xf>
    <xf numFmtId="1" fontId="0" fillId="4" borderId="40" xfId="0" applyNumberFormat="1" applyFill="1" applyBorder="1" applyAlignment="1">
      <alignment horizontal="center" wrapText="1"/>
    </xf>
    <xf numFmtId="0" fontId="92" fillId="31" borderId="36" xfId="0" applyFont="1" applyFill="1" applyBorder="1" applyAlignment="1">
      <alignment horizontal="center" vertical="center"/>
    </xf>
    <xf numFmtId="0" fontId="9" fillId="4" borderId="36" xfId="0" applyFont="1" applyFill="1" applyBorder="1" applyAlignment="1">
      <alignment horizontal="center" wrapText="1"/>
    </xf>
    <xf numFmtId="0" fontId="9" fillId="4" borderId="60" xfId="0" applyFont="1" applyFill="1" applyBorder="1" applyAlignment="1">
      <alignment horizontal="center" wrapText="1"/>
    </xf>
    <xf numFmtId="0" fontId="9" fillId="4" borderId="65" xfId="0" applyFont="1" applyFill="1" applyBorder="1" applyAlignment="1">
      <alignment horizontal="center" wrapText="1"/>
    </xf>
    <xf numFmtId="0" fontId="71" fillId="4" borderId="33" xfId="0" applyFont="1" applyFill="1" applyBorder="1" applyAlignment="1">
      <alignment horizontal="center" wrapText="1"/>
    </xf>
    <xf numFmtId="0" fontId="71" fillId="4" borderId="0" xfId="0" applyFont="1" applyFill="1" applyAlignment="1">
      <alignment horizontal="center" wrapText="1"/>
    </xf>
    <xf numFmtId="0" fontId="71" fillId="4" borderId="78" xfId="0" applyFont="1" applyFill="1" applyBorder="1" applyAlignment="1">
      <alignment horizontal="center" wrapText="1"/>
    </xf>
    <xf numFmtId="0" fontId="0" fillId="5" borderId="13" xfId="0" applyFill="1" applyBorder="1" applyAlignment="1">
      <alignment horizontal="left"/>
    </xf>
    <xf numFmtId="0" fontId="0" fillId="5" borderId="5" xfId="0" applyFill="1" applyBorder="1" applyAlignment="1">
      <alignment horizontal="left"/>
    </xf>
    <xf numFmtId="0" fontId="0" fillId="5" borderId="6" xfId="0" applyFill="1" applyBorder="1" applyAlignment="1">
      <alignment horizontal="left"/>
    </xf>
    <xf numFmtId="49" fontId="0" fillId="5" borderId="13" xfId="0" applyNumberFormat="1" applyFill="1" applyBorder="1" applyAlignment="1">
      <alignment horizontal="left"/>
    </xf>
    <xf numFmtId="49" fontId="0" fillId="5" borderId="5" xfId="0" applyNumberFormat="1" applyFill="1" applyBorder="1" applyAlignment="1">
      <alignment horizontal="left"/>
    </xf>
    <xf numFmtId="49" fontId="0" fillId="5" borderId="6" xfId="0" applyNumberFormat="1" applyFill="1" applyBorder="1" applyAlignment="1">
      <alignment horizontal="left"/>
    </xf>
    <xf numFmtId="0" fontId="0" fillId="5" borderId="41" xfId="0" applyFill="1" applyBorder="1" applyAlignment="1">
      <alignment horizontal="left"/>
    </xf>
    <xf numFmtId="0" fontId="0" fillId="5" borderId="45" xfId="0" applyFill="1" applyBorder="1" applyAlignment="1">
      <alignment horizontal="left"/>
    </xf>
    <xf numFmtId="0" fontId="0" fillId="5" borderId="88" xfId="0" applyFill="1" applyBorder="1" applyAlignment="1">
      <alignment horizontal="left"/>
    </xf>
    <xf numFmtId="0" fontId="0" fillId="4" borderId="11" xfId="0" applyFill="1" applyBorder="1" applyAlignment="1">
      <alignment horizontal="left"/>
    </xf>
    <xf numFmtId="0" fontId="0" fillId="4" borderId="38" xfId="0" applyFill="1" applyBorder="1" applyAlignment="1">
      <alignment horizontal="left"/>
    </xf>
    <xf numFmtId="0" fontId="0" fillId="4" borderId="31" xfId="0" applyFill="1" applyBorder="1" applyAlignment="1">
      <alignment horizontal="left"/>
    </xf>
    <xf numFmtId="0" fontId="148" fillId="0" borderId="0" xfId="0" applyFont="1" applyAlignment="1">
      <alignment horizontal="center" wrapText="1"/>
    </xf>
    <xf numFmtId="1" fontId="148" fillId="4" borderId="13" xfId="0" applyNumberFormat="1" applyFont="1" applyFill="1" applyBorder="1" applyAlignment="1">
      <alignment horizontal="center" wrapText="1"/>
    </xf>
    <xf numFmtId="1" fontId="148" fillId="4" borderId="40" xfId="0" applyNumberFormat="1" applyFont="1" applyFill="1" applyBorder="1" applyAlignment="1">
      <alignment horizontal="center" wrapText="1"/>
    </xf>
    <xf numFmtId="49" fontId="148" fillId="4" borderId="4" xfId="0" applyNumberFormat="1" applyFont="1" applyFill="1" applyBorder="1" applyAlignment="1">
      <alignment horizontal="left" wrapText="1"/>
    </xf>
    <xf numFmtId="49" fontId="148" fillId="4" borderId="5" xfId="0" applyNumberFormat="1" applyFont="1" applyFill="1" applyBorder="1" applyAlignment="1">
      <alignment horizontal="left" wrapText="1"/>
    </xf>
    <xf numFmtId="2" fontId="148" fillId="7" borderId="13" xfId="0" applyNumberFormat="1" applyFont="1" applyFill="1" applyBorder="1" applyAlignment="1">
      <alignment horizontal="center"/>
    </xf>
    <xf numFmtId="2" fontId="148" fillId="7" borderId="40" xfId="0" applyNumberFormat="1" applyFont="1" applyFill="1" applyBorder="1" applyAlignment="1">
      <alignment horizontal="center"/>
    </xf>
    <xf numFmtId="49" fontId="0" fillId="2" borderId="4" xfId="0" applyNumberFormat="1" applyFill="1" applyBorder="1" applyAlignment="1">
      <alignment horizontal="center"/>
    </xf>
    <xf numFmtId="49" fontId="0" fillId="2" borderId="6" xfId="0" applyNumberFormat="1" applyFill="1" applyBorder="1" applyAlignment="1">
      <alignment horizontal="center"/>
    </xf>
    <xf numFmtId="0" fontId="0" fillId="2" borderId="11" xfId="0" applyFill="1" applyBorder="1" applyAlignment="1">
      <alignment horizontal="center"/>
    </xf>
    <xf numFmtId="0" fontId="0" fillId="2" borderId="39" xfId="0" applyFill="1" applyBorder="1" applyAlignment="1">
      <alignment horizontal="center"/>
    </xf>
    <xf numFmtId="2" fontId="148" fillId="7" borderId="29" xfId="0" applyNumberFormat="1" applyFont="1" applyFill="1" applyBorder="1" applyAlignment="1">
      <alignment horizontal="center"/>
    </xf>
    <xf numFmtId="2" fontId="148" fillId="7" borderId="44" xfId="0" applyNumberFormat="1" applyFont="1" applyFill="1" applyBorder="1" applyAlignment="1">
      <alignment horizontal="center"/>
    </xf>
    <xf numFmtId="2" fontId="148" fillId="4" borderId="13" xfId="0" applyNumberFormat="1" applyFont="1" applyFill="1" applyBorder="1" applyAlignment="1">
      <alignment horizontal="center" wrapText="1"/>
    </xf>
    <xf numFmtId="2" fontId="148" fillId="4" borderId="40" xfId="0" applyNumberFormat="1" applyFont="1" applyFill="1" applyBorder="1" applyAlignment="1">
      <alignment horizontal="center" wrapText="1"/>
    </xf>
    <xf numFmtId="49" fontId="148" fillId="7" borderId="4" xfId="0" applyNumberFormat="1" applyFont="1" applyFill="1" applyBorder="1" applyAlignment="1">
      <alignment horizontal="left" wrapText="1"/>
    </xf>
    <xf numFmtId="49" fontId="148" fillId="7" borderId="5" xfId="0" applyNumberFormat="1" applyFont="1" applyFill="1" applyBorder="1" applyAlignment="1">
      <alignment horizontal="left" wrapText="1"/>
    </xf>
    <xf numFmtId="49" fontId="76" fillId="31" borderId="4" xfId="0" applyNumberFormat="1" applyFont="1" applyFill="1" applyBorder="1" applyAlignment="1">
      <alignment horizontal="center" wrapText="1"/>
    </xf>
    <xf numFmtId="49" fontId="76" fillId="31" borderId="6" xfId="0" applyNumberFormat="1" applyFont="1" applyFill="1" applyBorder="1" applyAlignment="1">
      <alignment horizontal="center" wrapText="1"/>
    </xf>
    <xf numFmtId="2" fontId="95" fillId="2" borderId="0" xfId="0" applyNumberFormat="1" applyFont="1" applyFill="1" applyAlignment="1">
      <alignment horizontal="left" wrapText="1"/>
    </xf>
    <xf numFmtId="49" fontId="0" fillId="2" borderId="1" xfId="0" applyNumberFormat="1" applyFill="1" applyBorder="1" applyAlignment="1">
      <alignment horizontal="center"/>
    </xf>
    <xf numFmtId="1" fontId="0" fillId="5" borderId="1" xfId="0" applyNumberFormat="1" applyFill="1" applyBorder="1" applyAlignment="1">
      <alignment horizontal="right"/>
    </xf>
    <xf numFmtId="4" fontId="7" fillId="5" borderId="16" xfId="0" applyNumberFormat="1" applyFont="1" applyFill="1" applyBorder="1" applyAlignment="1">
      <alignment horizontal="right"/>
    </xf>
    <xf numFmtId="0" fontId="0" fillId="5" borderId="4" xfId="0" applyFill="1" applyBorder="1" applyAlignment="1">
      <alignment horizontal="right"/>
    </xf>
    <xf numFmtId="0" fontId="0" fillId="5" borderId="40" xfId="0" applyFill="1" applyBorder="1" applyAlignment="1">
      <alignment horizontal="right"/>
    </xf>
    <xf numFmtId="2" fontId="0" fillId="5" borderId="4" xfId="0" applyNumberFormat="1" applyFill="1" applyBorder="1" applyAlignment="1">
      <alignment horizontal="right"/>
    </xf>
    <xf numFmtId="2" fontId="0" fillId="5" borderId="40" xfId="0" applyNumberFormat="1" applyFill="1" applyBorder="1" applyAlignment="1">
      <alignment horizontal="right"/>
    </xf>
    <xf numFmtId="2" fontId="7" fillId="5" borderId="16" xfId="0" applyNumberFormat="1" applyFont="1" applyFill="1" applyBorder="1" applyAlignment="1">
      <alignment horizontal="right"/>
    </xf>
    <xf numFmtId="2" fontId="7" fillId="5" borderId="17" xfId="0" applyNumberFormat="1" applyFont="1" applyFill="1" applyBorder="1" applyAlignment="1">
      <alignment horizontal="right"/>
    </xf>
    <xf numFmtId="0" fontId="0" fillId="5" borderId="4" xfId="0" applyFill="1" applyBorder="1" applyAlignment="1">
      <alignment horizontal="center"/>
    </xf>
    <xf numFmtId="0" fontId="0" fillId="5" borderId="5" xfId="0" applyFill="1" applyBorder="1" applyAlignment="1">
      <alignment horizontal="center"/>
    </xf>
    <xf numFmtId="0" fontId="0" fillId="5" borderId="6" xfId="0" applyFill="1" applyBorder="1" applyAlignment="1">
      <alignment horizontal="center"/>
    </xf>
    <xf numFmtId="2" fontId="93" fillId="2" borderId="0" xfId="0" applyNumberFormat="1" applyFont="1" applyFill="1" applyAlignment="1">
      <alignment horizontal="left" wrapText="1"/>
    </xf>
    <xf numFmtId="2" fontId="96" fillId="2" borderId="0" xfId="0" applyNumberFormat="1" applyFont="1" applyFill="1" applyAlignment="1">
      <alignment horizontal="left" wrapText="1"/>
    </xf>
    <xf numFmtId="0" fontId="108" fillId="2" borderId="0" xfId="0" applyFont="1" applyFill="1" applyAlignment="1">
      <alignment horizontal="center" vertical="center"/>
    </xf>
    <xf numFmtId="0" fontId="0" fillId="5" borderId="1" xfId="0" applyFill="1" applyBorder="1" applyAlignment="1">
      <alignment horizontal="right"/>
    </xf>
    <xf numFmtId="0" fontId="6" fillId="4" borderId="37" xfId="0" applyFont="1" applyFill="1" applyBorder="1" applyAlignment="1">
      <alignment horizontal="center"/>
    </xf>
    <xf numFmtId="0" fontId="6" fillId="4" borderId="38" xfId="0" applyFont="1" applyFill="1" applyBorder="1" applyAlignment="1">
      <alignment horizontal="center"/>
    </xf>
    <xf numFmtId="0" fontId="6" fillId="4" borderId="39" xfId="0" applyFont="1" applyFill="1" applyBorder="1" applyAlignment="1">
      <alignment horizontal="center"/>
    </xf>
    <xf numFmtId="0" fontId="71" fillId="4" borderId="2" xfId="0" applyFont="1" applyFill="1" applyBorder="1" applyAlignment="1">
      <alignment horizontal="center" vertical="center" wrapText="1"/>
    </xf>
    <xf numFmtId="0" fontId="71" fillId="4" borderId="10" xfId="0" applyFont="1" applyFill="1" applyBorder="1" applyAlignment="1">
      <alignment horizontal="center" vertical="center" wrapText="1"/>
    </xf>
    <xf numFmtId="0" fontId="71" fillId="4" borderId="77" xfId="0" applyFont="1" applyFill="1" applyBorder="1" applyAlignment="1">
      <alignment horizontal="center" vertical="center" wrapText="1"/>
    </xf>
    <xf numFmtId="0" fontId="0" fillId="5" borderId="4" xfId="0" applyFill="1" applyBorder="1" applyAlignment="1">
      <alignment horizontal="left"/>
    </xf>
    <xf numFmtId="0" fontId="7" fillId="5" borderId="42" xfId="0" applyFont="1" applyFill="1" applyBorder="1" applyAlignment="1">
      <alignment horizontal="left"/>
    </xf>
    <xf numFmtId="0" fontId="7" fillId="5" borderId="43" xfId="0" applyFont="1" applyFill="1" applyBorder="1" applyAlignment="1">
      <alignment horizontal="left"/>
    </xf>
    <xf numFmtId="0" fontId="7" fillId="5" borderId="32" xfId="0" applyFont="1" applyFill="1" applyBorder="1" applyAlignment="1">
      <alignment horizontal="left"/>
    </xf>
    <xf numFmtId="0" fontId="150" fillId="4" borderId="36" xfId="0" applyFont="1" applyFill="1" applyBorder="1" applyAlignment="1">
      <alignment horizontal="center" wrapText="1"/>
    </xf>
    <xf numFmtId="0" fontId="150" fillId="4" borderId="60" xfId="0" applyFont="1" applyFill="1" applyBorder="1" applyAlignment="1">
      <alignment horizontal="center" wrapText="1"/>
    </xf>
    <xf numFmtId="0" fontId="150" fillId="4" borderId="65" xfId="0" applyFont="1" applyFill="1" applyBorder="1" applyAlignment="1">
      <alignment horizontal="center" wrapText="1"/>
    </xf>
    <xf numFmtId="2" fontId="0" fillId="5" borderId="4" xfId="0" applyNumberFormat="1" applyFill="1" applyBorder="1" applyAlignment="1">
      <alignment horizontal="center"/>
    </xf>
    <xf numFmtId="2" fontId="0" fillId="5" borderId="5" xfId="0" applyNumberFormat="1" applyFill="1" applyBorder="1" applyAlignment="1">
      <alignment horizontal="center"/>
    </xf>
    <xf numFmtId="0" fontId="0" fillId="4" borderId="2" xfId="0" applyFill="1" applyBorder="1" applyAlignment="1">
      <alignment horizontal="left" vertical="center" wrapText="1"/>
    </xf>
    <xf numFmtId="0" fontId="0" fillId="4" borderId="10" xfId="0" applyFill="1" applyBorder="1" applyAlignment="1">
      <alignment horizontal="left" vertical="center" wrapText="1"/>
    </xf>
    <xf numFmtId="0" fontId="0" fillId="4" borderId="77" xfId="0" applyFill="1" applyBorder="1" applyAlignment="1">
      <alignment horizontal="left" vertical="center" wrapText="1"/>
    </xf>
    <xf numFmtId="0" fontId="0" fillId="4" borderId="83" xfId="0" applyFill="1" applyBorder="1" applyAlignment="1">
      <alignment horizontal="left" vertical="center" wrapText="1"/>
    </xf>
    <xf numFmtId="0" fontId="0" fillId="4" borderId="45" xfId="0" applyFill="1" applyBorder="1" applyAlignment="1">
      <alignment horizontal="left" vertical="center" wrapText="1"/>
    </xf>
    <xf numFmtId="0" fontId="0" fillId="4" borderId="76" xfId="0" applyFill="1" applyBorder="1" applyAlignment="1">
      <alignment horizontal="left" vertical="center" wrapText="1"/>
    </xf>
    <xf numFmtId="49" fontId="0" fillId="5" borderId="6" xfId="0" applyNumberFormat="1" applyFill="1" applyBorder="1" applyAlignment="1">
      <alignment horizontal="left" wrapText="1"/>
    </xf>
    <xf numFmtId="0" fontId="92" fillId="31" borderId="36" xfId="0" applyFont="1" applyFill="1" applyBorder="1" applyAlignment="1">
      <alignment horizontal="center" vertical="center" textRotation="90"/>
    </xf>
    <xf numFmtId="0" fontId="92" fillId="31" borderId="33" xfId="0" applyFont="1" applyFill="1" applyBorder="1" applyAlignment="1">
      <alignment horizontal="center" vertical="center" textRotation="90"/>
    </xf>
    <xf numFmtId="0" fontId="92" fillId="31" borderId="41" xfId="0" applyFont="1" applyFill="1" applyBorder="1" applyAlignment="1">
      <alignment horizontal="center" vertical="center" textRotation="90"/>
    </xf>
    <xf numFmtId="0" fontId="149" fillId="31" borderId="36" xfId="0" applyFont="1" applyFill="1" applyBorder="1" applyAlignment="1">
      <alignment horizontal="center" vertical="center"/>
    </xf>
    <xf numFmtId="0" fontId="149" fillId="31" borderId="33" xfId="0" applyFont="1" applyFill="1" applyBorder="1" applyAlignment="1">
      <alignment horizontal="center" vertical="center"/>
    </xf>
    <xf numFmtId="4" fontId="152" fillId="2" borderId="11" xfId="0" applyNumberFormat="1" applyFont="1" applyFill="1" applyBorder="1" applyAlignment="1">
      <alignment horizontal="center" wrapText="1"/>
    </xf>
    <xf numFmtId="4" fontId="152" fillId="2" borderId="39" xfId="0" applyNumberFormat="1" applyFont="1" applyFill="1" applyBorder="1" applyAlignment="1">
      <alignment horizontal="center" wrapText="1"/>
    </xf>
    <xf numFmtId="2" fontId="148" fillId="5" borderId="13" xfId="0" applyNumberFormat="1" applyFont="1" applyFill="1" applyBorder="1" applyAlignment="1">
      <alignment horizontal="center"/>
    </xf>
    <xf numFmtId="2" fontId="148" fillId="5" borderId="40" xfId="0" applyNumberFormat="1" applyFont="1" applyFill="1" applyBorder="1" applyAlignment="1">
      <alignment horizontal="center"/>
    </xf>
    <xf numFmtId="0" fontId="151" fillId="4" borderId="33" xfId="0" applyFont="1" applyFill="1" applyBorder="1" applyAlignment="1">
      <alignment horizontal="center" wrapText="1"/>
    </xf>
    <xf numFmtId="0" fontId="151" fillId="4" borderId="0" xfId="0" applyFont="1" applyFill="1" applyAlignment="1">
      <alignment horizontal="center" wrapText="1"/>
    </xf>
    <xf numFmtId="0" fontId="151" fillId="4" borderId="78" xfId="0" applyFont="1" applyFill="1" applyBorder="1" applyAlignment="1">
      <alignment horizontal="center" wrapText="1"/>
    </xf>
    <xf numFmtId="0" fontId="148" fillId="5" borderId="13" xfId="0" applyFont="1" applyFill="1" applyBorder="1" applyAlignment="1">
      <alignment horizontal="left"/>
    </xf>
    <xf numFmtId="0" fontId="148" fillId="5" borderId="5" xfId="0" applyFont="1" applyFill="1" applyBorder="1" applyAlignment="1">
      <alignment horizontal="left"/>
    </xf>
    <xf numFmtId="0" fontId="148" fillId="5" borderId="6" xfId="0" applyFont="1" applyFill="1" applyBorder="1" applyAlignment="1">
      <alignment horizontal="left"/>
    </xf>
    <xf numFmtId="49" fontId="148" fillId="5" borderId="13" xfId="0" applyNumberFormat="1" applyFont="1" applyFill="1" applyBorder="1" applyAlignment="1">
      <alignment horizontal="left"/>
    </xf>
    <xf numFmtId="49" fontId="148" fillId="5" borderId="5" xfId="0" applyNumberFormat="1" applyFont="1" applyFill="1" applyBorder="1" applyAlignment="1">
      <alignment horizontal="left"/>
    </xf>
    <xf numFmtId="49" fontId="148" fillId="5" borderId="6" xfId="0" applyNumberFormat="1" applyFont="1" applyFill="1" applyBorder="1" applyAlignment="1">
      <alignment horizontal="left"/>
    </xf>
    <xf numFmtId="0" fontId="131" fillId="4" borderId="34" xfId="0" applyFont="1" applyFill="1" applyBorder="1" applyAlignment="1">
      <alignment horizontal="center" vertical="center" wrapText="1"/>
    </xf>
    <xf numFmtId="0" fontId="131" fillId="4" borderId="27" xfId="0" applyFont="1" applyFill="1" applyBorder="1" applyAlignment="1">
      <alignment horizontal="center" vertical="center" wrapText="1"/>
    </xf>
    <xf numFmtId="0" fontId="131" fillId="4" borderId="75" xfId="0" applyFont="1" applyFill="1" applyBorder="1" applyAlignment="1">
      <alignment horizontal="center" vertical="center" wrapText="1"/>
    </xf>
    <xf numFmtId="0" fontId="95" fillId="0" borderId="60" xfId="0" applyFont="1" applyBorder="1" applyAlignment="1">
      <alignment horizontal="left" wrapText="1"/>
    </xf>
    <xf numFmtId="49" fontId="148" fillId="4" borderId="29" xfId="0" applyNumberFormat="1" applyFont="1" applyFill="1" applyBorder="1" applyAlignment="1">
      <alignment horizontal="left" vertical="center" wrapText="1"/>
    </xf>
    <xf numFmtId="49" fontId="148" fillId="4" borderId="43" xfId="0" applyNumberFormat="1" applyFont="1" applyFill="1" applyBorder="1" applyAlignment="1">
      <alignment horizontal="left" vertical="center" wrapText="1"/>
    </xf>
    <xf numFmtId="49" fontId="148" fillId="4" borderId="32" xfId="0" applyNumberFormat="1" applyFont="1" applyFill="1" applyBorder="1" applyAlignment="1">
      <alignment horizontal="left" vertical="center" wrapText="1"/>
    </xf>
    <xf numFmtId="49" fontId="148" fillId="5" borderId="4" xfId="0" applyNumberFormat="1" applyFont="1" applyFill="1" applyBorder="1" applyAlignment="1">
      <alignment horizontal="left" wrapText="1"/>
    </xf>
    <xf numFmtId="49" fontId="148" fillId="5" borderId="5" xfId="0" applyNumberFormat="1" applyFont="1" applyFill="1" applyBorder="1" applyAlignment="1">
      <alignment horizontal="left" wrapText="1"/>
    </xf>
    <xf numFmtId="49" fontId="151" fillId="4" borderId="3" xfId="0" applyNumberFormat="1" applyFont="1" applyFill="1" applyBorder="1" applyAlignment="1">
      <alignment horizontal="center" wrapText="1"/>
    </xf>
    <xf numFmtId="49" fontId="151" fillId="4" borderId="0" xfId="0" applyNumberFormat="1" applyFont="1" applyFill="1" applyAlignment="1">
      <alignment horizontal="center" wrapText="1"/>
    </xf>
    <xf numFmtId="49" fontId="151" fillId="4" borderId="78" xfId="0" applyNumberFormat="1" applyFont="1" applyFill="1" applyBorder="1" applyAlignment="1">
      <alignment horizontal="center" wrapText="1"/>
    </xf>
    <xf numFmtId="49" fontId="150" fillId="4" borderId="81" xfId="0" applyNumberFormat="1" applyFont="1" applyFill="1" applyBorder="1" applyAlignment="1">
      <alignment horizontal="center" wrapText="1"/>
    </xf>
    <xf numFmtId="49" fontId="150" fillId="4" borderId="60" xfId="0" applyNumberFormat="1" applyFont="1" applyFill="1" applyBorder="1" applyAlignment="1">
      <alignment horizontal="center" wrapText="1"/>
    </xf>
    <xf numFmtId="49" fontId="150" fillId="4" borderId="65" xfId="0" applyNumberFormat="1" applyFont="1" applyFill="1" applyBorder="1" applyAlignment="1">
      <alignment horizontal="center" wrapText="1"/>
    </xf>
    <xf numFmtId="49" fontId="148" fillId="2" borderId="4" xfId="0" applyNumberFormat="1" applyFont="1" applyFill="1" applyBorder="1" applyAlignment="1">
      <alignment horizontal="left" wrapText="1"/>
    </xf>
    <xf numFmtId="49" fontId="148" fillId="2" borderId="5" xfId="0" applyNumberFormat="1" applyFont="1" applyFill="1" applyBorder="1" applyAlignment="1">
      <alignment horizontal="left" wrapText="1"/>
    </xf>
    <xf numFmtId="49" fontId="148" fillId="4" borderId="11" xfId="0" applyNumberFormat="1" applyFont="1" applyFill="1" applyBorder="1" applyAlignment="1">
      <alignment horizontal="left"/>
    </xf>
    <xf numFmtId="49" fontId="148" fillId="4" borderId="38" xfId="0" applyNumberFormat="1" applyFont="1" applyFill="1" applyBorder="1" applyAlignment="1">
      <alignment horizontal="left"/>
    </xf>
    <xf numFmtId="49" fontId="148" fillId="4" borderId="31" xfId="0" applyNumberFormat="1" applyFont="1" applyFill="1" applyBorder="1" applyAlignment="1">
      <alignment horizontal="left"/>
    </xf>
    <xf numFmtId="0" fontId="148" fillId="5" borderId="41" xfId="0" applyFont="1" applyFill="1" applyBorder="1" applyAlignment="1">
      <alignment horizontal="left"/>
    </xf>
    <xf numFmtId="0" fontId="148" fillId="5" borderId="45" xfId="0" applyFont="1" applyFill="1" applyBorder="1" applyAlignment="1">
      <alignment horizontal="left"/>
    </xf>
    <xf numFmtId="0" fontId="148" fillId="5" borderId="88" xfId="0" applyFont="1" applyFill="1" applyBorder="1" applyAlignment="1">
      <alignment horizontal="left"/>
    </xf>
    <xf numFmtId="0" fontId="9" fillId="4" borderId="81" xfId="0" applyFont="1" applyFill="1" applyBorder="1" applyAlignment="1">
      <alignment horizontal="center" wrapText="1"/>
    </xf>
    <xf numFmtId="49" fontId="71" fillId="4" borderId="3" xfId="0" applyNumberFormat="1" applyFont="1" applyFill="1" applyBorder="1" applyAlignment="1">
      <alignment horizontal="center" wrapText="1"/>
    </xf>
    <xf numFmtId="49" fontId="71" fillId="4" borderId="0" xfId="0" applyNumberFormat="1" applyFont="1" applyFill="1" applyAlignment="1">
      <alignment horizontal="center" wrapText="1"/>
    </xf>
    <xf numFmtId="49" fontId="71" fillId="4" borderId="78" xfId="0" applyNumberFormat="1" applyFont="1" applyFill="1" applyBorder="1" applyAlignment="1">
      <alignment horizontal="center" wrapText="1"/>
    </xf>
    <xf numFmtId="49" fontId="0" fillId="2" borderId="4" xfId="0" applyNumberFormat="1" applyFill="1" applyBorder="1" applyAlignment="1">
      <alignment horizontal="left" wrapText="1"/>
    </xf>
    <xf numFmtId="49" fontId="0" fillId="2" borderId="5" xfId="0" applyNumberFormat="1" applyFill="1" applyBorder="1" applyAlignment="1">
      <alignment horizontal="left" wrapText="1"/>
    </xf>
    <xf numFmtId="4" fontId="19" fillId="2" borderId="11" xfId="0" applyNumberFormat="1" applyFont="1" applyFill="1" applyBorder="1" applyAlignment="1">
      <alignment horizontal="center" wrapText="1"/>
    </xf>
    <xf numFmtId="4" fontId="19" fillId="2" borderId="39" xfId="0" applyNumberFormat="1" applyFont="1" applyFill="1" applyBorder="1" applyAlignment="1">
      <alignment horizontal="center" wrapText="1"/>
    </xf>
    <xf numFmtId="0" fontId="159" fillId="28" borderId="95" xfId="539" applyFont="1" applyFill="1" applyBorder="1" applyAlignment="1">
      <alignment horizontal="center" wrapText="1"/>
    </xf>
    <xf numFmtId="0" fontId="92" fillId="31" borderId="60" xfId="0" applyFont="1" applyFill="1" applyBorder="1" applyAlignment="1">
      <alignment horizontal="center" vertical="center"/>
    </xf>
    <xf numFmtId="0" fontId="92" fillId="31" borderId="0" xfId="0" applyFont="1" applyFill="1" applyAlignment="1">
      <alignment horizontal="center" vertical="center"/>
    </xf>
    <xf numFmtId="0" fontId="6" fillId="4" borderId="36" xfId="0" applyFont="1" applyFill="1" applyBorder="1" applyAlignment="1">
      <alignment horizontal="center" wrapText="1"/>
    </xf>
    <xf numFmtId="0" fontId="6" fillId="4" borderId="60" xfId="0" applyFont="1" applyFill="1" applyBorder="1" applyAlignment="1">
      <alignment horizontal="center" wrapText="1"/>
    </xf>
    <xf numFmtId="0" fontId="6" fillId="4" borderId="65" xfId="0" applyFont="1" applyFill="1" applyBorder="1" applyAlignment="1">
      <alignment horizontal="center" wrapText="1"/>
    </xf>
    <xf numFmtId="49" fontId="0" fillId="4" borderId="11" xfId="0" applyNumberFormat="1" applyFill="1" applyBorder="1" applyAlignment="1">
      <alignment horizontal="left"/>
    </xf>
    <xf numFmtId="49" fontId="0" fillId="4" borderId="38" xfId="0" applyNumberFormat="1" applyFill="1" applyBorder="1" applyAlignment="1">
      <alignment horizontal="left"/>
    </xf>
    <xf numFmtId="49" fontId="0" fillId="4" borderId="31" xfId="0" applyNumberFormat="1" applyFill="1" applyBorder="1" applyAlignment="1">
      <alignment horizontal="left"/>
    </xf>
    <xf numFmtId="49" fontId="17" fillId="31" borderId="4" xfId="0" applyNumberFormat="1" applyFont="1" applyFill="1" applyBorder="1" applyAlignment="1">
      <alignment horizontal="left" wrapText="1"/>
    </xf>
    <xf numFmtId="49" fontId="17" fillId="31" borderId="5" xfId="0" applyNumberFormat="1" applyFont="1" applyFill="1" applyBorder="1" applyAlignment="1">
      <alignment horizontal="left" wrapText="1"/>
    </xf>
    <xf numFmtId="0" fontId="162" fillId="29" borderId="23" xfId="539" applyFont="1" applyFill="1" applyBorder="1" applyAlignment="1">
      <alignment horizontal="center" wrapText="1"/>
    </xf>
    <xf numFmtId="0" fontId="0" fillId="2" borderId="62" xfId="0" applyFill="1" applyBorder="1" applyAlignment="1" applyProtection="1">
      <alignment horizontal="left" vertical="center"/>
      <protection locked="0"/>
    </xf>
    <xf numFmtId="0" fontId="0" fillId="2" borderId="2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49" fontId="0" fillId="4" borderId="29" xfId="0" applyNumberFormat="1" applyFill="1" applyBorder="1" applyAlignment="1">
      <alignment horizontal="left" vertical="center" wrapText="1"/>
    </xf>
    <xf numFmtId="49" fontId="0" fillId="4" borderId="43" xfId="0" applyNumberFormat="1" applyFill="1" applyBorder="1" applyAlignment="1">
      <alignment horizontal="left" vertical="center" wrapText="1"/>
    </xf>
    <xf numFmtId="49" fontId="0" fillId="4" borderId="32" xfId="0" applyNumberFormat="1" applyFill="1" applyBorder="1" applyAlignment="1">
      <alignment horizontal="left" vertical="center" wrapText="1"/>
    </xf>
    <xf numFmtId="0" fontId="17" fillId="0" borderId="33" xfId="0" applyFont="1" applyBorder="1" applyAlignment="1">
      <alignment horizontal="center" vertical="center" wrapText="1"/>
    </xf>
    <xf numFmtId="0" fontId="87" fillId="31" borderId="36" xfId="0" applyFont="1" applyFill="1" applyBorder="1" applyAlignment="1">
      <alignment horizontal="center" vertical="center"/>
    </xf>
    <xf numFmtId="0" fontId="87" fillId="31" borderId="60" xfId="0" applyFont="1" applyFill="1" applyBorder="1" applyAlignment="1">
      <alignment horizontal="center" vertical="center"/>
    </xf>
    <xf numFmtId="0" fontId="87" fillId="31" borderId="65" xfId="0" applyFont="1" applyFill="1" applyBorder="1" applyAlignment="1">
      <alignment horizontal="center" vertical="center"/>
    </xf>
    <xf numFmtId="0" fontId="17" fillId="31" borderId="41" xfId="0" applyFont="1" applyFill="1" applyBorder="1" applyAlignment="1">
      <alignment horizontal="left" vertical="center" wrapText="1"/>
    </xf>
    <xf numFmtId="0" fontId="17" fillId="31" borderId="45" xfId="0" applyFont="1" applyFill="1" applyBorder="1" applyAlignment="1">
      <alignment horizontal="left" vertical="center" wrapText="1"/>
    </xf>
    <xf numFmtId="0" fontId="17" fillId="31" borderId="76" xfId="0" applyFont="1" applyFill="1" applyBorder="1" applyAlignment="1">
      <alignment horizontal="left" vertical="center" wrapText="1"/>
    </xf>
    <xf numFmtId="0" fontId="109" fillId="31" borderId="36" xfId="0" applyFont="1" applyFill="1" applyBorder="1" applyAlignment="1">
      <alignment horizontal="center" wrapText="1"/>
    </xf>
    <xf numFmtId="0" fontId="109" fillId="31" borderId="60" xfId="0" applyFont="1" applyFill="1" applyBorder="1" applyAlignment="1">
      <alignment horizontal="center" wrapText="1"/>
    </xf>
    <xf numFmtId="0" fontId="109" fillId="31" borderId="65" xfId="0" applyFont="1" applyFill="1" applyBorder="1" applyAlignment="1">
      <alignment horizontal="center" wrapText="1"/>
    </xf>
    <xf numFmtId="0" fontId="88" fillId="31" borderId="41" xfId="0" applyFont="1" applyFill="1" applyBorder="1" applyAlignment="1">
      <alignment horizontal="left" wrapText="1"/>
    </xf>
    <xf numFmtId="0" fontId="88" fillId="31" borderId="45" xfId="0" applyFont="1" applyFill="1" applyBorder="1" applyAlignment="1">
      <alignment horizontal="left" wrapText="1"/>
    </xf>
    <xf numFmtId="0" fontId="88" fillId="31" borderId="76" xfId="0" applyFont="1" applyFill="1" applyBorder="1" applyAlignment="1">
      <alignment horizontal="left" wrapText="1"/>
    </xf>
    <xf numFmtId="0" fontId="8" fillId="2" borderId="62" xfId="0" applyFont="1" applyFill="1" applyBorder="1" applyAlignment="1">
      <alignment horizontal="left" vertical="center"/>
    </xf>
    <xf numFmtId="0" fontId="8" fillId="2" borderId="38" xfId="0" applyFont="1" applyFill="1" applyBorder="1" applyAlignment="1">
      <alignment horizontal="left" vertical="center"/>
    </xf>
    <xf numFmtId="0" fontId="8" fillId="2" borderId="31" xfId="0" applyFont="1" applyFill="1" applyBorder="1" applyAlignment="1">
      <alignment horizontal="left" vertical="center"/>
    </xf>
    <xf numFmtId="4" fontId="109" fillId="31" borderId="85" xfId="0" applyNumberFormat="1" applyFont="1" applyFill="1" applyBorder="1" applyAlignment="1">
      <alignment horizontal="center" vertical="center" wrapText="1"/>
    </xf>
    <xf numFmtId="4" fontId="109" fillId="31" borderId="89" xfId="0" applyNumberFormat="1" applyFont="1" applyFill="1" applyBorder="1" applyAlignment="1">
      <alignment horizontal="center" vertical="center" wrapText="1"/>
    </xf>
    <xf numFmtId="0" fontId="17" fillId="31" borderId="84" xfId="0" applyFont="1" applyFill="1" applyBorder="1" applyAlignment="1">
      <alignment horizontal="center" vertical="center" wrapText="1"/>
    </xf>
    <xf numFmtId="0" fontId="17" fillId="31" borderId="85" xfId="0" applyFont="1" applyFill="1" applyBorder="1" applyAlignment="1">
      <alignment horizontal="center" vertical="center" wrapText="1"/>
    </xf>
    <xf numFmtId="0" fontId="17" fillId="31" borderId="89" xfId="0" applyFont="1" applyFill="1" applyBorder="1" applyAlignment="1">
      <alignment horizontal="center" vertical="center" wrapText="1"/>
    </xf>
    <xf numFmtId="0" fontId="76" fillId="31" borderId="33" xfId="0" applyFont="1" applyFill="1" applyBorder="1" applyAlignment="1">
      <alignment horizontal="center" vertical="center" wrapText="1"/>
    </xf>
    <xf numFmtId="0" fontId="76" fillId="31" borderId="0" xfId="0" applyFont="1" applyFill="1" applyAlignment="1">
      <alignment horizontal="center" vertical="center" wrapText="1"/>
    </xf>
    <xf numFmtId="0" fontId="76" fillId="31" borderId="78" xfId="0" applyFont="1" applyFill="1" applyBorder="1" applyAlignment="1">
      <alignment horizontal="center" vertical="center" wrapText="1"/>
    </xf>
    <xf numFmtId="0" fontId="78" fillId="5" borderId="13" xfId="0" applyFont="1" applyFill="1" applyBorder="1" applyAlignment="1">
      <alignment horizontal="left" vertical="center"/>
    </xf>
    <xf numFmtId="0" fontId="78" fillId="5" borderId="5" xfId="0" applyFont="1" applyFill="1" applyBorder="1" applyAlignment="1">
      <alignment horizontal="left" vertical="center"/>
    </xf>
    <xf numFmtId="0" fontId="78" fillId="5" borderId="6" xfId="0" applyFont="1" applyFill="1" applyBorder="1" applyAlignment="1">
      <alignment horizontal="left" vertical="center"/>
    </xf>
    <xf numFmtId="0" fontId="78" fillId="5" borderId="4" xfId="0" applyFont="1" applyFill="1" applyBorder="1" applyAlignment="1">
      <alignment horizontal="left" vertical="center"/>
    </xf>
    <xf numFmtId="0" fontId="85" fillId="31" borderId="58" xfId="0" applyFont="1" applyFill="1" applyBorder="1" applyAlignment="1">
      <alignment horizontal="left" vertical="center"/>
    </xf>
    <xf numFmtId="0" fontId="85" fillId="31" borderId="59" xfId="0" applyFont="1" applyFill="1" applyBorder="1" applyAlignment="1">
      <alignment horizontal="left" vertical="center"/>
    </xf>
    <xf numFmtId="0" fontId="85" fillId="31" borderId="20" xfId="0" applyFont="1" applyFill="1" applyBorder="1" applyAlignment="1">
      <alignment horizontal="left" vertical="center" wrapText="1"/>
    </xf>
    <xf numFmtId="0" fontId="85" fillId="31" borderId="21" xfId="0" applyFont="1" applyFill="1" applyBorder="1" applyAlignment="1">
      <alignment horizontal="left" vertical="center" wrapText="1"/>
    </xf>
    <xf numFmtId="0" fontId="85" fillId="31" borderId="82" xfId="0" applyFont="1" applyFill="1" applyBorder="1" applyAlignment="1">
      <alignment horizontal="left" vertical="center" wrapText="1"/>
    </xf>
    <xf numFmtId="0" fontId="85" fillId="31" borderId="24" xfId="0" applyFont="1" applyFill="1" applyBorder="1" applyAlignment="1">
      <alignment horizontal="left" vertical="center" wrapText="1"/>
    </xf>
    <xf numFmtId="0" fontId="85" fillId="31" borderId="84" xfId="0" applyFont="1" applyFill="1" applyBorder="1" applyAlignment="1">
      <alignment horizontal="center" wrapText="1"/>
    </xf>
    <xf numFmtId="0" fontId="85" fillId="31" borderId="85" xfId="0" applyFont="1" applyFill="1" applyBorder="1" applyAlignment="1">
      <alignment horizontal="center" wrapText="1"/>
    </xf>
    <xf numFmtId="0" fontId="0" fillId="2" borderId="13" xfId="0" applyFill="1" applyBorder="1" applyAlignment="1" applyProtection="1">
      <alignment horizontal="left" vertical="center"/>
      <protection locked="0"/>
    </xf>
    <xf numFmtId="0" fontId="0" fillId="2" borderId="5" xfId="0" applyFill="1" applyBorder="1" applyAlignment="1" applyProtection="1">
      <alignment horizontal="left" vertical="center"/>
      <protection locked="0"/>
    </xf>
    <xf numFmtId="0" fontId="0" fillId="2" borderId="40" xfId="0" applyFill="1" applyBorder="1" applyAlignment="1" applyProtection="1">
      <alignment horizontal="left" vertical="center"/>
      <protection locked="0"/>
    </xf>
    <xf numFmtId="0" fontId="86" fillId="36" borderId="23" xfId="0" applyFont="1" applyFill="1" applyBorder="1" applyAlignment="1">
      <alignment horizontal="left" vertical="center"/>
    </xf>
    <xf numFmtId="0" fontId="86" fillId="36" borderId="24" xfId="0" applyFont="1" applyFill="1" applyBorder="1" applyAlignment="1">
      <alignment horizontal="left" vertical="center"/>
    </xf>
    <xf numFmtId="0" fontId="86" fillId="36" borderId="28" xfId="0" applyFont="1" applyFill="1" applyBorder="1" applyAlignment="1">
      <alignment horizontal="left" vertical="center"/>
    </xf>
    <xf numFmtId="0" fontId="84" fillId="36" borderId="23" xfId="0" applyFont="1" applyFill="1" applyBorder="1" applyAlignment="1">
      <alignment horizontal="left" vertical="center"/>
    </xf>
    <xf numFmtId="0" fontId="84" fillId="36" borderId="24" xfId="0" applyFont="1" applyFill="1" applyBorder="1" applyAlignment="1">
      <alignment horizontal="left" vertical="center"/>
    </xf>
    <xf numFmtId="0" fontId="84" fillId="36" borderId="28" xfId="0" applyFont="1" applyFill="1" applyBorder="1" applyAlignment="1">
      <alignment horizontal="left" vertical="center"/>
    </xf>
    <xf numFmtId="0" fontId="92" fillId="31" borderId="84" xfId="0" applyFont="1" applyFill="1" applyBorder="1" applyAlignment="1">
      <alignment horizontal="center" vertical="center" textRotation="90" wrapText="1"/>
    </xf>
    <xf numFmtId="0" fontId="92" fillId="31" borderId="85" xfId="0" applyFont="1" applyFill="1" applyBorder="1" applyAlignment="1">
      <alignment horizontal="center" vertical="center" textRotation="90" wrapText="1"/>
    </xf>
    <xf numFmtId="0" fontId="92" fillId="31" borderId="89" xfId="0" applyFont="1" applyFill="1" applyBorder="1" applyAlignment="1">
      <alignment horizontal="center" vertical="center" textRotation="90" wrapText="1"/>
    </xf>
    <xf numFmtId="0" fontId="17" fillId="31" borderId="23" xfId="0" applyFont="1" applyFill="1" applyBorder="1" applyAlignment="1">
      <alignment horizontal="left" vertical="center" wrapText="1"/>
    </xf>
    <xf numFmtId="0" fontId="17" fillId="31" borderId="24" xfId="0" applyFont="1" applyFill="1" applyBorder="1" applyAlignment="1">
      <alignment horizontal="left" vertical="center" wrapText="1"/>
    </xf>
    <xf numFmtId="0" fontId="17" fillId="31" borderId="25" xfId="0" applyFont="1" applyFill="1" applyBorder="1" applyAlignment="1">
      <alignment horizontal="left" vertical="center" wrapText="1"/>
    </xf>
    <xf numFmtId="0" fontId="88" fillId="36" borderId="23" xfId="0" applyFont="1" applyFill="1" applyBorder="1" applyAlignment="1">
      <alignment horizontal="left" vertical="center"/>
    </xf>
    <xf numFmtId="0" fontId="88" fillId="36" borderId="24" xfId="0" applyFont="1" applyFill="1" applyBorder="1" applyAlignment="1">
      <alignment horizontal="left" vertical="center"/>
    </xf>
    <xf numFmtId="0" fontId="0" fillId="2" borderId="36" xfId="0" applyFill="1" applyBorder="1" applyAlignment="1" applyProtection="1">
      <alignment horizontal="left" vertical="center"/>
      <protection locked="0"/>
    </xf>
    <xf numFmtId="0" fontId="0" fillId="2" borderId="60" xfId="0" applyFill="1" applyBorder="1" applyAlignment="1" applyProtection="1">
      <alignment horizontal="left" vertical="center"/>
      <protection locked="0"/>
    </xf>
    <xf numFmtId="0" fontId="0" fillId="2" borderId="65" xfId="0" applyFill="1" applyBorder="1" applyAlignment="1" applyProtection="1">
      <alignment horizontal="left" vertical="center"/>
      <protection locked="0"/>
    </xf>
    <xf numFmtId="0" fontId="0" fillId="0" borderId="0" xfId="0" applyAlignment="1" applyProtection="1">
      <alignment horizontal="center"/>
      <protection locked="0"/>
    </xf>
    <xf numFmtId="0" fontId="0" fillId="0" borderId="0" xfId="0" applyProtection="1">
      <protection locked="0"/>
    </xf>
    <xf numFmtId="0" fontId="0" fillId="0" borderId="0" xfId="0" applyAlignment="1" applyProtection="1">
      <alignment horizontal="left"/>
      <protection locked="0"/>
    </xf>
    <xf numFmtId="0" fontId="0" fillId="0" borderId="0" xfId="0" applyAlignment="1" applyProtection="1">
      <alignment horizontal="left" indent="1"/>
      <protection locked="0"/>
    </xf>
    <xf numFmtId="0" fontId="0" fillId="5" borderId="0" xfId="0" applyFill="1" applyAlignment="1" applyProtection="1">
      <alignment horizontal="left"/>
      <protection locked="0"/>
    </xf>
    <xf numFmtId="0" fontId="7" fillId="5" borderId="0" xfId="0" applyFont="1" applyFill="1" applyAlignment="1">
      <alignment horizontal="left"/>
    </xf>
    <xf numFmtId="0" fontId="0" fillId="5" borderId="0" xfId="0" applyFill="1" applyAlignment="1" applyProtection="1">
      <alignment horizontal="left" wrapText="1"/>
      <protection locked="0"/>
    </xf>
    <xf numFmtId="0" fontId="7" fillId="0" borderId="0" xfId="0" applyFont="1" applyAlignment="1">
      <alignment horizontal="center"/>
    </xf>
    <xf numFmtId="0" fontId="7" fillId="0" borderId="0" xfId="0" applyFont="1" applyAlignment="1">
      <alignment horizontal="left"/>
    </xf>
    <xf numFmtId="0" fontId="7" fillId="0" borderId="0" xfId="0" applyFont="1" applyAlignment="1">
      <alignment horizontal="left" wrapText="1"/>
    </xf>
    <xf numFmtId="0" fontId="21" fillId="0" borderId="0" xfId="0" applyFont="1" applyAlignment="1">
      <alignment horizontal="left" wrapText="1"/>
    </xf>
    <xf numFmtId="0" fontId="0" fillId="2" borderId="9" xfId="0" applyFill="1" applyBorder="1" applyAlignment="1" applyProtection="1">
      <alignment horizontal="left"/>
      <protection locked="0"/>
    </xf>
    <xf numFmtId="0" fontId="0" fillId="2" borderId="1" xfId="0" applyFill="1" applyBorder="1" applyAlignment="1" applyProtection="1">
      <alignment horizontal="left"/>
      <protection locked="0"/>
    </xf>
    <xf numFmtId="0" fontId="97" fillId="31" borderId="58" xfId="0" applyFont="1" applyFill="1" applyBorder="1" applyAlignment="1">
      <alignment horizontal="center"/>
    </xf>
    <xf numFmtId="0" fontId="97" fillId="31" borderId="59" xfId="0" applyFont="1" applyFill="1" applyBorder="1" applyAlignment="1">
      <alignment horizontal="center"/>
    </xf>
    <xf numFmtId="0" fontId="97" fillId="31" borderId="52" xfId="0" applyFont="1" applyFill="1" applyBorder="1" applyAlignment="1">
      <alignment horizontal="center"/>
    </xf>
    <xf numFmtId="0" fontId="0" fillId="5" borderId="9" xfId="0" applyFill="1" applyBorder="1" applyAlignment="1">
      <alignment horizontal="left"/>
    </xf>
    <xf numFmtId="0" fontId="0" fillId="4" borderId="9" xfId="0" applyFill="1" applyBorder="1" applyAlignment="1">
      <alignment horizontal="left"/>
    </xf>
    <xf numFmtId="0" fontId="0" fillId="4" borderId="1" xfId="0" applyFill="1" applyBorder="1" applyAlignment="1">
      <alignment horizontal="left"/>
    </xf>
    <xf numFmtId="0" fontId="85" fillId="31" borderId="9" xfId="0" applyFont="1" applyFill="1" applyBorder="1" applyAlignment="1">
      <alignment horizontal="left"/>
    </xf>
    <xf numFmtId="0" fontId="85" fillId="31" borderId="1" xfId="0" applyFont="1" applyFill="1" applyBorder="1" applyAlignment="1">
      <alignment horizontal="left"/>
    </xf>
    <xf numFmtId="0" fontId="85" fillId="31" borderId="14" xfId="0" applyFont="1" applyFill="1" applyBorder="1" applyAlignment="1">
      <alignment horizontal="left"/>
    </xf>
    <xf numFmtId="0" fontId="97" fillId="31" borderId="13" xfId="0" applyFont="1" applyFill="1" applyBorder="1" applyAlignment="1">
      <alignment horizontal="center"/>
    </xf>
    <xf numFmtId="0" fontId="97" fillId="31" borderId="5" xfId="0" applyFont="1" applyFill="1" applyBorder="1" applyAlignment="1">
      <alignment horizontal="center"/>
    </xf>
    <xf numFmtId="0" fontId="97" fillId="31" borderId="40" xfId="0" applyFont="1" applyFill="1" applyBorder="1" applyAlignment="1">
      <alignment horizontal="center"/>
    </xf>
    <xf numFmtId="0" fontId="85" fillId="48" borderId="23" xfId="0" applyFont="1" applyFill="1" applyBorder="1" applyAlignment="1">
      <alignment horizontal="left"/>
    </xf>
    <xf numFmtId="0" fontId="85" fillId="48" borderId="24" xfId="0" applyFont="1" applyFill="1" applyBorder="1" applyAlignment="1">
      <alignment horizontal="left"/>
    </xf>
    <xf numFmtId="0" fontId="85" fillId="48" borderId="28" xfId="0" applyFont="1" applyFill="1" applyBorder="1" applyAlignment="1">
      <alignment horizontal="left"/>
    </xf>
    <xf numFmtId="0" fontId="85" fillId="48" borderId="23" xfId="0" applyFont="1" applyFill="1" applyBorder="1" applyAlignment="1">
      <alignment horizontal="left" wrapText="1"/>
    </xf>
    <xf numFmtId="0" fontId="85" fillId="48" borderId="24" xfId="0" applyFont="1" applyFill="1" applyBorder="1" applyAlignment="1">
      <alignment horizontal="left" wrapText="1"/>
    </xf>
    <xf numFmtId="0" fontId="85" fillId="48" borderId="28" xfId="0" applyFont="1" applyFill="1" applyBorder="1" applyAlignment="1">
      <alignment horizontal="left" wrapText="1"/>
    </xf>
    <xf numFmtId="0" fontId="92" fillId="31" borderId="84" xfId="0" applyFont="1" applyFill="1" applyBorder="1" applyAlignment="1">
      <alignment horizontal="center" vertical="center"/>
    </xf>
    <xf numFmtId="0" fontId="92" fillId="31" borderId="85" xfId="0" applyFont="1" applyFill="1" applyBorder="1" applyAlignment="1">
      <alignment horizontal="center" vertical="center"/>
    </xf>
    <xf numFmtId="0" fontId="92" fillId="31" borderId="89" xfId="0" applyFont="1" applyFill="1" applyBorder="1" applyAlignment="1">
      <alignment horizontal="center" vertical="center"/>
    </xf>
    <xf numFmtId="0" fontId="76" fillId="31" borderId="23" xfId="0" applyFont="1" applyFill="1" applyBorder="1" applyAlignment="1">
      <alignment horizontal="left" wrapText="1"/>
    </xf>
    <xf numFmtId="0" fontId="76" fillId="31" borderId="24" xfId="0" applyFont="1" applyFill="1" applyBorder="1" applyAlignment="1">
      <alignment horizontal="left" wrapText="1"/>
    </xf>
    <xf numFmtId="0" fontId="0" fillId="4" borderId="79" xfId="0" applyFill="1" applyBorder="1" applyAlignment="1">
      <alignment horizontal="left"/>
    </xf>
    <xf numFmtId="0" fontId="0" fillId="4" borderId="8" xfId="0" applyFill="1" applyBorder="1" applyAlignment="1">
      <alignment horizontal="left"/>
    </xf>
    <xf numFmtId="0" fontId="7" fillId="4" borderId="20" xfId="0" applyFont="1" applyFill="1" applyBorder="1" applyAlignment="1">
      <alignment horizontal="left"/>
    </xf>
    <xf numFmtId="0" fontId="7" fillId="4" borderId="21" xfId="0" applyFont="1" applyFill="1" applyBorder="1" applyAlignment="1">
      <alignment horizontal="left"/>
    </xf>
    <xf numFmtId="0" fontId="0" fillId="2" borderId="79" xfId="0" applyFill="1" applyBorder="1" applyAlignment="1" applyProtection="1">
      <alignment horizontal="left"/>
      <protection locked="0"/>
    </xf>
    <xf numFmtId="0" fontId="0" fillId="2" borderId="8" xfId="0" applyFill="1" applyBorder="1" applyAlignment="1" applyProtection="1">
      <alignment horizontal="left"/>
      <protection locked="0"/>
    </xf>
    <xf numFmtId="0" fontId="85" fillId="31" borderId="20" xfId="0" applyFont="1" applyFill="1" applyBorder="1" applyAlignment="1">
      <alignment horizontal="left"/>
    </xf>
    <xf numFmtId="0" fontId="85" fillId="31" borderId="21" xfId="0" applyFont="1" applyFill="1" applyBorder="1" applyAlignment="1">
      <alignment horizontal="left"/>
    </xf>
    <xf numFmtId="0" fontId="88" fillId="31" borderId="9" xfId="0" applyFont="1" applyFill="1" applyBorder="1" applyAlignment="1">
      <alignment horizontal="left"/>
    </xf>
    <xf numFmtId="0" fontId="88" fillId="31" borderId="1" xfId="0" applyFont="1" applyFill="1" applyBorder="1" applyAlignment="1">
      <alignment horizontal="left"/>
    </xf>
    <xf numFmtId="0" fontId="88" fillId="31" borderId="14" xfId="0" applyFont="1" applyFill="1" applyBorder="1" applyAlignment="1">
      <alignment horizontal="left"/>
    </xf>
    <xf numFmtId="0" fontId="0" fillId="0" borderId="50" xfId="0" applyBorder="1" applyAlignment="1">
      <alignment horizontal="left"/>
    </xf>
    <xf numFmtId="0" fontId="0" fillId="0" borderId="51" xfId="0" applyBorder="1" applyAlignment="1">
      <alignment horizontal="left"/>
    </xf>
    <xf numFmtId="0" fontId="0" fillId="6" borderId="4" xfId="0" applyFill="1" applyBorder="1" applyAlignment="1">
      <alignment horizontal="left" vertical="center"/>
    </xf>
    <xf numFmtId="0" fontId="0" fillId="6" borderId="5" xfId="0" applyFill="1" applyBorder="1" applyAlignment="1">
      <alignment horizontal="left" vertical="center"/>
    </xf>
    <xf numFmtId="0" fontId="0" fillId="6" borderId="6" xfId="0" applyFill="1" applyBorder="1" applyAlignment="1">
      <alignment horizontal="left" vertical="center"/>
    </xf>
    <xf numFmtId="0" fontId="0" fillId="5" borderId="6" xfId="0" applyFill="1" applyBorder="1" applyAlignment="1">
      <alignment horizontal="left" vertical="center"/>
    </xf>
    <xf numFmtId="0" fontId="0" fillId="2" borderId="13" xfId="0" applyFill="1" applyBorder="1" applyAlignment="1" applyProtection="1">
      <alignment horizontal="left"/>
      <protection locked="0"/>
    </xf>
    <xf numFmtId="0" fontId="0" fillId="2" borderId="6" xfId="0" applyFill="1" applyBorder="1" applyAlignment="1" applyProtection="1">
      <alignment horizontal="left"/>
      <protection locked="0"/>
    </xf>
    <xf numFmtId="0" fontId="0" fillId="2" borderId="29" xfId="0" applyFill="1" applyBorder="1" applyAlignment="1" applyProtection="1">
      <alignment horizontal="left"/>
      <protection locked="0"/>
    </xf>
    <xf numFmtId="0" fontId="0" fillId="2" borderId="32" xfId="0" applyFill="1" applyBorder="1" applyAlignment="1" applyProtection="1">
      <alignment horizontal="left"/>
      <protection locked="0"/>
    </xf>
    <xf numFmtId="0" fontId="7" fillId="4" borderId="23" xfId="0" applyFont="1" applyFill="1" applyBorder="1" applyAlignment="1">
      <alignment horizontal="left" wrapText="1"/>
    </xf>
    <xf numFmtId="0" fontId="7" fillId="4" borderId="28" xfId="0" applyFont="1" applyFill="1" applyBorder="1" applyAlignment="1">
      <alignment horizontal="left" wrapText="1"/>
    </xf>
    <xf numFmtId="0" fontId="0" fillId="0" borderId="0" xfId="0" applyAlignment="1">
      <alignment wrapText="1"/>
    </xf>
    <xf numFmtId="0" fontId="0" fillId="5" borderId="1" xfId="0" applyFill="1" applyBorder="1" applyAlignment="1">
      <alignment horizontal="center"/>
    </xf>
    <xf numFmtId="0" fontId="13" fillId="0" borderId="10" xfId="0" applyFont="1" applyBorder="1" applyAlignment="1">
      <alignment horizontal="left" wrapText="1"/>
    </xf>
    <xf numFmtId="0" fontId="0" fillId="2" borderId="11" xfId="0" applyFill="1" applyBorder="1" applyAlignment="1" applyProtection="1">
      <alignment horizontal="left"/>
      <protection locked="0"/>
    </xf>
    <xf numFmtId="0" fontId="0" fillId="2" borderId="31" xfId="0" applyFill="1" applyBorder="1" applyAlignment="1" applyProtection="1">
      <alignment horizontal="left"/>
      <protection locked="0"/>
    </xf>
    <xf numFmtId="0" fontId="15" fillId="4" borderId="4" xfId="0" applyFont="1" applyFill="1" applyBorder="1" applyAlignment="1">
      <alignment horizontal="center"/>
    </xf>
    <xf numFmtId="0" fontId="15" fillId="4" borderId="5" xfId="0" applyFont="1" applyFill="1" applyBorder="1" applyAlignment="1">
      <alignment horizontal="center"/>
    </xf>
    <xf numFmtId="0" fontId="15" fillId="4" borderId="6" xfId="0" applyFont="1" applyFill="1" applyBorder="1" applyAlignment="1">
      <alignment horizontal="center"/>
    </xf>
    <xf numFmtId="0" fontId="0" fillId="4" borderId="4" xfId="0" applyFill="1" applyBorder="1" applyAlignment="1">
      <alignment horizontal="left" wrapText="1"/>
    </xf>
    <xf numFmtId="0" fontId="0" fillId="4" borderId="5" xfId="0" applyFill="1" applyBorder="1" applyAlignment="1">
      <alignment horizontal="left" wrapText="1"/>
    </xf>
    <xf numFmtId="0" fontId="0" fillId="4" borderId="6" xfId="0" applyFill="1" applyBorder="1" applyAlignment="1">
      <alignment horizontal="left" wrapText="1"/>
    </xf>
    <xf numFmtId="0" fontId="13" fillId="5" borderId="4" xfId="0" applyFont="1" applyFill="1" applyBorder="1" applyAlignment="1">
      <alignment horizontal="left" vertical="center" wrapText="1"/>
    </xf>
    <xf numFmtId="0" fontId="13" fillId="5" borderId="6" xfId="0" applyFont="1" applyFill="1" applyBorder="1" applyAlignment="1">
      <alignment horizontal="left" vertical="center" wrapText="1"/>
    </xf>
    <xf numFmtId="0" fontId="10" fillId="5" borderId="8" xfId="0" applyFont="1" applyFill="1" applyBorder="1" applyAlignment="1">
      <alignment horizontal="center" vertical="center" textRotation="90" wrapText="1"/>
    </xf>
    <xf numFmtId="0" fontId="10" fillId="5" borderId="35" xfId="0" applyFont="1" applyFill="1" applyBorder="1" applyAlignment="1">
      <alignment horizontal="center" vertical="center" textRotation="90" wrapText="1"/>
    </xf>
    <xf numFmtId="0" fontId="10" fillId="5" borderId="12" xfId="0" applyFont="1" applyFill="1" applyBorder="1" applyAlignment="1">
      <alignment horizontal="center" vertical="center" textRotation="90" wrapText="1"/>
    </xf>
    <xf numFmtId="1" fontId="130" fillId="0" borderId="0" xfId="374" applyNumberFormat="1" applyFont="1" applyAlignment="1">
      <alignment horizontal="center"/>
    </xf>
    <xf numFmtId="0" fontId="59" fillId="4" borderId="23" xfId="374" applyFont="1" applyFill="1" applyBorder="1" applyAlignment="1">
      <alignment horizontal="center"/>
    </xf>
    <xf numFmtId="0" fontId="59" fillId="4" borderId="24" xfId="374" applyFont="1" applyFill="1" applyBorder="1" applyAlignment="1">
      <alignment horizontal="center"/>
    </xf>
    <xf numFmtId="0" fontId="59" fillId="4" borderId="25" xfId="374" applyFont="1" applyFill="1" applyBorder="1" applyAlignment="1">
      <alignment horizontal="center"/>
    </xf>
    <xf numFmtId="0" fontId="47" fillId="0" borderId="62" xfId="374" applyFont="1" applyBorder="1" applyAlignment="1">
      <alignment horizontal="left"/>
    </xf>
    <xf numFmtId="0" fontId="47" fillId="0" borderId="27" xfId="374" applyFont="1" applyBorder="1" applyAlignment="1">
      <alignment horizontal="left"/>
    </xf>
    <xf numFmtId="0" fontId="47" fillId="21" borderId="11" xfId="374" applyFont="1" applyFill="1" applyBorder="1" applyAlignment="1">
      <alignment horizontal="left"/>
    </xf>
    <xf numFmtId="0" fontId="47" fillId="21" borderId="38" xfId="374" applyFont="1" applyFill="1" applyBorder="1" applyAlignment="1">
      <alignment horizontal="left"/>
    </xf>
    <xf numFmtId="0" fontId="47" fillId="16" borderId="13" xfId="374" applyFont="1" applyFill="1" applyBorder="1" applyAlignment="1">
      <alignment horizontal="left"/>
    </xf>
    <xf numFmtId="0" fontId="47" fillId="16" borderId="5" xfId="374" applyFont="1" applyFill="1" applyBorder="1" applyAlignment="1">
      <alignment horizontal="left"/>
    </xf>
    <xf numFmtId="0" fontId="47" fillId="3" borderId="62" xfId="374" applyFont="1" applyFill="1" applyBorder="1" applyAlignment="1">
      <alignment horizontal="left"/>
    </xf>
    <xf numFmtId="0" fontId="47" fillId="3" borderId="27" xfId="374" applyFont="1" applyFill="1" applyBorder="1" applyAlignment="1">
      <alignment horizontal="left"/>
    </xf>
    <xf numFmtId="0" fontId="47" fillId="14" borderId="5" xfId="374" applyFont="1" applyFill="1" applyBorder="1" applyAlignment="1">
      <alignment horizontal="right"/>
    </xf>
    <xf numFmtId="0" fontId="47" fillId="14" borderId="40" xfId="374" applyFont="1" applyFill="1" applyBorder="1" applyAlignment="1">
      <alignment horizontal="right"/>
    </xf>
    <xf numFmtId="0" fontId="69" fillId="25" borderId="5" xfId="0" applyFont="1" applyFill="1" applyBorder="1" applyAlignment="1">
      <alignment horizontal="right"/>
    </xf>
    <xf numFmtId="0" fontId="69" fillId="25" borderId="47" xfId="0" applyFont="1" applyFill="1" applyBorder="1" applyAlignment="1">
      <alignment horizontal="right"/>
    </xf>
    <xf numFmtId="0" fontId="47" fillId="4" borderId="5" xfId="374" applyFont="1" applyFill="1" applyBorder="1" applyAlignment="1">
      <alignment horizontal="right"/>
    </xf>
    <xf numFmtId="0" fontId="89" fillId="31" borderId="13" xfId="0" applyFont="1" applyFill="1" applyBorder="1" applyAlignment="1">
      <alignment horizontal="center"/>
    </xf>
    <xf numFmtId="0" fontId="89" fillId="31" borderId="5" xfId="0" applyFont="1" applyFill="1" applyBorder="1" applyAlignment="1">
      <alignment horizontal="center"/>
    </xf>
    <xf numFmtId="0" fontId="87" fillId="31" borderId="11" xfId="0" applyFont="1" applyFill="1" applyBorder="1" applyAlignment="1">
      <alignment horizontal="center"/>
    </xf>
    <xf numFmtId="0" fontId="87" fillId="31" borderId="38" xfId="0" applyFont="1" applyFill="1" applyBorder="1" applyAlignment="1">
      <alignment horizontal="center"/>
    </xf>
    <xf numFmtId="0" fontId="87" fillId="31" borderId="39" xfId="0" applyFont="1" applyFill="1" applyBorder="1" applyAlignment="1">
      <alignment horizontal="center"/>
    </xf>
    <xf numFmtId="175" fontId="89" fillId="31" borderId="5" xfId="0" applyNumberFormat="1" applyFont="1" applyFill="1" applyBorder="1" applyAlignment="1">
      <alignment horizontal="center"/>
    </xf>
    <xf numFmtId="175" fontId="89" fillId="31" borderId="40" xfId="0" applyNumberFormat="1" applyFont="1" applyFill="1" applyBorder="1" applyAlignment="1">
      <alignment horizontal="center"/>
    </xf>
    <xf numFmtId="0" fontId="23" fillId="0" borderId="11" xfId="372" applyFont="1" applyBorder="1" applyAlignment="1">
      <alignment horizontal="center"/>
    </xf>
    <xf numFmtId="0" fontId="23" fillId="0" borderId="38" xfId="372" applyFont="1" applyBorder="1" applyAlignment="1">
      <alignment horizontal="center"/>
    </xf>
    <xf numFmtId="0" fontId="23" fillId="0" borderId="39" xfId="372" applyFont="1" applyBorder="1" applyAlignment="1">
      <alignment horizontal="center"/>
    </xf>
  </cellXfs>
  <cellStyles count="540">
    <cellStyle name="12" xfId="375" xr:uid="{00000000-0005-0000-0000-000000000000}"/>
    <cellStyle name="14" xfId="376" xr:uid="{00000000-0005-0000-0000-000001000000}"/>
    <cellStyle name="9" xfId="377" xr:uid="{00000000-0005-0000-0000-000002000000}"/>
    <cellStyle name="9 2" xfId="538" xr:uid="{D414E0D3-E403-2049-ABCF-02C17D11F59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6" builtinId="9" hidden="1"/>
    <cellStyle name="Besøgt link" xfId="38" builtinId="9" hidden="1"/>
    <cellStyle name="Besøgt link" xfId="40" builtinId="9" hidden="1"/>
    <cellStyle name="Besøgt link" xfId="42" builtinId="9" hidden="1"/>
    <cellStyle name="Besøgt link" xfId="44" builtinId="9" hidden="1"/>
    <cellStyle name="Besøgt link" xfId="46" builtinId="9" hidden="1"/>
    <cellStyle name="Besøgt link" xfId="48" builtinId="9" hidden="1"/>
    <cellStyle name="Besøgt link" xfId="50" builtinId="9" hidden="1"/>
    <cellStyle name="Besøgt link" xfId="52" builtinId="9" hidden="1"/>
    <cellStyle name="Besøgt link" xfId="54" builtinId="9" hidden="1"/>
    <cellStyle name="Besøgt link" xfId="56" builtinId="9" hidden="1"/>
    <cellStyle name="Besøgt link" xfId="58" builtinId="9" hidden="1"/>
    <cellStyle name="Besøgt link" xfId="60" builtinId="9" hidden="1"/>
    <cellStyle name="Besøgt link" xfId="62" builtinId="9" hidden="1"/>
    <cellStyle name="Besøgt link" xfId="64" builtinId="9" hidden="1"/>
    <cellStyle name="Besøgt link" xfId="66" builtinId="9" hidden="1"/>
    <cellStyle name="Besøgt link" xfId="68" builtinId="9" hidden="1"/>
    <cellStyle name="Besøgt link" xfId="70" builtinId="9" hidden="1"/>
    <cellStyle name="Besøgt link" xfId="72" builtinId="9" hidden="1"/>
    <cellStyle name="Besøgt link" xfId="74" builtinId="9" hidden="1"/>
    <cellStyle name="Besøgt link" xfId="76" builtinId="9" hidden="1"/>
    <cellStyle name="Besøgt link" xfId="78" builtinId="9" hidden="1"/>
    <cellStyle name="Besøgt link" xfId="80"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5" builtinId="9" hidden="1"/>
    <cellStyle name="Besøgt link" xfId="347" builtinId="9" hidden="1"/>
    <cellStyle name="Besøgt link" xfId="349" builtinId="9" hidden="1"/>
    <cellStyle name="Besøgt link" xfId="351" builtinId="9" hidden="1"/>
    <cellStyle name="Besøgt link" xfId="353" builtinId="9" hidden="1"/>
    <cellStyle name="Besøgt link" xfId="355" builtinId="9" hidden="1"/>
    <cellStyle name="Besøgt link" xfId="357" builtinId="9" hidden="1"/>
    <cellStyle name="Besøgt link" xfId="359" builtinId="9" hidden="1"/>
    <cellStyle name="Besøgt link" xfId="361" builtinId="9" hidden="1"/>
    <cellStyle name="Besøgt link" xfId="363" builtinId="9" hidden="1"/>
    <cellStyle name="Besøgt link" xfId="365" builtinId="9" hidden="1"/>
    <cellStyle name="Besøgt link" xfId="367" builtinId="9" hidden="1"/>
    <cellStyle name="Besøgt link" xfId="369" builtinId="9" hidden="1"/>
    <cellStyle name="Besøgt link" xfId="371"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7" builtinId="9" hidden="1"/>
    <cellStyle name="Besøgt link" xfId="509" builtinId="9" hidden="1"/>
    <cellStyle name="Besøgt link" xfId="511" builtinId="9" hidden="1"/>
    <cellStyle name="Besøgt link" xfId="513" builtinId="9" hidden="1"/>
    <cellStyle name="Besøgt link" xfId="515" builtinId="9" hidden="1"/>
    <cellStyle name="Besøgt link" xfId="517" builtinId="9" hidden="1"/>
    <cellStyle name="Besøgt link" xfId="519" builtinId="9" hidden="1"/>
    <cellStyle name="Besøgt link" xfId="521" builtinId="9" hidden="1"/>
    <cellStyle name="Besøgt link" xfId="523" builtinId="9" hidden="1"/>
    <cellStyle name="Besøgt link" xfId="525" builtinId="9" hidden="1"/>
    <cellStyle name="Besøgt link" xfId="527" builtinId="9" hidden="1"/>
    <cellStyle name="Besøgt link" xfId="529" builtinId="9" hidden="1"/>
    <cellStyle name="Besøgt link" xfId="531" builtinId="9" hidden="1"/>
    <cellStyle name="Besøgt link" xfId="533" builtinId="9" hidden="1"/>
    <cellStyle name="Besøgt link" xfId="535" builtinId="9" hidden="1"/>
    <cellStyle name="Besøgt link" xfId="537" builtinId="9" hidden="1"/>
    <cellStyle name="Chicago" xfId="378" xr:uid="{00000000-0005-0000-0000-000003010000}"/>
    <cellStyle name="Comma [0]_Halvårskalender 1999/00" xfId="379" xr:uid="{00000000-0005-0000-0000-000004010000}"/>
    <cellStyle name="Comma_Halvårskalender 1999/00" xfId="380" xr:uid="{00000000-0005-0000-0000-000005010000}"/>
    <cellStyle name="courier" xfId="381" xr:uid="{00000000-0005-0000-0000-000006010000}"/>
    <cellStyle name="Currency [0]_Halvårskalender 1999/00" xfId="382" xr:uid="{00000000-0005-0000-0000-000007010000}"/>
    <cellStyle name="Currency_Halvårskalender 1999/00" xfId="383" xr:uid="{00000000-0005-0000-0000-000008010000}"/>
    <cellStyle name="Followed Hyperlink" xfId="384" xr:uid="{00000000-0005-0000-0000-000009010000}"/>
    <cellStyle name="Komma" xfId="343" builtinId="3"/>
    <cellStyle name="komma0" xfId="385" xr:uid="{00000000-0005-0000-0000-00000B020000}"/>
    <cellStyle name="komma1" xfId="386" xr:uid="{00000000-0005-0000-0000-00000C020000}"/>
    <cellStyle name="komma2" xfId="387" xr:uid="{00000000-0005-0000-0000-00000D020000}"/>
    <cellStyle name="komma4" xfId="388" xr:uid="{00000000-0005-0000-0000-00000E020000}"/>
    <cellStyle name="kr" xfId="389" xr:uid="{00000000-0005-0000-0000-00000F02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5" builtinId="8" hidden="1"/>
    <cellStyle name="Link" xfId="37" builtinId="8" hidden="1"/>
    <cellStyle name="Link" xfId="39" builtinId="8" hidden="1"/>
    <cellStyle name="Link" xfId="41" builtinId="8" hidden="1"/>
    <cellStyle name="Link" xfId="43" builtinId="8" hidden="1"/>
    <cellStyle name="Link" xfId="45" builtinId="8" hidden="1"/>
    <cellStyle name="Link" xfId="47" builtinId="8" hidden="1"/>
    <cellStyle name="Link" xfId="49" builtinId="8" hidden="1"/>
    <cellStyle name="Link" xfId="51" builtinId="8" hidden="1"/>
    <cellStyle name="Link" xfId="53" builtinId="8" hidden="1"/>
    <cellStyle name="Link" xfId="55" builtinId="8" hidden="1"/>
    <cellStyle name="Link" xfId="57" builtinId="8" hidden="1"/>
    <cellStyle name="Link" xfId="59" builtinId="8" hidden="1"/>
    <cellStyle name="Link" xfId="61" builtinId="8" hidden="1"/>
    <cellStyle name="Link" xfId="63" builtinId="8" hidden="1"/>
    <cellStyle name="Link" xfId="65" builtinId="8" hidden="1"/>
    <cellStyle name="Link" xfId="67" builtinId="8" hidden="1"/>
    <cellStyle name="Link" xfId="69" builtinId="8" hidden="1"/>
    <cellStyle name="Link" xfId="71" builtinId="8" hidden="1"/>
    <cellStyle name="Link" xfId="73" builtinId="8" hidden="1"/>
    <cellStyle name="Link" xfId="75" builtinId="8" hidden="1"/>
    <cellStyle name="Link" xfId="77" builtinId="8" hidden="1"/>
    <cellStyle name="Link" xfId="79"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4" builtinId="8" hidden="1"/>
    <cellStyle name="Link" xfId="346" builtinId="8" hidden="1"/>
    <cellStyle name="Link" xfId="348" builtinId="8" hidden="1"/>
    <cellStyle name="Link" xfId="350" builtinId="8" hidden="1"/>
    <cellStyle name="Link" xfId="352" builtinId="8" hidden="1"/>
    <cellStyle name="Link" xfId="354" builtinId="8" hidden="1"/>
    <cellStyle name="Link" xfId="356" builtinId="8" hidden="1"/>
    <cellStyle name="Link" xfId="358" builtinId="8" hidden="1"/>
    <cellStyle name="Link" xfId="360" builtinId="8" hidden="1"/>
    <cellStyle name="Link" xfId="362" builtinId="8" hidden="1"/>
    <cellStyle name="Link" xfId="364" builtinId="8" hidden="1"/>
    <cellStyle name="Link" xfId="366" builtinId="8" hidden="1"/>
    <cellStyle name="Link" xfId="368" builtinId="8" hidden="1"/>
    <cellStyle name="Link" xfId="370"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6" builtinId="8" hidden="1"/>
    <cellStyle name="Link" xfId="508" builtinId="8" hidden="1"/>
    <cellStyle name="Link" xfId="510" builtinId="8" hidden="1"/>
    <cellStyle name="Link" xfId="512" builtinId="8" hidden="1"/>
    <cellStyle name="Link" xfId="514" builtinId="8" hidden="1"/>
    <cellStyle name="Link" xfId="516" builtinId="8" hidden="1"/>
    <cellStyle name="Link" xfId="518" builtinId="8" hidden="1"/>
    <cellStyle name="Link" xfId="520" builtinId="8" hidden="1"/>
    <cellStyle name="Link" xfId="522" builtinId="8" hidden="1"/>
    <cellStyle name="Link" xfId="524" builtinId="8" hidden="1"/>
    <cellStyle name="Link" xfId="526" builtinId="8" hidden="1"/>
    <cellStyle name="Link" xfId="528" builtinId="8" hidden="1"/>
    <cellStyle name="Link" xfId="530" builtinId="8" hidden="1"/>
    <cellStyle name="Link" xfId="532" builtinId="8" hidden="1"/>
    <cellStyle name="Link" xfId="534" builtinId="8" hidden="1"/>
    <cellStyle name="Link" xfId="536" builtinId="8" hidden="1"/>
    <cellStyle name="Link" xfId="539" builtinId="8"/>
    <cellStyle name="Normal" xfId="0" builtinId="0"/>
    <cellStyle name="Normal 2" xfId="372" xr:uid="{00000000-0005-0000-0000-000011020000}"/>
    <cellStyle name="Normal_Halvårskalender 1999/00" xfId="373" xr:uid="{00000000-0005-0000-0000-000012020000}"/>
    <cellStyle name="Normal_Vejledning98" xfId="505" xr:uid="{00000000-0005-0000-0000-000013020000}"/>
    <cellStyle name="Normal_År" xfId="374" xr:uid="{00000000-0005-0000-0000-000014020000}"/>
    <cellStyle name="prc0" xfId="390" xr:uid="{00000000-0005-0000-0000-000015020000}"/>
    <cellStyle name="prc1" xfId="391" xr:uid="{00000000-0005-0000-0000-000016020000}"/>
    <cellStyle name="prc2" xfId="392" xr:uid="{00000000-0005-0000-0000-000017020000}"/>
    <cellStyle name="skkode" xfId="393" xr:uid="{00000000-0005-0000-0000-000018020000}"/>
    <cellStyle name="skygget" xfId="394" xr:uid="{00000000-0005-0000-0000-000019020000}"/>
  </cellStyles>
  <dxfs count="981">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0"/>
      </font>
      <fill>
        <patternFill>
          <bgColor theme="1"/>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5" tint="0.59996337778862885"/>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5" tint="0.79998168889431442"/>
        </patternFill>
      </fill>
    </dxf>
    <dxf>
      <font>
        <color theme="0"/>
      </font>
      <fill>
        <patternFill>
          <bgColor theme="1"/>
        </patternFill>
      </fill>
    </dxf>
    <dxf>
      <font>
        <color theme="1"/>
      </font>
      <fill>
        <patternFill>
          <bgColor theme="7" tint="0.39994506668294322"/>
        </patternFill>
      </fill>
    </dxf>
    <dxf>
      <font>
        <color theme="0"/>
      </font>
      <fill>
        <patternFill patternType="solid">
          <bgColor theme="6" tint="-0.24994659260841701"/>
        </patternFill>
      </fill>
    </dxf>
    <dxf>
      <font>
        <color theme="0"/>
      </font>
      <fill>
        <patternFill>
          <bgColor theme="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9" tint="0.59996337778862885"/>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5" tint="0.79998168889431442"/>
        </patternFill>
      </fill>
    </dxf>
    <dxf>
      <font>
        <color theme="1"/>
      </font>
      <fill>
        <patternFill>
          <bgColor theme="7" tint="0.39994506668294322"/>
        </patternFill>
      </fill>
    </dxf>
    <dxf>
      <font>
        <color theme="0"/>
      </font>
      <fill>
        <patternFill patternType="solid">
          <bgColor theme="6" tint="-0.24994659260841701"/>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0"/>
      </font>
      <fill>
        <patternFill>
          <bgColor theme="1"/>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5" tint="0.59996337778862885"/>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5" tint="0.79998168889431442"/>
        </patternFill>
      </fill>
    </dxf>
    <dxf>
      <font>
        <color theme="0"/>
      </font>
      <fill>
        <patternFill>
          <bgColor theme="1"/>
        </patternFill>
      </fill>
    </dxf>
    <dxf>
      <font>
        <color theme="1"/>
      </font>
      <fill>
        <patternFill>
          <bgColor theme="7" tint="0.39994506668294322"/>
        </patternFill>
      </fill>
    </dxf>
    <dxf>
      <font>
        <color theme="0"/>
      </font>
      <fill>
        <patternFill patternType="solid">
          <bgColor theme="6" tint="-0.24994659260841701"/>
        </patternFill>
      </fill>
    </dxf>
    <dxf>
      <font>
        <color theme="0"/>
      </font>
      <fill>
        <patternFill>
          <bgColor theme="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9" tint="0.59996337778862885"/>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5" tint="0.79998168889431442"/>
        </patternFill>
      </fill>
    </dxf>
    <dxf>
      <font>
        <color theme="1"/>
      </font>
      <fill>
        <patternFill>
          <bgColor theme="7" tint="0.39994506668294322"/>
        </patternFill>
      </fill>
    </dxf>
    <dxf>
      <font>
        <color theme="0"/>
      </font>
      <fill>
        <patternFill patternType="solid">
          <bgColor theme="6" tint="-0.24994659260841701"/>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5" tint="0.59996337778862885"/>
        </patternFill>
      </fill>
    </dxf>
    <dxf>
      <font>
        <color theme="0"/>
      </font>
      <fill>
        <patternFill>
          <bgColor theme="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bgColor theme="5" tint="0.59996337778862885"/>
        </patternFill>
      </fill>
    </dxf>
    <dxf>
      <font>
        <color theme="1"/>
      </font>
      <fill>
        <patternFill patternType="solid">
          <fgColor indexed="64"/>
          <bgColor theme="4" tint="0.79998168889431442"/>
        </patternFill>
      </fill>
    </dxf>
    <dxf>
      <font>
        <color theme="1"/>
      </font>
      <fill>
        <patternFill>
          <bgColor theme="8" tint="0.59996337778862885"/>
        </patternFill>
      </fill>
    </dxf>
    <dxf>
      <font>
        <color theme="0"/>
      </font>
      <fill>
        <patternFill patternType="solid">
          <fgColor indexed="64"/>
          <bgColor theme="6" tint="-0.2499465926084170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9" tint="0.59996337778862885"/>
        </patternFill>
      </fill>
    </dxf>
    <dxf>
      <font>
        <color theme="1"/>
      </font>
      <fill>
        <patternFill>
          <bgColor theme="0" tint="-0.1499679555650502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0"/>
      </font>
      <fill>
        <patternFill patternType="solid">
          <bgColor theme="6" tint="-0.24994659260841701"/>
        </patternFill>
      </fill>
    </dxf>
    <dxf>
      <font>
        <color theme="1"/>
      </font>
      <fill>
        <patternFill>
          <bgColor theme="6" tint="0.39994506668294322"/>
        </patternFill>
      </fill>
    </dxf>
    <dxf>
      <font>
        <color theme="0"/>
      </font>
      <fill>
        <patternFill>
          <bgColor theme="1"/>
        </patternFill>
      </fill>
    </dxf>
    <dxf>
      <font>
        <color theme="1"/>
      </font>
      <fill>
        <patternFill>
          <bgColor theme="5" tint="0.59996337778862885"/>
        </patternFill>
      </fill>
    </dxf>
    <dxf>
      <font>
        <color theme="1"/>
      </font>
      <fill>
        <patternFill patternType="solid">
          <fgColor indexed="64"/>
          <bgColor theme="4" tint="0.79998168889431442"/>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0"/>
      </font>
      <fill>
        <patternFill patternType="solid">
          <fgColor auto="1"/>
          <bgColor theme="6" tint="-0.2499465926084170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theme="8" tint="0.59996337778862885"/>
        </patternFill>
      </fill>
    </dxf>
    <dxf>
      <font>
        <color theme="1"/>
      </font>
      <fill>
        <patternFill>
          <bgColor theme="4" tint="0.3999450666829432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FF00"/>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9" tint="0.79998168889431442"/>
        </patternFill>
      </fill>
    </dxf>
    <dxf>
      <font>
        <color theme="1"/>
      </font>
      <fill>
        <patternFill>
          <bgColor rgb="FFFF2F8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fgColor auto="1"/>
          <bgColor theme="4" tint="0.59996337778862885"/>
        </patternFill>
      </fill>
    </dxf>
    <dxf>
      <font>
        <color theme="1"/>
      </font>
      <fill>
        <patternFill>
          <bgColor theme="4" tint="0.79998168889431442"/>
        </patternFill>
      </fill>
    </dxf>
    <dxf>
      <font>
        <color theme="0"/>
      </font>
      <fill>
        <patternFill>
          <bgColor theme="1"/>
        </patternFill>
      </fill>
    </dxf>
    <dxf>
      <font>
        <color theme="0"/>
      </font>
      <fill>
        <patternFill>
          <bgColor theme="6" tint="-0.24994659260841701"/>
        </patternFill>
      </fill>
    </dxf>
    <dxf>
      <font>
        <color theme="1"/>
      </font>
      <fill>
        <patternFill>
          <bgColor theme="7" tint="0.59996337778862885"/>
        </patternFill>
      </fill>
    </dxf>
    <dxf>
      <font>
        <color theme="1"/>
      </font>
      <fill>
        <patternFill>
          <bgColor rgb="FFFF2F82"/>
        </patternFill>
      </fill>
    </dxf>
    <dxf>
      <font>
        <color theme="1"/>
      </font>
      <fill>
        <patternFill patternType="solid">
          <bgColor theme="4" tint="0.7999816888943144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0"/>
      </font>
      <fill>
        <patternFill patternType="solid">
          <bgColor theme="4" tint="-0.24994659260841701"/>
        </patternFill>
      </fill>
    </dxf>
    <dxf>
      <font>
        <color theme="1"/>
      </font>
      <fill>
        <patternFill>
          <bgColor theme="7" tint="0.39994506668294322"/>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0"/>
      </font>
      <fill>
        <patternFill patternType="solid">
          <bgColor theme="6" tint="-0.24994659260841701"/>
        </patternFill>
      </fill>
    </dxf>
    <dxf>
      <font>
        <color theme="1"/>
      </font>
      <fill>
        <patternFill>
          <bgColor theme="5" tint="0.79998168889431442"/>
        </patternFill>
      </fill>
    </dxf>
    <dxf>
      <font>
        <color theme="0"/>
      </font>
      <fill>
        <patternFill>
          <bgColor theme="1"/>
        </patternFill>
      </fill>
    </dxf>
    <dxf>
      <font>
        <color theme="1"/>
      </font>
      <fill>
        <patternFill>
          <bgColor theme="9" tint="0.59996337778862885"/>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patternType="solid">
          <fgColor indexed="64"/>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1"/>
      </font>
      <fill>
        <patternFill>
          <bgColor rgb="FFFF2F82"/>
        </patternFill>
      </fill>
    </dxf>
    <dxf>
      <font>
        <color theme="0"/>
      </font>
      <fill>
        <patternFill patternType="solid">
          <fgColor indexed="64"/>
          <bgColor theme="6" tint="-0.24994659260841701"/>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0" tint="-0.14996795556505021"/>
        </patternFill>
      </fill>
    </dxf>
    <dxf>
      <font>
        <color theme="1"/>
      </font>
      <fill>
        <patternFill>
          <bgColor theme="6" tint="0.39994506668294322"/>
        </patternFill>
      </fill>
    </dxf>
    <dxf>
      <font>
        <color theme="0"/>
      </font>
      <fill>
        <patternFill>
          <bgColor theme="1"/>
        </patternFill>
      </fill>
    </dxf>
    <dxf>
      <font>
        <color theme="1"/>
      </font>
      <fill>
        <patternFill>
          <bgColor theme="5" tint="0.59996337778862885"/>
        </patternFill>
      </fill>
    </dxf>
    <dxf>
      <font>
        <color theme="1"/>
      </font>
      <fill>
        <patternFill>
          <bgColor rgb="FFFF2F8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9" tint="0.59996337778862885"/>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bgColor theme="5" tint="0.79998168889431442"/>
        </patternFill>
      </fill>
    </dxf>
    <dxf>
      <font>
        <color theme="1"/>
      </font>
      <fill>
        <patternFill>
          <bgColor theme="6" tint="0.39994506668294322"/>
        </patternFill>
      </fill>
    </dxf>
    <dxf>
      <font>
        <color theme="0"/>
      </font>
      <fill>
        <patternFill patternType="solid">
          <bgColor theme="4" tint="-0.24994659260841701"/>
        </patternFill>
      </fill>
    </dxf>
    <dxf>
      <font>
        <color theme="1"/>
      </font>
      <fill>
        <patternFill>
          <bgColor theme="0" tint="-0.14996795556505021"/>
        </patternFill>
      </fill>
    </dxf>
    <dxf>
      <font>
        <color theme="0"/>
      </font>
      <fill>
        <patternFill>
          <bgColor theme="1"/>
        </patternFill>
      </fill>
    </dxf>
    <dxf>
      <font>
        <color theme="1"/>
      </font>
      <fill>
        <patternFill>
          <bgColor theme="7" tint="0.39994506668294322"/>
        </patternFill>
      </fill>
    </dxf>
    <dxf>
      <font>
        <color theme="1"/>
      </font>
      <fill>
        <patternFill>
          <bgColor rgb="FFFFFF00"/>
        </patternFill>
      </fill>
    </dxf>
    <dxf>
      <font>
        <color theme="0"/>
      </font>
      <fill>
        <patternFill>
          <bgColor theme="1"/>
        </patternFill>
      </fill>
    </dxf>
    <dxf>
      <font>
        <color theme="0"/>
      </font>
      <fill>
        <patternFill patternType="solid">
          <bgColor theme="4" tint="-0.24994659260841701"/>
        </patternFill>
      </fill>
    </dxf>
    <dxf>
      <font>
        <color theme="0"/>
      </font>
      <fill>
        <patternFill patternType="solid">
          <bgColor theme="6"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24994659260841701"/>
        </patternFill>
      </fill>
    </dxf>
    <dxf>
      <font>
        <color theme="0"/>
      </font>
      <fill>
        <patternFill patternType="solid">
          <bgColor theme="4" tint="0.39994506668294322"/>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0"/>
      </font>
      <fill>
        <patternFill patternType="solid">
          <bgColor theme="6" tint="-0.24994659260841701"/>
        </patternFill>
      </fill>
    </dxf>
    <dxf>
      <font>
        <color theme="0"/>
      </font>
      <fill>
        <patternFill>
          <bgColor theme="1"/>
        </patternFill>
      </fill>
    </dxf>
    <dxf>
      <font>
        <color theme="1"/>
      </font>
      <fill>
        <patternFill>
          <bgColor theme="0" tint="-0.14996795556505021"/>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0"/>
      </font>
      <fill>
        <patternFill>
          <bgColor theme="1"/>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5" tint="0.79998168889431442"/>
        </patternFill>
      </fill>
    </dxf>
    <dxf>
      <font>
        <color theme="1"/>
      </font>
      <fill>
        <patternFill>
          <bgColor rgb="FFFFFF00"/>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0"/>
      </font>
      <fill>
        <patternFill patternType="solid">
          <bgColor theme="6" tint="-0.24994659260841701"/>
        </patternFill>
      </fill>
    </dxf>
    <dxf>
      <font>
        <color theme="1"/>
      </font>
      <fill>
        <patternFill>
          <bgColor rgb="FFFF2F82"/>
        </patternFill>
      </fill>
    </dxf>
    <dxf>
      <font>
        <color theme="0"/>
      </font>
      <fill>
        <patternFill>
          <bgColor theme="1"/>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1"/>
      </font>
      <fill>
        <patternFill>
          <bgColor theme="0" tint="-0.14996795556505021"/>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5" tint="0.79998168889431442"/>
        </patternFill>
      </fill>
    </dxf>
    <dxf>
      <fill>
        <patternFill>
          <bgColor rgb="FFFFFF0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9C0006"/>
      </font>
      <fill>
        <patternFill>
          <bgColor rgb="FFFFC7CE"/>
        </patternFill>
      </fill>
    </dxf>
    <dxf>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patternType="none">
          <bgColor auto="1"/>
        </patternFill>
      </fill>
    </dxf>
    <dxf>
      <font>
        <color theme="1"/>
      </font>
      <fill>
        <patternFill>
          <bgColor theme="0" tint="-0.14996795556505021"/>
        </patternFill>
      </fill>
    </dxf>
    <dxf>
      <font>
        <color theme="0"/>
      </font>
      <fill>
        <patternFill>
          <bgColor theme="1"/>
        </patternFill>
      </fill>
    </dxf>
    <dxf>
      <font>
        <color theme="1"/>
      </font>
      <fill>
        <patternFill patternType="none">
          <bgColor auto="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1"/>
      </font>
      <fill>
        <patternFill>
          <bgColor theme="0" tint="-0.14996795556505021"/>
        </patternFill>
      </fill>
    </dxf>
    <dxf>
      <font>
        <color theme="1"/>
      </font>
      <fill>
        <patternFill patternType="none">
          <bgColor auto="1"/>
        </patternFill>
      </fill>
    </dxf>
    <dxf>
      <font>
        <color theme="0"/>
      </font>
      <fill>
        <patternFill>
          <bgColor theme="1"/>
        </patternFill>
      </fill>
    </dxf>
    <dxf>
      <font>
        <color theme="1"/>
      </font>
      <fill>
        <patternFill>
          <bgColor rgb="FFFFFF00"/>
        </patternFill>
      </fill>
    </dxf>
    <dxf>
      <font>
        <color theme="1"/>
      </font>
      <fill>
        <patternFill>
          <bgColor theme="8" tint="0.59996337778862885"/>
        </patternFill>
      </fill>
    </dxf>
    <dxf>
      <font>
        <color theme="1"/>
      </font>
      <fill>
        <patternFill>
          <bgColor theme="7" tint="0.3999450666829432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rgb="FFFF2F82"/>
        </patternFill>
      </fill>
    </dxf>
    <dxf>
      <font>
        <color theme="1"/>
      </font>
      <fill>
        <patternFill>
          <bgColor theme="6" tint="0.39994506668294322"/>
        </patternFill>
      </fill>
    </dxf>
    <dxf>
      <font>
        <color theme="1"/>
      </font>
      <fill>
        <patternFill>
          <bgColor theme="3" tint="0.59996337778862885"/>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0"/>
      </font>
      <fill>
        <patternFill>
          <bgColor theme="6" tint="-0.24994659260841701"/>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rgb="FFFFFF00"/>
        </patternFill>
      </fill>
    </dxf>
    <dxf>
      <font>
        <color theme="1"/>
      </font>
      <fill>
        <patternFill patternType="none">
          <bgColor auto="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none">
          <bgColor auto="1"/>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5" tint="0.59996337778862885"/>
        </patternFill>
      </fill>
    </dxf>
    <dxf>
      <font>
        <color theme="1"/>
      </font>
      <fill>
        <patternFill>
          <bgColor theme="4" tint="0.79998168889431442"/>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none">
          <bgColor auto="1"/>
        </patternFill>
      </fill>
    </dxf>
    <dxf>
      <font>
        <color theme="1"/>
      </font>
      <fill>
        <patternFill>
          <bgColor theme="4" tint="0.79998168889431442"/>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4" tint="0.79998168889431442"/>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4" tint="0.79998168889431442"/>
        </patternFill>
      </fill>
    </dxf>
    <dxf>
      <font>
        <color theme="1"/>
      </font>
      <fill>
        <patternFill patternType="none">
          <bgColor auto="1"/>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none">
          <bgColor auto="1"/>
        </patternFill>
      </fill>
    </dxf>
    <dxf>
      <font>
        <color theme="0"/>
      </font>
      <fill>
        <patternFill>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4" tint="0.79998168889431442"/>
        </patternFill>
      </fill>
    </dxf>
    <dxf>
      <font>
        <color theme="1"/>
      </font>
      <fill>
        <patternFill>
          <bgColor theme="0" tint="-0.14996795556505021"/>
        </patternFill>
      </fill>
    </dxf>
    <dxf>
      <font>
        <color theme="1"/>
      </font>
      <fill>
        <patternFill patternType="none">
          <bgColor auto="1"/>
        </patternFill>
      </fill>
    </dxf>
    <dxf>
      <font>
        <color theme="0"/>
      </font>
      <fill>
        <patternFill>
          <bgColor theme="1"/>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ont>
        <color rgb="FF9C5700"/>
      </font>
      <fill>
        <patternFill>
          <bgColor rgb="FFFFEB9C"/>
        </patternFill>
      </fill>
    </dxf>
    <dxf>
      <fill>
        <patternFill>
          <bgColor theme="6"/>
        </patternFill>
      </fill>
    </dxf>
    <dxf>
      <fill>
        <patternFill>
          <bgColor theme="6"/>
        </patternFill>
      </fill>
    </dxf>
    <dxf>
      <font>
        <color rgb="FF9C5700"/>
      </font>
      <fill>
        <patternFill>
          <bgColor rgb="FFFFEB9C"/>
        </patternFill>
      </fill>
    </dxf>
    <dxf>
      <font>
        <color rgb="FF9C5700"/>
      </font>
      <fill>
        <patternFill>
          <bgColor rgb="FFFFEB9C"/>
        </patternFill>
      </fill>
    </dxf>
    <dxf>
      <fill>
        <patternFill>
          <bgColor theme="6"/>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ont>
        <color rgb="FF9C5700"/>
      </font>
      <fill>
        <patternFill>
          <bgColor rgb="FFFFEB9C"/>
        </patternFill>
      </fill>
    </dxf>
    <dxf>
      <fill>
        <patternFill>
          <bgColor theme="6"/>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rgb="FFFFFF00"/>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fgColor auto="1"/>
          <bgColor rgb="FFFFFF00"/>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theme="1"/>
        </patternFill>
      </fill>
    </dxf>
  </dxfs>
  <tableStyles count="0" defaultTableStyle="TableStyleMedium9" defaultPivotStyle="PivotStyleMedium4"/>
  <colors>
    <mruColors>
      <color rgb="FFF6FF78"/>
      <color rgb="FFFF2F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emf"/></Relationships>
</file>

<file path=xl/drawings/_rels/drawing2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108548</xdr:colOff>
      <xdr:row>21</xdr:row>
      <xdr:rowOff>67106</xdr:rowOff>
    </xdr:from>
    <xdr:to>
      <xdr:col>0</xdr:col>
      <xdr:colOff>694702</xdr:colOff>
      <xdr:row>22</xdr:row>
      <xdr:rowOff>8373</xdr:rowOff>
    </xdr:to>
    <xdr:pic>
      <xdr:nvPicPr>
        <xdr:cNvPr id="2" name="Billede 1">
          <a:extLst>
            <a:ext uri="{FF2B5EF4-FFF2-40B4-BE49-F238E27FC236}">
              <a16:creationId xmlns:a16="http://schemas.microsoft.com/office/drawing/2014/main" id="{64A50081-8565-084C-A798-17934AC7985B}"/>
            </a:ext>
          </a:extLst>
        </xdr:cNvPr>
        <xdr:cNvPicPr>
          <a:picLocks noChangeAspect="1"/>
        </xdr:cNvPicPr>
      </xdr:nvPicPr>
      <xdr:blipFill>
        <a:blip xmlns:r="http://schemas.openxmlformats.org/officeDocument/2006/relationships" r:embed="rId1"/>
        <a:stretch>
          <a:fillRect/>
        </a:stretch>
      </xdr:blipFill>
      <xdr:spPr>
        <a:xfrm>
          <a:off x="108548" y="3323516"/>
          <a:ext cx="586154" cy="364602"/>
        </a:xfrm>
        <a:prstGeom prst="rect">
          <a:avLst/>
        </a:prstGeom>
      </xdr:spPr>
    </xdr:pic>
    <xdr:clientData/>
  </xdr:twoCellAnchor>
  <xdr:twoCellAnchor editAs="oneCell">
    <xdr:from>
      <xdr:col>0</xdr:col>
      <xdr:colOff>108548</xdr:colOff>
      <xdr:row>20</xdr:row>
      <xdr:rowOff>32563</xdr:rowOff>
    </xdr:from>
    <xdr:to>
      <xdr:col>0</xdr:col>
      <xdr:colOff>694702</xdr:colOff>
      <xdr:row>20</xdr:row>
      <xdr:rowOff>397165</xdr:rowOff>
    </xdr:to>
    <xdr:pic>
      <xdr:nvPicPr>
        <xdr:cNvPr id="3" name="Billede 2">
          <a:extLst>
            <a:ext uri="{FF2B5EF4-FFF2-40B4-BE49-F238E27FC236}">
              <a16:creationId xmlns:a16="http://schemas.microsoft.com/office/drawing/2014/main" id="{5B8EDEFA-548B-6049-B454-3F4ED9B274EB}"/>
            </a:ext>
          </a:extLst>
        </xdr:cNvPr>
        <xdr:cNvPicPr>
          <a:picLocks noChangeAspect="1"/>
        </xdr:cNvPicPr>
      </xdr:nvPicPr>
      <xdr:blipFill>
        <a:blip xmlns:r="http://schemas.openxmlformats.org/officeDocument/2006/relationships" r:embed="rId1"/>
        <a:stretch>
          <a:fillRect/>
        </a:stretch>
      </xdr:blipFill>
      <xdr:spPr>
        <a:xfrm>
          <a:off x="108548" y="2865640"/>
          <a:ext cx="586154" cy="364602"/>
        </a:xfrm>
        <a:prstGeom prst="rect">
          <a:avLst/>
        </a:prstGeom>
      </xdr:spPr>
    </xdr:pic>
    <xdr:clientData/>
  </xdr:twoCellAnchor>
  <xdr:twoCellAnchor editAs="oneCell">
    <xdr:from>
      <xdr:col>0</xdr:col>
      <xdr:colOff>0</xdr:colOff>
      <xdr:row>35</xdr:row>
      <xdr:rowOff>54273</xdr:rowOff>
    </xdr:from>
    <xdr:to>
      <xdr:col>0</xdr:col>
      <xdr:colOff>769337</xdr:colOff>
      <xdr:row>37</xdr:row>
      <xdr:rowOff>206239</xdr:rowOff>
    </xdr:to>
    <xdr:pic>
      <xdr:nvPicPr>
        <xdr:cNvPr id="5" name="Billede 4">
          <a:extLst>
            <a:ext uri="{FF2B5EF4-FFF2-40B4-BE49-F238E27FC236}">
              <a16:creationId xmlns:a16="http://schemas.microsoft.com/office/drawing/2014/main" id="{161CB7C2-1E24-7641-98DC-6E38C0AA32B8}"/>
            </a:ext>
          </a:extLst>
        </xdr:cNvPr>
        <xdr:cNvPicPr>
          <a:picLocks noChangeAspect="1"/>
        </xdr:cNvPicPr>
      </xdr:nvPicPr>
      <xdr:blipFill>
        <a:blip xmlns:r="http://schemas.openxmlformats.org/officeDocument/2006/relationships" r:embed="rId2"/>
        <a:stretch>
          <a:fillRect/>
        </a:stretch>
      </xdr:blipFill>
      <xdr:spPr>
        <a:xfrm>
          <a:off x="0" y="7695982"/>
          <a:ext cx="769337" cy="694700"/>
        </a:xfrm>
        <a:prstGeom prst="rect">
          <a:avLst/>
        </a:prstGeom>
      </xdr:spPr>
    </xdr:pic>
    <xdr:clientData/>
  </xdr:twoCellAnchor>
  <xdr:twoCellAnchor editAs="oneCell">
    <xdr:from>
      <xdr:col>0</xdr:col>
      <xdr:colOff>10160</xdr:colOff>
      <xdr:row>38</xdr:row>
      <xdr:rowOff>221486</xdr:rowOff>
    </xdr:from>
    <xdr:to>
      <xdr:col>0</xdr:col>
      <xdr:colOff>784455</xdr:colOff>
      <xdr:row>40</xdr:row>
      <xdr:rowOff>96999</xdr:rowOff>
    </xdr:to>
    <xdr:pic>
      <xdr:nvPicPr>
        <xdr:cNvPr id="7" name="Billede 6">
          <a:extLst>
            <a:ext uri="{FF2B5EF4-FFF2-40B4-BE49-F238E27FC236}">
              <a16:creationId xmlns:a16="http://schemas.microsoft.com/office/drawing/2014/main" id="{AD86014F-E298-6943-8F98-CD3BAFB25FA6}"/>
            </a:ext>
          </a:extLst>
        </xdr:cNvPr>
        <xdr:cNvPicPr>
          <a:picLocks noChangeAspect="1"/>
        </xdr:cNvPicPr>
      </xdr:nvPicPr>
      <xdr:blipFill>
        <a:blip xmlns:r="http://schemas.openxmlformats.org/officeDocument/2006/relationships" r:embed="rId3"/>
        <a:stretch>
          <a:fillRect/>
        </a:stretch>
      </xdr:blipFill>
      <xdr:spPr>
        <a:xfrm>
          <a:off x="10160" y="9832846"/>
          <a:ext cx="774295" cy="403833"/>
        </a:xfrm>
        <a:prstGeom prst="rect">
          <a:avLst/>
        </a:prstGeom>
      </xdr:spPr>
    </xdr:pic>
    <xdr:clientData/>
  </xdr:twoCellAnchor>
  <xdr:twoCellAnchor editAs="oneCell">
    <xdr:from>
      <xdr:col>0</xdr:col>
      <xdr:colOff>0</xdr:colOff>
      <xdr:row>41</xdr:row>
      <xdr:rowOff>130256</xdr:rowOff>
    </xdr:from>
    <xdr:to>
      <xdr:col>1</xdr:col>
      <xdr:colOff>19021</xdr:colOff>
      <xdr:row>42</xdr:row>
      <xdr:rowOff>347352</xdr:rowOff>
    </xdr:to>
    <xdr:pic>
      <xdr:nvPicPr>
        <xdr:cNvPr id="9" name="Billede 8">
          <a:extLst>
            <a:ext uri="{FF2B5EF4-FFF2-40B4-BE49-F238E27FC236}">
              <a16:creationId xmlns:a16="http://schemas.microsoft.com/office/drawing/2014/main" id="{7D138EF7-9DC7-9742-A5B9-737580290C21}"/>
            </a:ext>
          </a:extLst>
        </xdr:cNvPr>
        <xdr:cNvPicPr>
          <a:picLocks noChangeAspect="1"/>
        </xdr:cNvPicPr>
      </xdr:nvPicPr>
      <xdr:blipFill>
        <a:blip xmlns:r="http://schemas.openxmlformats.org/officeDocument/2006/relationships" r:embed="rId4"/>
        <a:stretch>
          <a:fillRect/>
        </a:stretch>
      </xdr:blipFill>
      <xdr:spPr>
        <a:xfrm>
          <a:off x="0" y="9660683"/>
          <a:ext cx="843978" cy="4993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0</xdr:colOff>
      <xdr:row>25</xdr:row>
      <xdr:rowOff>0</xdr:rowOff>
    </xdr:from>
    <xdr:to>
      <xdr:col>8</xdr:col>
      <xdr:colOff>333427</xdr:colOff>
      <xdr:row>31</xdr:row>
      <xdr:rowOff>47860</xdr:rowOff>
    </xdr:to>
    <xdr:sp macro="" textlink="">
      <xdr:nvSpPr>
        <xdr:cNvPr id="2" name="Tekstfelt 1">
          <a:extLst>
            <a:ext uri="{FF2B5EF4-FFF2-40B4-BE49-F238E27FC236}">
              <a16:creationId xmlns:a16="http://schemas.microsoft.com/office/drawing/2014/main" id="{02923563-9AFD-B646-88FD-E16066600BCC}"/>
            </a:ext>
          </a:extLst>
        </xdr:cNvPr>
        <xdr:cNvSpPr txBox="1"/>
      </xdr:nvSpPr>
      <xdr:spPr>
        <a:xfrm rot="20935205">
          <a:off x="1763889" y="12601222"/>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0</xdr:colOff>
      <xdr:row>28</xdr:row>
      <xdr:rowOff>0</xdr:rowOff>
    </xdr:from>
    <xdr:to>
      <xdr:col>8</xdr:col>
      <xdr:colOff>326371</xdr:colOff>
      <xdr:row>33</xdr:row>
      <xdr:rowOff>197868</xdr:rowOff>
    </xdr:to>
    <xdr:sp macro="" textlink="">
      <xdr:nvSpPr>
        <xdr:cNvPr id="2" name="Tekstfelt 1">
          <a:extLst>
            <a:ext uri="{FF2B5EF4-FFF2-40B4-BE49-F238E27FC236}">
              <a16:creationId xmlns:a16="http://schemas.microsoft.com/office/drawing/2014/main" id="{9C338B77-53F2-6749-A271-552EB7080707}"/>
            </a:ext>
          </a:extLst>
        </xdr:cNvPr>
        <xdr:cNvSpPr txBox="1"/>
      </xdr:nvSpPr>
      <xdr:spPr>
        <a:xfrm rot="20935205">
          <a:off x="1753152" y="13528261"/>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0</xdr:colOff>
      <xdr:row>27</xdr:row>
      <xdr:rowOff>0</xdr:rowOff>
    </xdr:from>
    <xdr:to>
      <xdr:col>8</xdr:col>
      <xdr:colOff>337319</xdr:colOff>
      <xdr:row>33</xdr:row>
      <xdr:rowOff>6987</xdr:rowOff>
    </xdr:to>
    <xdr:sp macro="" textlink="">
      <xdr:nvSpPr>
        <xdr:cNvPr id="2" name="Tekstfelt 1">
          <a:extLst>
            <a:ext uri="{FF2B5EF4-FFF2-40B4-BE49-F238E27FC236}">
              <a16:creationId xmlns:a16="http://schemas.microsoft.com/office/drawing/2014/main" id="{6C1F927F-0357-0E44-969E-9E3FB9295340}"/>
            </a:ext>
          </a:extLst>
        </xdr:cNvPr>
        <xdr:cNvSpPr txBox="1"/>
      </xdr:nvSpPr>
      <xdr:spPr>
        <a:xfrm rot="20935205">
          <a:off x="1766322" y="13342299"/>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0</xdr:colOff>
      <xdr:row>26</xdr:row>
      <xdr:rowOff>0</xdr:rowOff>
    </xdr:from>
    <xdr:to>
      <xdr:col>8</xdr:col>
      <xdr:colOff>326371</xdr:colOff>
      <xdr:row>32</xdr:row>
      <xdr:rowOff>13994</xdr:rowOff>
    </xdr:to>
    <xdr:sp macro="" textlink="">
      <xdr:nvSpPr>
        <xdr:cNvPr id="2" name="Tekstfelt 1">
          <a:extLst>
            <a:ext uri="{FF2B5EF4-FFF2-40B4-BE49-F238E27FC236}">
              <a16:creationId xmlns:a16="http://schemas.microsoft.com/office/drawing/2014/main" id="{87EB0F98-AB62-4943-8CC3-CE34E0921B16}"/>
            </a:ext>
          </a:extLst>
        </xdr:cNvPr>
        <xdr:cNvSpPr txBox="1"/>
      </xdr:nvSpPr>
      <xdr:spPr>
        <a:xfrm rot="20935205">
          <a:off x="1765300" y="12890500"/>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0</xdr:colOff>
      <xdr:row>31</xdr:row>
      <xdr:rowOff>0</xdr:rowOff>
    </xdr:from>
    <xdr:to>
      <xdr:col>8</xdr:col>
      <xdr:colOff>333427</xdr:colOff>
      <xdr:row>37</xdr:row>
      <xdr:rowOff>47861</xdr:rowOff>
    </xdr:to>
    <xdr:sp macro="" textlink="">
      <xdr:nvSpPr>
        <xdr:cNvPr id="2" name="Tekstfelt 1">
          <a:extLst>
            <a:ext uri="{FF2B5EF4-FFF2-40B4-BE49-F238E27FC236}">
              <a16:creationId xmlns:a16="http://schemas.microsoft.com/office/drawing/2014/main" id="{D0C8551F-126D-E94E-91AC-8D5D45B74570}"/>
            </a:ext>
          </a:extLst>
        </xdr:cNvPr>
        <xdr:cNvSpPr txBox="1"/>
      </xdr:nvSpPr>
      <xdr:spPr>
        <a:xfrm rot="20935205">
          <a:off x="1763889" y="13927667"/>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0</xdr:colOff>
      <xdr:row>28</xdr:row>
      <xdr:rowOff>0</xdr:rowOff>
    </xdr:from>
    <xdr:to>
      <xdr:col>8</xdr:col>
      <xdr:colOff>333427</xdr:colOff>
      <xdr:row>34</xdr:row>
      <xdr:rowOff>47860</xdr:rowOff>
    </xdr:to>
    <xdr:sp macro="" textlink="">
      <xdr:nvSpPr>
        <xdr:cNvPr id="2" name="Tekstfelt 1">
          <a:extLst>
            <a:ext uri="{FF2B5EF4-FFF2-40B4-BE49-F238E27FC236}">
              <a16:creationId xmlns:a16="http://schemas.microsoft.com/office/drawing/2014/main" id="{A97CF871-8518-BD40-97D7-ABD3708C47DA}"/>
            </a:ext>
          </a:extLst>
        </xdr:cNvPr>
        <xdr:cNvSpPr txBox="1"/>
      </xdr:nvSpPr>
      <xdr:spPr>
        <a:xfrm rot="20935205">
          <a:off x="1763889" y="13363222"/>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0</xdr:colOff>
      <xdr:row>25</xdr:row>
      <xdr:rowOff>0</xdr:rowOff>
    </xdr:from>
    <xdr:to>
      <xdr:col>7</xdr:col>
      <xdr:colOff>2053571</xdr:colOff>
      <xdr:row>31</xdr:row>
      <xdr:rowOff>13994</xdr:rowOff>
    </xdr:to>
    <xdr:sp macro="" textlink="">
      <xdr:nvSpPr>
        <xdr:cNvPr id="2" name="Tekstfelt 1">
          <a:extLst>
            <a:ext uri="{FF2B5EF4-FFF2-40B4-BE49-F238E27FC236}">
              <a16:creationId xmlns:a16="http://schemas.microsoft.com/office/drawing/2014/main" id="{731AFA79-DA2D-C242-BA5C-1091B1CD6FD6}"/>
            </a:ext>
          </a:extLst>
        </xdr:cNvPr>
        <xdr:cNvSpPr txBox="1"/>
      </xdr:nvSpPr>
      <xdr:spPr>
        <a:xfrm rot="20935205">
          <a:off x="1765300" y="12827000"/>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138546</xdr:colOff>
      <xdr:row>2</xdr:row>
      <xdr:rowOff>334819</xdr:rowOff>
    </xdr:from>
    <xdr:to>
      <xdr:col>1</xdr:col>
      <xdr:colOff>622301</xdr:colOff>
      <xdr:row>3</xdr:row>
      <xdr:rowOff>497566</xdr:rowOff>
    </xdr:to>
    <xdr:pic>
      <xdr:nvPicPr>
        <xdr:cNvPr id="2" name="Billede 1">
          <a:extLst>
            <a:ext uri="{FF2B5EF4-FFF2-40B4-BE49-F238E27FC236}">
              <a16:creationId xmlns:a16="http://schemas.microsoft.com/office/drawing/2014/main" id="{4B3C89C3-C383-4741-A9D7-9D2AAC12A3E5}"/>
            </a:ext>
          </a:extLst>
        </xdr:cNvPr>
        <xdr:cNvPicPr>
          <a:picLocks noChangeAspect="1"/>
        </xdr:cNvPicPr>
      </xdr:nvPicPr>
      <xdr:blipFill>
        <a:blip xmlns:r="http://schemas.openxmlformats.org/officeDocument/2006/relationships" r:embed="rId1"/>
        <a:stretch>
          <a:fillRect/>
        </a:stretch>
      </xdr:blipFill>
      <xdr:spPr>
        <a:xfrm>
          <a:off x="138546" y="1524001"/>
          <a:ext cx="1130300" cy="703074"/>
        </a:xfrm>
        <a:prstGeom prst="rect">
          <a:avLst/>
        </a:prstGeom>
      </xdr:spPr>
    </xdr:pic>
    <xdr:clientData/>
  </xdr:twoCellAnchor>
  <xdr:twoCellAnchor editAs="oneCell">
    <xdr:from>
      <xdr:col>0</xdr:col>
      <xdr:colOff>150090</xdr:colOff>
      <xdr:row>114</xdr:row>
      <xdr:rowOff>334820</xdr:rowOff>
    </xdr:from>
    <xdr:to>
      <xdr:col>1</xdr:col>
      <xdr:colOff>633845</xdr:colOff>
      <xdr:row>115</xdr:row>
      <xdr:rowOff>483712</xdr:rowOff>
    </xdr:to>
    <xdr:pic>
      <xdr:nvPicPr>
        <xdr:cNvPr id="3" name="Billede 2">
          <a:extLst>
            <a:ext uri="{FF2B5EF4-FFF2-40B4-BE49-F238E27FC236}">
              <a16:creationId xmlns:a16="http://schemas.microsoft.com/office/drawing/2014/main" id="{C7A2EE76-1F5D-D24B-BF0F-DE787094CF30}"/>
            </a:ext>
          </a:extLst>
        </xdr:cNvPr>
        <xdr:cNvPicPr>
          <a:picLocks noChangeAspect="1"/>
        </xdr:cNvPicPr>
      </xdr:nvPicPr>
      <xdr:blipFill>
        <a:blip xmlns:r="http://schemas.openxmlformats.org/officeDocument/2006/relationships" r:embed="rId1"/>
        <a:stretch>
          <a:fillRect/>
        </a:stretch>
      </xdr:blipFill>
      <xdr:spPr>
        <a:xfrm>
          <a:off x="150090" y="26623820"/>
          <a:ext cx="1130300" cy="703074"/>
        </a:xfrm>
        <a:prstGeom prst="rect">
          <a:avLst/>
        </a:prstGeom>
      </xdr:spPr>
    </xdr:pic>
    <xdr:clientData/>
  </xdr:twoCellAnchor>
  <xdr:twoCellAnchor>
    <xdr:from>
      <xdr:col>4</xdr:col>
      <xdr:colOff>0</xdr:colOff>
      <xdr:row>78</xdr:row>
      <xdr:rowOff>0</xdr:rowOff>
    </xdr:from>
    <xdr:to>
      <xdr:col>9</xdr:col>
      <xdr:colOff>921973</xdr:colOff>
      <xdr:row>83</xdr:row>
      <xdr:rowOff>167136</xdr:rowOff>
    </xdr:to>
    <xdr:sp macro="" textlink="">
      <xdr:nvSpPr>
        <xdr:cNvPr id="4" name="Tekstfelt 3">
          <a:extLst>
            <a:ext uri="{FF2B5EF4-FFF2-40B4-BE49-F238E27FC236}">
              <a16:creationId xmlns:a16="http://schemas.microsoft.com/office/drawing/2014/main" id="{2AFA0DEE-C759-6346-8A5C-11EFC04E3770}"/>
            </a:ext>
          </a:extLst>
        </xdr:cNvPr>
        <xdr:cNvSpPr txBox="1"/>
      </xdr:nvSpPr>
      <xdr:spPr>
        <a:xfrm rot="20935205">
          <a:off x="3541168" y="17149635"/>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177800</xdr:colOff>
      <xdr:row>126</xdr:row>
      <xdr:rowOff>127000</xdr:rowOff>
    </xdr:from>
    <xdr:to>
      <xdr:col>1</xdr:col>
      <xdr:colOff>482600</xdr:colOff>
      <xdr:row>129</xdr:row>
      <xdr:rowOff>106175</xdr:rowOff>
    </xdr:to>
    <xdr:pic>
      <xdr:nvPicPr>
        <xdr:cNvPr id="3" name="Billede 2">
          <a:extLst>
            <a:ext uri="{FF2B5EF4-FFF2-40B4-BE49-F238E27FC236}">
              <a16:creationId xmlns:a16="http://schemas.microsoft.com/office/drawing/2014/main" id="{0E32D9E3-04CD-4044-9A2A-1363AC4EB60C}"/>
            </a:ext>
          </a:extLst>
        </xdr:cNvPr>
        <xdr:cNvPicPr>
          <a:picLocks noChangeAspect="1"/>
        </xdr:cNvPicPr>
      </xdr:nvPicPr>
      <xdr:blipFill>
        <a:blip xmlns:r="http://schemas.openxmlformats.org/officeDocument/2006/relationships" r:embed="rId1"/>
        <a:stretch>
          <a:fillRect/>
        </a:stretch>
      </xdr:blipFill>
      <xdr:spPr>
        <a:xfrm>
          <a:off x="177800" y="18846800"/>
          <a:ext cx="1130300" cy="703074"/>
        </a:xfrm>
        <a:prstGeom prst="rect">
          <a:avLst/>
        </a:prstGeom>
      </xdr:spPr>
    </xdr:pic>
    <xdr:clientData/>
  </xdr:twoCellAnchor>
  <xdr:twoCellAnchor editAs="oneCell">
    <xdr:from>
      <xdr:col>0</xdr:col>
      <xdr:colOff>228600</xdr:colOff>
      <xdr:row>1</xdr:row>
      <xdr:rowOff>228600</xdr:rowOff>
    </xdr:from>
    <xdr:to>
      <xdr:col>1</xdr:col>
      <xdr:colOff>533400</xdr:colOff>
      <xdr:row>2</xdr:row>
      <xdr:rowOff>334774</xdr:rowOff>
    </xdr:to>
    <xdr:pic>
      <xdr:nvPicPr>
        <xdr:cNvPr id="6" name="Billede 5">
          <a:extLst>
            <a:ext uri="{FF2B5EF4-FFF2-40B4-BE49-F238E27FC236}">
              <a16:creationId xmlns:a16="http://schemas.microsoft.com/office/drawing/2014/main" id="{39983B6E-8C3E-604C-BAFC-D61D90B36A26}"/>
            </a:ext>
          </a:extLst>
        </xdr:cNvPr>
        <xdr:cNvPicPr>
          <a:picLocks noChangeAspect="1"/>
        </xdr:cNvPicPr>
      </xdr:nvPicPr>
      <xdr:blipFill>
        <a:blip xmlns:r="http://schemas.openxmlformats.org/officeDocument/2006/relationships" r:embed="rId1"/>
        <a:stretch>
          <a:fillRect/>
        </a:stretch>
      </xdr:blipFill>
      <xdr:spPr>
        <a:xfrm>
          <a:off x="228600" y="228600"/>
          <a:ext cx="1130300" cy="703074"/>
        </a:xfrm>
        <a:prstGeom prst="rect">
          <a:avLst/>
        </a:prstGeom>
      </xdr:spPr>
    </xdr:pic>
    <xdr:clientData/>
  </xdr:twoCellAnchor>
  <xdr:twoCellAnchor>
    <xdr:from>
      <xdr:col>1</xdr:col>
      <xdr:colOff>0</xdr:colOff>
      <xdr:row>38</xdr:row>
      <xdr:rowOff>0</xdr:rowOff>
    </xdr:from>
    <xdr:to>
      <xdr:col>7</xdr:col>
      <xdr:colOff>756760</xdr:colOff>
      <xdr:row>42</xdr:row>
      <xdr:rowOff>217194</xdr:rowOff>
    </xdr:to>
    <xdr:sp macro="" textlink="">
      <xdr:nvSpPr>
        <xdr:cNvPr id="2" name="Tekstfelt 1">
          <a:extLst>
            <a:ext uri="{FF2B5EF4-FFF2-40B4-BE49-F238E27FC236}">
              <a16:creationId xmlns:a16="http://schemas.microsoft.com/office/drawing/2014/main" id="{00B72B82-0FD0-FA46-901D-788D382CF1CA}"/>
            </a:ext>
          </a:extLst>
        </xdr:cNvPr>
        <xdr:cNvSpPr txBox="1"/>
      </xdr:nvSpPr>
      <xdr:spPr>
        <a:xfrm rot="20935205">
          <a:off x="827852" y="12116741"/>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11</xdr:row>
      <xdr:rowOff>0</xdr:rowOff>
    </xdr:from>
    <xdr:to>
      <xdr:col>7</xdr:col>
      <xdr:colOff>610450</xdr:colOff>
      <xdr:row>17</xdr:row>
      <xdr:rowOff>116931</xdr:rowOff>
    </xdr:to>
    <xdr:sp macro="" textlink="">
      <xdr:nvSpPr>
        <xdr:cNvPr id="2" name="Tekstfelt 1">
          <a:extLst>
            <a:ext uri="{FF2B5EF4-FFF2-40B4-BE49-F238E27FC236}">
              <a16:creationId xmlns:a16="http://schemas.microsoft.com/office/drawing/2014/main" id="{A92E9181-D1D6-594E-A9EF-4A218B571CB0}"/>
            </a:ext>
          </a:extLst>
        </xdr:cNvPr>
        <xdr:cNvSpPr txBox="1"/>
      </xdr:nvSpPr>
      <xdr:spPr>
        <a:xfrm rot="20935205">
          <a:off x="0" y="3088105"/>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749300</xdr:colOff>
      <xdr:row>180</xdr:row>
      <xdr:rowOff>173608</xdr:rowOff>
    </xdr:to>
    <xdr:pic>
      <xdr:nvPicPr>
        <xdr:cNvPr id="4" name="Billede 3">
          <a:extLst>
            <a:ext uri="{FF2B5EF4-FFF2-40B4-BE49-F238E27FC236}">
              <a16:creationId xmlns:a16="http://schemas.microsoft.com/office/drawing/2014/main" id="{7AB0F4D8-F1CD-D155-191C-FC62547F0690}"/>
            </a:ext>
          </a:extLst>
        </xdr:cNvPr>
        <xdr:cNvPicPr>
          <a:picLocks noChangeAspect="1"/>
        </xdr:cNvPicPr>
      </xdr:nvPicPr>
      <xdr:blipFill>
        <a:blip xmlns:r="http://schemas.openxmlformats.org/officeDocument/2006/relationships" r:embed="rId1"/>
        <a:stretch>
          <a:fillRect/>
        </a:stretch>
      </xdr:blipFill>
      <xdr:spPr>
        <a:xfrm>
          <a:off x="0" y="0"/>
          <a:ext cx="12306300" cy="3674960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1964267</xdr:colOff>
      <xdr:row>13</xdr:row>
      <xdr:rowOff>194733</xdr:rowOff>
    </xdr:from>
    <xdr:to>
      <xdr:col>4</xdr:col>
      <xdr:colOff>1786871</xdr:colOff>
      <xdr:row>20</xdr:row>
      <xdr:rowOff>5527</xdr:rowOff>
    </xdr:to>
    <xdr:sp macro="" textlink="">
      <xdr:nvSpPr>
        <xdr:cNvPr id="2" name="Tekstfelt 1">
          <a:extLst>
            <a:ext uri="{FF2B5EF4-FFF2-40B4-BE49-F238E27FC236}">
              <a16:creationId xmlns:a16="http://schemas.microsoft.com/office/drawing/2014/main" id="{D9A0C138-71CF-D14A-9D80-7C14B498982B}"/>
            </a:ext>
          </a:extLst>
        </xdr:cNvPr>
        <xdr:cNvSpPr txBox="1"/>
      </xdr:nvSpPr>
      <xdr:spPr>
        <a:xfrm rot="20935205">
          <a:off x="2794000" y="3606800"/>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8</xdr:col>
      <xdr:colOff>889000</xdr:colOff>
      <xdr:row>35</xdr:row>
      <xdr:rowOff>68579</xdr:rowOff>
    </xdr:from>
    <xdr:to>
      <xdr:col>11</xdr:col>
      <xdr:colOff>63500</xdr:colOff>
      <xdr:row>38</xdr:row>
      <xdr:rowOff>236854</xdr:rowOff>
    </xdr:to>
    <xdr:pic>
      <xdr:nvPicPr>
        <xdr:cNvPr id="2" name="Billed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0" y="10244454"/>
          <a:ext cx="1349375" cy="10255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8</xdr:col>
      <xdr:colOff>774700</xdr:colOff>
      <xdr:row>36</xdr:row>
      <xdr:rowOff>41910</xdr:rowOff>
    </xdr:from>
    <xdr:to>
      <xdr:col>10</xdr:col>
      <xdr:colOff>266700</xdr:colOff>
      <xdr:row>39</xdr:row>
      <xdr:rowOff>270510</xdr:rowOff>
    </xdr:to>
    <xdr:pic>
      <xdr:nvPicPr>
        <xdr:cNvPr id="5" name="Billed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92700" y="10582910"/>
          <a:ext cx="1428750" cy="1085850"/>
        </a:xfrm>
        <a:prstGeom prst="rect">
          <a:avLst/>
        </a:prstGeom>
      </xdr:spPr>
    </xdr:pic>
    <xdr:clientData/>
  </xdr:twoCellAnchor>
  <xdr:twoCellAnchor editAs="oneCell">
    <xdr:from>
      <xdr:col>8</xdr:col>
      <xdr:colOff>889000</xdr:colOff>
      <xdr:row>36</xdr:row>
      <xdr:rowOff>68579</xdr:rowOff>
    </xdr:from>
    <xdr:to>
      <xdr:col>10</xdr:col>
      <xdr:colOff>304800</xdr:colOff>
      <xdr:row>39</xdr:row>
      <xdr:rowOff>236854</xdr:rowOff>
    </xdr:to>
    <xdr:pic>
      <xdr:nvPicPr>
        <xdr:cNvPr id="3" name="Billede 2">
          <a:extLst>
            <a:ext uri="{FF2B5EF4-FFF2-40B4-BE49-F238E27FC236}">
              <a16:creationId xmlns:a16="http://schemas.microsoft.com/office/drawing/2014/main" id="{8658A892-4A64-7C48-B0F7-A37F1DE844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1300" y="10558779"/>
          <a:ext cx="1346200" cy="1044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228601</xdr:colOff>
      <xdr:row>38</xdr:row>
      <xdr:rowOff>38100</xdr:rowOff>
    </xdr:from>
    <xdr:to>
      <xdr:col>1</xdr:col>
      <xdr:colOff>533401</xdr:colOff>
      <xdr:row>40</xdr:row>
      <xdr:rowOff>144273</xdr:rowOff>
    </xdr:to>
    <xdr:pic>
      <xdr:nvPicPr>
        <xdr:cNvPr id="3" name="Billede 2">
          <a:extLst>
            <a:ext uri="{FF2B5EF4-FFF2-40B4-BE49-F238E27FC236}">
              <a16:creationId xmlns:a16="http://schemas.microsoft.com/office/drawing/2014/main" id="{A7231A89-31B2-3348-8B4A-BEAA1F6725B4}"/>
            </a:ext>
          </a:extLst>
        </xdr:cNvPr>
        <xdr:cNvPicPr>
          <a:picLocks noChangeAspect="1"/>
        </xdr:cNvPicPr>
      </xdr:nvPicPr>
      <xdr:blipFill>
        <a:blip xmlns:r="http://schemas.openxmlformats.org/officeDocument/2006/relationships" r:embed="rId1"/>
        <a:stretch>
          <a:fillRect/>
        </a:stretch>
      </xdr:blipFill>
      <xdr:spPr>
        <a:xfrm>
          <a:off x="228601" y="12560300"/>
          <a:ext cx="1130300" cy="703074"/>
        </a:xfrm>
        <a:prstGeom prst="rect">
          <a:avLst/>
        </a:prstGeom>
      </xdr:spPr>
    </xdr:pic>
    <xdr:clientData/>
  </xdr:twoCellAnchor>
  <xdr:twoCellAnchor editAs="oneCell">
    <xdr:from>
      <xdr:col>0</xdr:col>
      <xdr:colOff>177800</xdr:colOff>
      <xdr:row>1</xdr:row>
      <xdr:rowOff>609600</xdr:rowOff>
    </xdr:from>
    <xdr:to>
      <xdr:col>1</xdr:col>
      <xdr:colOff>482600</xdr:colOff>
      <xdr:row>1</xdr:row>
      <xdr:rowOff>1312674</xdr:rowOff>
    </xdr:to>
    <xdr:pic>
      <xdr:nvPicPr>
        <xdr:cNvPr id="4" name="Billede 3">
          <a:extLst>
            <a:ext uri="{FF2B5EF4-FFF2-40B4-BE49-F238E27FC236}">
              <a16:creationId xmlns:a16="http://schemas.microsoft.com/office/drawing/2014/main" id="{D942FAE2-C652-7B42-9451-3218557A0832}"/>
            </a:ext>
          </a:extLst>
        </xdr:cNvPr>
        <xdr:cNvPicPr>
          <a:picLocks noChangeAspect="1"/>
        </xdr:cNvPicPr>
      </xdr:nvPicPr>
      <xdr:blipFill>
        <a:blip xmlns:r="http://schemas.openxmlformats.org/officeDocument/2006/relationships" r:embed="rId1"/>
        <a:stretch>
          <a:fillRect/>
        </a:stretch>
      </xdr:blipFill>
      <xdr:spPr>
        <a:xfrm>
          <a:off x="177800" y="1625600"/>
          <a:ext cx="1130300" cy="703074"/>
        </a:xfrm>
        <a:prstGeom prst="rect">
          <a:avLst/>
        </a:prstGeom>
      </xdr:spPr>
    </xdr:pic>
    <xdr:clientData/>
  </xdr:twoCellAnchor>
  <xdr:twoCellAnchor>
    <xdr:from>
      <xdr:col>1</xdr:col>
      <xdr:colOff>557017</xdr:colOff>
      <xdr:row>19</xdr:row>
      <xdr:rowOff>189385</xdr:rowOff>
    </xdr:from>
    <xdr:to>
      <xdr:col>7</xdr:col>
      <xdr:colOff>343081</xdr:colOff>
      <xdr:row>23</xdr:row>
      <xdr:rowOff>174860</xdr:rowOff>
    </xdr:to>
    <xdr:sp macro="" textlink="">
      <xdr:nvSpPr>
        <xdr:cNvPr id="2" name="Tekstfelt 1">
          <a:extLst>
            <a:ext uri="{FF2B5EF4-FFF2-40B4-BE49-F238E27FC236}">
              <a16:creationId xmlns:a16="http://schemas.microsoft.com/office/drawing/2014/main" id="{63636673-0F92-7748-AEEE-076BF35B86EC}"/>
            </a:ext>
          </a:extLst>
        </xdr:cNvPr>
        <xdr:cNvSpPr txBox="1"/>
      </xdr:nvSpPr>
      <xdr:spPr>
        <a:xfrm rot="20935205">
          <a:off x="1381403" y="10572192"/>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241300</xdr:colOff>
      <xdr:row>0</xdr:row>
      <xdr:rowOff>609600</xdr:rowOff>
    </xdr:from>
    <xdr:to>
      <xdr:col>1</xdr:col>
      <xdr:colOff>546100</xdr:colOff>
      <xdr:row>0</xdr:row>
      <xdr:rowOff>1312674</xdr:rowOff>
    </xdr:to>
    <xdr:pic>
      <xdr:nvPicPr>
        <xdr:cNvPr id="4" name="Billede 3">
          <a:extLst>
            <a:ext uri="{FF2B5EF4-FFF2-40B4-BE49-F238E27FC236}">
              <a16:creationId xmlns:a16="http://schemas.microsoft.com/office/drawing/2014/main" id="{CC942370-03AA-E045-9574-AB58255E30A7}"/>
            </a:ext>
          </a:extLst>
        </xdr:cNvPr>
        <xdr:cNvPicPr>
          <a:picLocks noChangeAspect="1"/>
        </xdr:cNvPicPr>
      </xdr:nvPicPr>
      <xdr:blipFill>
        <a:blip xmlns:r="http://schemas.openxmlformats.org/officeDocument/2006/relationships" r:embed="rId1"/>
        <a:stretch>
          <a:fillRect/>
        </a:stretch>
      </xdr:blipFill>
      <xdr:spPr>
        <a:xfrm>
          <a:off x="241300" y="609600"/>
          <a:ext cx="1130300" cy="703074"/>
        </a:xfrm>
        <a:prstGeom prst="rect">
          <a:avLst/>
        </a:prstGeom>
      </xdr:spPr>
    </xdr:pic>
    <xdr:clientData/>
  </xdr:twoCellAnchor>
  <xdr:twoCellAnchor editAs="oneCell">
    <xdr:from>
      <xdr:col>0</xdr:col>
      <xdr:colOff>279400</xdr:colOff>
      <xdr:row>107</xdr:row>
      <xdr:rowOff>177800</xdr:rowOff>
    </xdr:from>
    <xdr:to>
      <xdr:col>1</xdr:col>
      <xdr:colOff>584200</xdr:colOff>
      <xdr:row>111</xdr:row>
      <xdr:rowOff>68074</xdr:rowOff>
    </xdr:to>
    <xdr:pic>
      <xdr:nvPicPr>
        <xdr:cNvPr id="5" name="Billede 4">
          <a:extLst>
            <a:ext uri="{FF2B5EF4-FFF2-40B4-BE49-F238E27FC236}">
              <a16:creationId xmlns:a16="http://schemas.microsoft.com/office/drawing/2014/main" id="{30BD101B-BC22-DA4B-9C3B-C6D8E2385176}"/>
            </a:ext>
          </a:extLst>
        </xdr:cNvPr>
        <xdr:cNvPicPr>
          <a:picLocks noChangeAspect="1"/>
        </xdr:cNvPicPr>
      </xdr:nvPicPr>
      <xdr:blipFill>
        <a:blip xmlns:r="http://schemas.openxmlformats.org/officeDocument/2006/relationships" r:embed="rId1"/>
        <a:stretch>
          <a:fillRect/>
        </a:stretch>
      </xdr:blipFill>
      <xdr:spPr>
        <a:xfrm>
          <a:off x="279400" y="14160500"/>
          <a:ext cx="1130300" cy="703074"/>
        </a:xfrm>
        <a:prstGeom prst="rect">
          <a:avLst/>
        </a:prstGeom>
      </xdr:spPr>
    </xdr:pic>
    <xdr:clientData/>
  </xdr:twoCellAnchor>
  <xdr:twoCellAnchor editAs="oneCell">
    <xdr:from>
      <xdr:col>1</xdr:col>
      <xdr:colOff>279400</xdr:colOff>
      <xdr:row>1</xdr:row>
      <xdr:rowOff>177800</xdr:rowOff>
    </xdr:from>
    <xdr:to>
      <xdr:col>1</xdr:col>
      <xdr:colOff>735932</xdr:colOff>
      <xdr:row>1</xdr:row>
      <xdr:rowOff>461774</xdr:rowOff>
    </xdr:to>
    <xdr:pic>
      <xdr:nvPicPr>
        <xdr:cNvPr id="3" name="Billede 2">
          <a:extLst>
            <a:ext uri="{FF2B5EF4-FFF2-40B4-BE49-F238E27FC236}">
              <a16:creationId xmlns:a16="http://schemas.microsoft.com/office/drawing/2014/main" id="{0AABE7A6-EA05-C549-B9AA-CABA92DE87F2}"/>
            </a:ext>
          </a:extLst>
        </xdr:cNvPr>
        <xdr:cNvPicPr>
          <a:picLocks noChangeAspect="1"/>
        </xdr:cNvPicPr>
      </xdr:nvPicPr>
      <xdr:blipFill>
        <a:blip xmlns:r="http://schemas.openxmlformats.org/officeDocument/2006/relationships" r:embed="rId1"/>
        <a:stretch>
          <a:fillRect/>
        </a:stretch>
      </xdr:blipFill>
      <xdr:spPr>
        <a:xfrm>
          <a:off x="1104900" y="1854200"/>
          <a:ext cx="456532" cy="283974"/>
        </a:xfrm>
        <a:prstGeom prst="rect">
          <a:avLst/>
        </a:prstGeom>
      </xdr:spPr>
    </xdr:pic>
    <xdr:clientData/>
  </xdr:twoCellAnchor>
  <xdr:twoCellAnchor editAs="oneCell">
    <xdr:from>
      <xdr:col>1</xdr:col>
      <xdr:colOff>292100</xdr:colOff>
      <xdr:row>2</xdr:row>
      <xdr:rowOff>228600</xdr:rowOff>
    </xdr:from>
    <xdr:to>
      <xdr:col>1</xdr:col>
      <xdr:colOff>748632</xdr:colOff>
      <xdr:row>2</xdr:row>
      <xdr:rowOff>512574</xdr:rowOff>
    </xdr:to>
    <xdr:pic>
      <xdr:nvPicPr>
        <xdr:cNvPr id="6" name="Billede 5">
          <a:extLst>
            <a:ext uri="{FF2B5EF4-FFF2-40B4-BE49-F238E27FC236}">
              <a16:creationId xmlns:a16="http://schemas.microsoft.com/office/drawing/2014/main" id="{92CECB52-BB0F-DF43-8FBA-7EC1B9E77A30}"/>
            </a:ext>
          </a:extLst>
        </xdr:cNvPr>
        <xdr:cNvPicPr>
          <a:picLocks noChangeAspect="1"/>
        </xdr:cNvPicPr>
      </xdr:nvPicPr>
      <xdr:blipFill>
        <a:blip xmlns:r="http://schemas.openxmlformats.org/officeDocument/2006/relationships" r:embed="rId1"/>
        <a:stretch>
          <a:fillRect/>
        </a:stretch>
      </xdr:blipFill>
      <xdr:spPr>
        <a:xfrm>
          <a:off x="1117600" y="2717800"/>
          <a:ext cx="456532" cy="283974"/>
        </a:xfrm>
        <a:prstGeom prst="rect">
          <a:avLst/>
        </a:prstGeom>
      </xdr:spPr>
    </xdr:pic>
    <xdr:clientData/>
  </xdr:twoCellAnchor>
  <xdr:twoCellAnchor editAs="oneCell">
    <xdr:from>
      <xdr:col>1</xdr:col>
      <xdr:colOff>279400</xdr:colOff>
      <xdr:row>3</xdr:row>
      <xdr:rowOff>190500</xdr:rowOff>
    </xdr:from>
    <xdr:to>
      <xdr:col>1</xdr:col>
      <xdr:colOff>735932</xdr:colOff>
      <xdr:row>3</xdr:row>
      <xdr:rowOff>474474</xdr:rowOff>
    </xdr:to>
    <xdr:pic>
      <xdr:nvPicPr>
        <xdr:cNvPr id="7" name="Billede 6">
          <a:extLst>
            <a:ext uri="{FF2B5EF4-FFF2-40B4-BE49-F238E27FC236}">
              <a16:creationId xmlns:a16="http://schemas.microsoft.com/office/drawing/2014/main" id="{FCF258FC-2528-FD4C-A061-CCEB1AD2BB43}"/>
            </a:ext>
          </a:extLst>
        </xdr:cNvPr>
        <xdr:cNvPicPr>
          <a:picLocks noChangeAspect="1"/>
        </xdr:cNvPicPr>
      </xdr:nvPicPr>
      <xdr:blipFill>
        <a:blip xmlns:r="http://schemas.openxmlformats.org/officeDocument/2006/relationships" r:embed="rId1"/>
        <a:stretch>
          <a:fillRect/>
        </a:stretch>
      </xdr:blipFill>
      <xdr:spPr>
        <a:xfrm>
          <a:off x="1104900" y="3403600"/>
          <a:ext cx="456532" cy="283974"/>
        </a:xfrm>
        <a:prstGeom prst="rect">
          <a:avLst/>
        </a:prstGeom>
      </xdr:spPr>
    </xdr:pic>
    <xdr:clientData/>
  </xdr:twoCellAnchor>
  <xdr:twoCellAnchor>
    <xdr:from>
      <xdr:col>8</xdr:col>
      <xdr:colOff>0</xdr:colOff>
      <xdr:row>21</xdr:row>
      <xdr:rowOff>0</xdr:rowOff>
    </xdr:from>
    <xdr:to>
      <xdr:col>14</xdr:col>
      <xdr:colOff>770871</xdr:colOff>
      <xdr:row>23</xdr:row>
      <xdr:rowOff>394994</xdr:rowOff>
    </xdr:to>
    <xdr:sp macro="" textlink="">
      <xdr:nvSpPr>
        <xdr:cNvPr id="9" name="Tekstfelt 8">
          <a:extLst>
            <a:ext uri="{FF2B5EF4-FFF2-40B4-BE49-F238E27FC236}">
              <a16:creationId xmlns:a16="http://schemas.microsoft.com/office/drawing/2014/main" id="{5A3A2D83-24AB-5142-B18D-FA6EA945713A}"/>
            </a:ext>
          </a:extLst>
        </xdr:cNvPr>
        <xdr:cNvSpPr txBox="1"/>
      </xdr:nvSpPr>
      <xdr:spPr>
        <a:xfrm rot="20935205">
          <a:off x="5842000" y="13423900"/>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169334</xdr:colOff>
      <xdr:row>1</xdr:row>
      <xdr:rowOff>550335</xdr:rowOff>
    </xdr:from>
    <xdr:to>
      <xdr:col>3</xdr:col>
      <xdr:colOff>71497</xdr:colOff>
      <xdr:row>1</xdr:row>
      <xdr:rowOff>1411111</xdr:rowOff>
    </xdr:to>
    <xdr:pic>
      <xdr:nvPicPr>
        <xdr:cNvPr id="2" name="Billede 1">
          <a:extLst>
            <a:ext uri="{FF2B5EF4-FFF2-40B4-BE49-F238E27FC236}">
              <a16:creationId xmlns:a16="http://schemas.microsoft.com/office/drawing/2014/main" id="{B6A93825-4A1F-7D4B-BC73-D1B6C977E60D}"/>
            </a:ext>
          </a:extLst>
        </xdr:cNvPr>
        <xdr:cNvPicPr>
          <a:picLocks noChangeAspect="1"/>
        </xdr:cNvPicPr>
      </xdr:nvPicPr>
      <xdr:blipFill>
        <a:blip xmlns:r="http://schemas.openxmlformats.org/officeDocument/2006/relationships" r:embed="rId1"/>
        <a:stretch>
          <a:fillRect/>
        </a:stretch>
      </xdr:blipFill>
      <xdr:spPr>
        <a:xfrm>
          <a:off x="169334" y="747891"/>
          <a:ext cx="1383830" cy="860776"/>
        </a:xfrm>
        <a:prstGeom prst="rect">
          <a:avLst/>
        </a:prstGeom>
      </xdr:spPr>
    </xdr:pic>
    <xdr:clientData/>
  </xdr:twoCellAnchor>
  <xdr:twoCellAnchor>
    <xdr:from>
      <xdr:col>4</xdr:col>
      <xdr:colOff>0</xdr:colOff>
      <xdr:row>30</xdr:row>
      <xdr:rowOff>0</xdr:rowOff>
    </xdr:from>
    <xdr:to>
      <xdr:col>8</xdr:col>
      <xdr:colOff>335442</xdr:colOff>
      <xdr:row>36</xdr:row>
      <xdr:rowOff>35765</xdr:rowOff>
    </xdr:to>
    <xdr:sp macro="" textlink="">
      <xdr:nvSpPr>
        <xdr:cNvPr id="3" name="Tekstfelt 2">
          <a:extLst>
            <a:ext uri="{FF2B5EF4-FFF2-40B4-BE49-F238E27FC236}">
              <a16:creationId xmlns:a16="http://schemas.microsoft.com/office/drawing/2014/main" id="{A67C90B5-02B3-CE45-B2E0-AA319F856D9C}"/>
            </a:ext>
          </a:extLst>
        </xdr:cNvPr>
        <xdr:cNvSpPr txBox="1"/>
      </xdr:nvSpPr>
      <xdr:spPr>
        <a:xfrm rot="20935205">
          <a:off x="1759857" y="15856857"/>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27</xdr:row>
      <xdr:rowOff>0</xdr:rowOff>
    </xdr:from>
    <xdr:to>
      <xdr:col>8</xdr:col>
      <xdr:colOff>322137</xdr:colOff>
      <xdr:row>33</xdr:row>
      <xdr:rowOff>13994</xdr:rowOff>
    </xdr:to>
    <xdr:sp macro="" textlink="">
      <xdr:nvSpPr>
        <xdr:cNvPr id="2" name="Tekstfelt 1">
          <a:extLst>
            <a:ext uri="{FF2B5EF4-FFF2-40B4-BE49-F238E27FC236}">
              <a16:creationId xmlns:a16="http://schemas.microsoft.com/office/drawing/2014/main" id="{24564FA4-F196-9A47-BF51-279110A5C56F}"/>
            </a:ext>
          </a:extLst>
        </xdr:cNvPr>
        <xdr:cNvSpPr txBox="1"/>
      </xdr:nvSpPr>
      <xdr:spPr>
        <a:xfrm rot="20935205">
          <a:off x="1769533" y="13208000"/>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1876779</xdr:colOff>
      <xdr:row>28</xdr:row>
      <xdr:rowOff>84666</xdr:rowOff>
    </xdr:from>
    <xdr:to>
      <xdr:col>10</xdr:col>
      <xdr:colOff>347539</xdr:colOff>
      <xdr:row>34</xdr:row>
      <xdr:rowOff>132526</xdr:rowOff>
    </xdr:to>
    <xdr:sp macro="" textlink="">
      <xdr:nvSpPr>
        <xdr:cNvPr id="2" name="Tekstfelt 1">
          <a:extLst>
            <a:ext uri="{FF2B5EF4-FFF2-40B4-BE49-F238E27FC236}">
              <a16:creationId xmlns:a16="http://schemas.microsoft.com/office/drawing/2014/main" id="{91CD6845-EC94-DC40-B9B0-2C2759B2CFE4}"/>
            </a:ext>
          </a:extLst>
        </xdr:cNvPr>
        <xdr:cNvSpPr txBox="1"/>
      </xdr:nvSpPr>
      <xdr:spPr>
        <a:xfrm rot="20935205">
          <a:off x="3640668" y="13334999"/>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23</xdr:row>
      <xdr:rowOff>0</xdr:rowOff>
    </xdr:from>
    <xdr:to>
      <xdr:col>8</xdr:col>
      <xdr:colOff>333427</xdr:colOff>
      <xdr:row>29</xdr:row>
      <xdr:rowOff>47860</xdr:rowOff>
    </xdr:to>
    <xdr:sp macro="" textlink="">
      <xdr:nvSpPr>
        <xdr:cNvPr id="2" name="Tekstfelt 1">
          <a:extLst>
            <a:ext uri="{FF2B5EF4-FFF2-40B4-BE49-F238E27FC236}">
              <a16:creationId xmlns:a16="http://schemas.microsoft.com/office/drawing/2014/main" id="{083E3BC4-5FC0-2A4B-A720-517FF3F8E6B4}"/>
            </a:ext>
          </a:extLst>
        </xdr:cNvPr>
        <xdr:cNvSpPr txBox="1"/>
      </xdr:nvSpPr>
      <xdr:spPr>
        <a:xfrm rot="20935205">
          <a:off x="1763889" y="12248444"/>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0</xdr:colOff>
      <xdr:row>27</xdr:row>
      <xdr:rowOff>0</xdr:rowOff>
    </xdr:from>
    <xdr:to>
      <xdr:col>8</xdr:col>
      <xdr:colOff>326371</xdr:colOff>
      <xdr:row>33</xdr:row>
      <xdr:rowOff>13994</xdr:rowOff>
    </xdr:to>
    <xdr:sp macro="" textlink="">
      <xdr:nvSpPr>
        <xdr:cNvPr id="2" name="Tekstfelt 1">
          <a:extLst>
            <a:ext uri="{FF2B5EF4-FFF2-40B4-BE49-F238E27FC236}">
              <a16:creationId xmlns:a16="http://schemas.microsoft.com/office/drawing/2014/main" id="{48B64DCA-75D3-B246-BD8B-24D8EDC24CF7}"/>
            </a:ext>
          </a:extLst>
        </xdr:cNvPr>
        <xdr:cNvSpPr txBox="1"/>
      </xdr:nvSpPr>
      <xdr:spPr>
        <a:xfrm rot="20935205">
          <a:off x="1765300" y="13106400"/>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persons/person.xml><?xml version="1.0" encoding="utf-8"?>
<personList xmlns="http://schemas.microsoft.com/office/spreadsheetml/2018/threadedcomments" xmlns:x="http://schemas.openxmlformats.org/spreadsheetml/2006/main">
  <person displayName="Tove Dohn" id="{977470C1-5292-2E41-B06C-4A3108FC6288}" userId="S::tove@friskolerne.dk::cf832d71-50f8-4653-95bd-ced5cfa07810" providerId="AD"/>
</personList>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18" dT="2021-04-07T13:51:15.67" personId="{977470C1-5292-2E41-B06C-4A3108FC6288}" id="{2BE12B20-6EE1-DB41-B134-44AC5D77B008}">
    <text>Beskæftigelsesgraden aftalt i ansættelsesbrevet.</text>
  </threadedComment>
</ThreadedComments>
</file>

<file path=xl/threadedComments/threadedComment2.xml><?xml version="1.0" encoding="utf-8"?>
<ThreadedComments xmlns="http://schemas.microsoft.com/office/spreadsheetml/2018/threadedcomments" xmlns:x="http://schemas.openxmlformats.org/spreadsheetml/2006/main">
  <threadedComment ref="I28" dT="2021-03-02T13:01:39.32" personId="{977470C1-5292-2E41-B06C-4A3108FC6288}" id="{53CDCF47-1C18-B74C-8FCD-1F187581EE76}">
    <text xml:space="preserve">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ext>
  </threadedComment>
  <threadedComment ref="I47" dT="2021-03-02T13:01:39.32" personId="{977470C1-5292-2E41-B06C-4A3108FC6288}" id="{BA36B4C6-FE51-0449-BB6B-4BA6729AA314}">
    <text xml:space="preserve">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ext>
  </threadedComment>
  <threadedComment ref="I71" dT="2021-03-02T13:01:39.32" personId="{977470C1-5292-2E41-B06C-4A3108FC6288}" id="{D2586241-4B4C-8149-AF7C-3A976D71E50B}">
    <text xml:space="preserve">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ext>
  </threadedComment>
  <threadedComment ref="D112" dT="2021-03-02T12:59:33.97" personId="{977470C1-5292-2E41-B06C-4A3108FC6288}" id="{6299BD54-428F-0942-AF97-B33CF2909EA6}">
    <text>Tallet her viser hvor meget arbejdstid der ikke er planlagt med, ELLER hvor meget arbejdstid der er planlagt for meget med. Planlæg ALDRIG i overtid. Er der overtid betyder det at den ansatte har for mange opgaver. Er dette bevidst skal der laves en plustidsaftale der giver den ansatte en beskæftigelse over 100% med tilsvarende løn/pension. Er der planlagt med få timer i undertid, er det timer skolens ledelse endnu ikke har planlagt, og som kan bruges til uforudset opgaver.</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1.bin"/><Relationship Id="rId5" Type="http://schemas.microsoft.com/office/2017/10/relationships/threadedComment" Target="../threadedComments/threadedComment2.xml"/><Relationship Id="rId4" Type="http://schemas.openxmlformats.org/officeDocument/2006/relationships/comments" Target="../comments1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I105"/>
  <sheetViews>
    <sheetView zoomScale="118" zoomScaleNormal="100" workbookViewId="0">
      <selection activeCell="B12" sqref="B12"/>
    </sheetView>
  </sheetViews>
  <sheetFormatPr baseColWidth="10" defaultRowHeight="16"/>
  <cols>
    <col min="1" max="1" width="10.83203125" style="86"/>
    <col min="2" max="2" width="157.33203125" style="86" customWidth="1"/>
    <col min="3" max="3" width="10.83203125" style="86" customWidth="1"/>
    <col min="4" max="16384" width="10.83203125" style="86"/>
  </cols>
  <sheetData>
    <row r="1" spans="1:9">
      <c r="B1" s="118">
        <v>2021</v>
      </c>
    </row>
    <row r="2" spans="1:9">
      <c r="B2" s="119" t="s">
        <v>715</v>
      </c>
    </row>
    <row r="3" spans="1:9" ht="30" customHeight="1">
      <c r="B3" s="395" t="s">
        <v>415</v>
      </c>
    </row>
    <row r="4" spans="1:9" ht="29" customHeight="1">
      <c r="B4" s="395" t="s">
        <v>416</v>
      </c>
    </row>
    <row r="5" spans="1:9" ht="18" customHeight="1">
      <c r="B5" s="396" t="str">
        <f>"Gældende for skoleåret "&amp;B2&amp;""</f>
        <v>Gældende for skoleåret 2026-2027</v>
      </c>
    </row>
    <row r="6" spans="1:9">
      <c r="B6" s="88"/>
    </row>
    <row r="7" spans="1:9" customFormat="1" ht="21">
      <c r="A7" s="809"/>
      <c r="B7" s="809" t="s">
        <v>746</v>
      </c>
      <c r="C7" s="809"/>
      <c r="D7" s="809"/>
      <c r="E7" s="809"/>
      <c r="F7" s="809"/>
      <c r="G7" s="809"/>
      <c r="H7" s="809"/>
      <c r="I7" s="809"/>
    </row>
    <row r="8" spans="1:9" customFormat="1" ht="18" customHeight="1">
      <c r="A8" s="294"/>
      <c r="B8" s="294" t="s">
        <v>747</v>
      </c>
      <c r="C8" s="294"/>
      <c r="D8" s="294"/>
      <c r="E8" s="294"/>
      <c r="F8" s="294"/>
      <c r="G8" s="294"/>
      <c r="H8" s="294"/>
      <c r="I8" s="294"/>
    </row>
    <row r="9" spans="1:9" customFormat="1" ht="18" customHeight="1">
      <c r="A9" s="294"/>
      <c r="B9" s="294"/>
      <c r="C9" s="294"/>
      <c r="D9" s="294"/>
      <c r="E9" s="294"/>
      <c r="F9" s="294"/>
      <c r="G9" s="294"/>
      <c r="H9" s="294"/>
      <c r="I9" s="294"/>
    </row>
    <row r="10" spans="1:9">
      <c r="B10" s="391" t="s">
        <v>365</v>
      </c>
    </row>
    <row r="11" spans="1:9">
      <c r="B11" s="116" t="s">
        <v>633</v>
      </c>
    </row>
    <row r="12" spans="1:9">
      <c r="B12" s="116" t="s">
        <v>526</v>
      </c>
    </row>
    <row r="13" spans="1:9" ht="34" customHeight="1">
      <c r="B13" s="605" t="s">
        <v>740</v>
      </c>
    </row>
    <row r="14" spans="1:9" ht="23" customHeight="1">
      <c r="B14" s="605"/>
    </row>
    <row r="15" spans="1:9" ht="17">
      <c r="B15" s="772" t="s">
        <v>692</v>
      </c>
    </row>
    <row r="16" spans="1:9" ht="102">
      <c r="B16" s="328" t="s">
        <v>693</v>
      </c>
    </row>
    <row r="17" spans="2:7" ht="89" customHeight="1">
      <c r="B17" s="808" t="s">
        <v>743</v>
      </c>
    </row>
    <row r="18" spans="2:7">
      <c r="B18" s="328"/>
    </row>
    <row r="19" spans="2:7">
      <c r="B19" s="391" t="s">
        <v>366</v>
      </c>
    </row>
    <row r="20" spans="2:7">
      <c r="B20" s="391" t="s">
        <v>356</v>
      </c>
    </row>
    <row r="21" spans="2:7" ht="33" customHeight="1">
      <c r="B21" s="328" t="s">
        <v>527</v>
      </c>
    </row>
    <row r="22" spans="2:7" ht="34" customHeight="1">
      <c r="B22" s="387" t="s">
        <v>481</v>
      </c>
    </row>
    <row r="23" spans="2:7" ht="8" customHeight="1">
      <c r="B23" s="508"/>
    </row>
    <row r="24" spans="2:7" ht="136" customHeight="1">
      <c r="B24" s="348" t="s">
        <v>684</v>
      </c>
      <c r="C24" s="348"/>
      <c r="D24" s="348"/>
      <c r="E24" s="348"/>
      <c r="F24" s="348"/>
      <c r="G24" s="348"/>
    </row>
    <row r="25" spans="2:7" ht="41" customHeight="1">
      <c r="B25" s="328" t="s">
        <v>417</v>
      </c>
    </row>
    <row r="26" spans="2:7" ht="20" customHeight="1">
      <c r="B26" s="387" t="s">
        <v>418</v>
      </c>
    </row>
    <row r="27" spans="2:7" ht="19" customHeight="1">
      <c r="B27" s="387" t="s">
        <v>419</v>
      </c>
    </row>
    <row r="28" spans="2:7" ht="19" customHeight="1">
      <c r="B28" s="387" t="s">
        <v>679</v>
      </c>
    </row>
    <row r="29" spans="2:7" ht="19" customHeight="1">
      <c r="B29" s="388" t="s">
        <v>420</v>
      </c>
    </row>
    <row r="30" spans="2:7" ht="51">
      <c r="B30" s="328" t="s">
        <v>482</v>
      </c>
    </row>
    <row r="31" spans="2:7" ht="34">
      <c r="B31" s="328" t="s">
        <v>483</v>
      </c>
    </row>
    <row r="32" spans="2:7" ht="39" customHeight="1">
      <c r="B32" s="328" t="s">
        <v>680</v>
      </c>
    </row>
    <row r="33" spans="1:2" ht="56" customHeight="1">
      <c r="B33" s="328" t="s">
        <v>681</v>
      </c>
    </row>
    <row r="34" spans="1:2" ht="56" customHeight="1">
      <c r="B34" s="328" t="s">
        <v>357</v>
      </c>
    </row>
    <row r="35" spans="1:2" ht="34" customHeight="1">
      <c r="B35" s="328" t="s">
        <v>358</v>
      </c>
    </row>
    <row r="36" spans="1:2" ht="21" customHeight="1">
      <c r="A36" s="874"/>
      <c r="B36" s="875" t="s">
        <v>741</v>
      </c>
    </row>
    <row r="37" spans="1:2" ht="21" customHeight="1">
      <c r="A37" s="874"/>
      <c r="B37" s="875"/>
    </row>
    <row r="38" spans="1:2" ht="21" customHeight="1">
      <c r="A38" s="874"/>
      <c r="B38" s="875"/>
    </row>
    <row r="39" spans="1:2" ht="21" customHeight="1">
      <c r="B39" s="875" t="s">
        <v>528</v>
      </c>
    </row>
    <row r="40" spans="1:2" ht="21" customHeight="1">
      <c r="B40" s="875"/>
    </row>
    <row r="41" spans="1:2" ht="27" customHeight="1">
      <c r="B41" s="875"/>
    </row>
    <row r="42" spans="1:2" ht="22" customHeight="1">
      <c r="B42" s="875" t="s">
        <v>682</v>
      </c>
    </row>
    <row r="43" spans="1:2" ht="66" customHeight="1">
      <c r="B43" s="875"/>
    </row>
    <row r="44" spans="1:2">
      <c r="B44" s="390"/>
    </row>
    <row r="45" spans="1:2" ht="17">
      <c r="B45" s="392" t="s">
        <v>359</v>
      </c>
    </row>
    <row r="46" spans="1:2" ht="68">
      <c r="B46" s="389" t="s">
        <v>685</v>
      </c>
    </row>
    <row r="47" spans="1:2">
      <c r="B47" s="389"/>
    </row>
    <row r="48" spans="1:2" ht="17">
      <c r="B48" s="392" t="s">
        <v>360</v>
      </c>
    </row>
    <row r="49" spans="2:2" ht="85">
      <c r="B49" s="389" t="s">
        <v>686</v>
      </c>
    </row>
    <row r="50" spans="2:2">
      <c r="B50" s="389"/>
    </row>
    <row r="51" spans="2:2" ht="51">
      <c r="B51" s="389" t="s">
        <v>512</v>
      </c>
    </row>
    <row r="52" spans="2:2">
      <c r="B52" s="389"/>
    </row>
    <row r="53" spans="2:2" ht="17">
      <c r="B53" s="392" t="s">
        <v>364</v>
      </c>
    </row>
    <row r="54" spans="2:2">
      <c r="B54" s="117" t="s">
        <v>130</v>
      </c>
    </row>
    <row r="55" spans="2:2" ht="16" customHeight="1">
      <c r="B55" s="197" t="s">
        <v>176</v>
      </c>
    </row>
    <row r="56" spans="2:2" ht="38" customHeight="1">
      <c r="B56" s="199" t="s">
        <v>177</v>
      </c>
    </row>
    <row r="57" spans="2:2" ht="20" customHeight="1">
      <c r="B57" s="198" t="s">
        <v>171</v>
      </c>
    </row>
    <row r="58" spans="2:2">
      <c r="B58" s="198" t="s">
        <v>172</v>
      </c>
    </row>
    <row r="59" spans="2:2" ht="19" customHeight="1">
      <c r="B59" s="200" t="s">
        <v>178</v>
      </c>
    </row>
    <row r="60" spans="2:2" ht="22" customHeight="1">
      <c r="B60" s="198" t="s">
        <v>179</v>
      </c>
    </row>
    <row r="61" spans="2:2" ht="55" customHeight="1">
      <c r="B61" s="394" t="s">
        <v>363</v>
      </c>
    </row>
    <row r="62" spans="2:2" ht="16" customHeight="1">
      <c r="B62" s="876" t="str">
        <f>"I skoleåret er der "&amp;Aar!W35&amp;" søgnehelligdage. Disse dage er helligdage, der IKKE falder på en lørdag eller søndag. "</f>
        <v xml:space="preserve">I skoleåret er der 7 søgnehelligdage. Disse dage er helligdage, der IKKE falder på en lørdag eller søndag. </v>
      </c>
    </row>
    <row r="63" spans="2:2" ht="16" hidden="1" customHeight="1">
      <c r="B63" s="876"/>
    </row>
    <row r="64" spans="2:2">
      <c r="B64" s="183"/>
    </row>
    <row r="65" spans="2:2" ht="17">
      <c r="B65" s="184" t="s">
        <v>361</v>
      </c>
    </row>
    <row r="66" spans="2:2" ht="34">
      <c r="B66" s="182" t="s">
        <v>436</v>
      </c>
    </row>
    <row r="67" spans="2:2">
      <c r="B67" s="182"/>
    </row>
    <row r="68" spans="2:2" ht="17">
      <c r="B68" s="184" t="s">
        <v>131</v>
      </c>
    </row>
    <row r="69" spans="2:2" ht="34">
      <c r="B69" s="183" t="s">
        <v>396</v>
      </c>
    </row>
    <row r="70" spans="2:2" ht="17">
      <c r="B70" s="185" t="s">
        <v>397</v>
      </c>
    </row>
    <row r="71" spans="2:2" ht="17">
      <c r="B71" s="186" t="s">
        <v>398</v>
      </c>
    </row>
    <row r="72" spans="2:2" ht="55" customHeight="1">
      <c r="B72" s="187" t="s">
        <v>401</v>
      </c>
    </row>
    <row r="73" spans="2:2" ht="20" customHeight="1">
      <c r="B73" s="188" t="s">
        <v>399</v>
      </c>
    </row>
    <row r="74" spans="2:2" ht="17">
      <c r="B74" s="184" t="s">
        <v>362</v>
      </c>
    </row>
    <row r="75" spans="2:2">
      <c r="B75" s="182"/>
    </row>
    <row r="76" spans="2:2" ht="17">
      <c r="B76" s="189" t="s">
        <v>132</v>
      </c>
    </row>
    <row r="77" spans="2:2" ht="16" customHeight="1">
      <c r="B77" s="877" t="s">
        <v>400</v>
      </c>
    </row>
    <row r="78" spans="2:2">
      <c r="B78" s="877"/>
    </row>
    <row r="79" spans="2:2" ht="50" customHeight="1">
      <c r="B79" s="877"/>
    </row>
    <row r="80" spans="2:2" s="179" customFormat="1" ht="12" customHeight="1">
      <c r="B80" s="190"/>
    </row>
    <row r="81" spans="2:2" s="179" customFormat="1" ht="17" customHeight="1">
      <c r="B81" s="456" t="s">
        <v>410</v>
      </c>
    </row>
    <row r="82" spans="2:2" s="179" customFormat="1" ht="35" customHeight="1">
      <c r="B82" s="456" t="s">
        <v>530</v>
      </c>
    </row>
    <row r="83" spans="2:2">
      <c r="B83" s="190"/>
    </row>
    <row r="84" spans="2:2" ht="17">
      <c r="B84" s="191" t="s">
        <v>163</v>
      </c>
    </row>
    <row r="85" spans="2:2" ht="17">
      <c r="B85" s="192" t="s">
        <v>164</v>
      </c>
    </row>
    <row r="86" spans="2:2" ht="34">
      <c r="B86" s="192" t="s">
        <v>529</v>
      </c>
    </row>
    <row r="87" spans="2:2" ht="17">
      <c r="B87" s="192" t="s">
        <v>170</v>
      </c>
    </row>
    <row r="88" spans="2:2" ht="33" customHeight="1">
      <c r="B88" s="192" t="s">
        <v>402</v>
      </c>
    </row>
    <row r="89" spans="2:2">
      <c r="B89" s="182"/>
    </row>
    <row r="90" spans="2:2" ht="17">
      <c r="B90" s="393" t="s">
        <v>133</v>
      </c>
    </row>
    <row r="91" spans="2:2" ht="16" customHeight="1">
      <c r="B91" s="879" t="s">
        <v>531</v>
      </c>
    </row>
    <row r="92" spans="2:2">
      <c r="B92" s="879"/>
    </row>
    <row r="93" spans="2:2">
      <c r="B93" s="879"/>
    </row>
    <row r="94" spans="2:2" s="179" customFormat="1">
      <c r="B94" s="193"/>
    </row>
    <row r="95" spans="2:2" ht="17">
      <c r="B95" s="184" t="s">
        <v>106</v>
      </c>
    </row>
    <row r="96" spans="2:2" ht="16" customHeight="1">
      <c r="B96" s="878" t="s">
        <v>742</v>
      </c>
    </row>
    <row r="97" spans="2:2">
      <c r="B97" s="878"/>
    </row>
    <row r="98" spans="2:2">
      <c r="B98" s="878"/>
    </row>
    <row r="99" spans="2:2" ht="52" customHeight="1">
      <c r="B99" s="878"/>
    </row>
    <row r="100" spans="2:2" ht="65" customHeight="1">
      <c r="B100" s="457" t="s">
        <v>620</v>
      </c>
    </row>
    <row r="101" spans="2:2" ht="38" customHeight="1">
      <c r="B101" s="457" t="s">
        <v>683</v>
      </c>
    </row>
    <row r="102" spans="2:2" ht="19" customHeight="1">
      <c r="B102" s="457"/>
    </row>
    <row r="103" spans="2:2">
      <c r="B103" s="458" t="s">
        <v>438</v>
      </c>
    </row>
    <row r="104" spans="2:2" ht="38" customHeight="1">
      <c r="B104" s="457" t="s">
        <v>411</v>
      </c>
    </row>
    <row r="105" spans="2:2">
      <c r="B105" s="86" t="s">
        <v>412</v>
      </c>
    </row>
  </sheetData>
  <mergeCells count="8">
    <mergeCell ref="A36:A38"/>
    <mergeCell ref="B42:B43"/>
    <mergeCell ref="B62:B63"/>
    <mergeCell ref="B77:B79"/>
    <mergeCell ref="B96:B99"/>
    <mergeCell ref="B91:B93"/>
    <mergeCell ref="B36:B38"/>
    <mergeCell ref="B39:B41"/>
  </mergeCells>
  <phoneticPr fontId="5" type="noConversion"/>
  <pageMargins left="0.25" right="0.25" top="0.75" bottom="0.75" header="0.3" footer="0.3"/>
  <pageSetup paperSize="9" scale="56" fitToHeight="2" orientation="portrait" horizontalDpi="4294967292" verticalDpi="4294967292"/>
  <rowBreaks count="1" manualBreakCount="1">
    <brk id="43" min="1" max="1" man="1"/>
  </rowBreaks>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12109-97B4-644B-B498-50EB87F49447}">
  <sheetPr>
    <tabColor theme="4" tint="-0.249977111117893"/>
    <pageSetUpPr fitToPage="1"/>
  </sheetPr>
  <dimension ref="A1:GP122"/>
  <sheetViews>
    <sheetView topLeftCell="A12" zoomScale="90" workbookViewId="0">
      <selection activeCell="T29" sqref="T29"/>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11" width="10.83203125" hidden="1" customWidth="1"/>
    <col min="112" max="112" width="21.33203125" hidden="1" customWidth="1"/>
    <col min="113" max="188" width="10.83203125" hidden="1" customWidth="1"/>
    <col min="189" max="217"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38"/>
      <c r="Y1" s="240"/>
      <c r="Z1" s="87"/>
      <c r="AB1" s="87"/>
      <c r="AC1" s="87"/>
      <c r="AH1" s="87"/>
      <c r="AI1" s="87"/>
      <c r="CX1" s="242"/>
      <c r="CZ1"/>
    </row>
    <row r="2" spans="1:198" ht="20">
      <c r="A2" s="89">
        <v>10</v>
      </c>
      <c r="B2" s="1252"/>
      <c r="C2" s="1252"/>
      <c r="D2" s="1252"/>
      <c r="E2" s="1252"/>
      <c r="F2" s="87"/>
      <c r="G2" s="87"/>
      <c r="H2" s="273"/>
      <c r="I2" s="272"/>
      <c r="J2" s="225"/>
      <c r="K2" s="225"/>
      <c r="L2" s="225"/>
      <c r="M2" s="225"/>
      <c r="N2" s="225"/>
      <c r="O2" s="225"/>
      <c r="P2" s="87"/>
      <c r="Q2" s="87"/>
      <c r="R2" s="87"/>
      <c r="S2" s="87"/>
      <c r="T2" s="87"/>
      <c r="U2" s="87"/>
      <c r="V2" s="87"/>
      <c r="W2" s="120" t="s">
        <v>31</v>
      </c>
      <c r="X2" s="120" t="s">
        <v>31</v>
      </c>
      <c r="Y2" s="240"/>
      <c r="Z2" s="87"/>
      <c r="AB2" s="87"/>
      <c r="AC2" s="87"/>
      <c r="AH2" s="87"/>
      <c r="AI2" s="87"/>
      <c r="CX2" s="242"/>
      <c r="CZ2"/>
    </row>
    <row r="3" spans="1:198" ht="24" customHeight="1" thickBot="1">
      <c r="A3" s="864" t="s">
        <v>689</v>
      </c>
      <c r="B3" s="864"/>
      <c r="C3" s="864"/>
      <c r="D3" s="864"/>
      <c r="E3" s="864"/>
      <c r="F3" s="864"/>
      <c r="G3" s="864"/>
      <c r="H3" s="864"/>
      <c r="I3" s="723"/>
      <c r="J3" s="723"/>
      <c r="K3" s="723"/>
      <c r="L3" s="723"/>
      <c r="M3" s="723"/>
      <c r="N3" s="723"/>
      <c r="O3" s="723"/>
      <c r="P3" s="723"/>
      <c r="Q3" s="723"/>
      <c r="R3" s="723"/>
      <c r="S3" s="723"/>
      <c r="T3" s="723"/>
      <c r="Y3"/>
      <c r="Z3"/>
      <c r="AP3" s="38"/>
      <c r="CY3"/>
      <c r="CZ3"/>
    </row>
    <row r="4" spans="1:198" ht="50" customHeight="1" thickBot="1">
      <c r="A4" s="1226" t="s">
        <v>691</v>
      </c>
      <c r="B4" s="1227"/>
      <c r="C4" s="867" t="s">
        <v>495</v>
      </c>
      <c r="D4" s="868"/>
      <c r="E4" s="869" t="s">
        <v>688</v>
      </c>
      <c r="F4" s="870"/>
      <c r="G4" s="965" t="s">
        <v>367</v>
      </c>
      <c r="H4" s="966"/>
      <c r="I4" s="871" t="s">
        <v>687</v>
      </c>
      <c r="J4" s="1018"/>
      <c r="K4" s="628"/>
      <c r="Y4"/>
      <c r="Z4"/>
      <c r="CY4"/>
      <c r="CZ4"/>
    </row>
    <row r="5" spans="1:198" ht="50" customHeight="1" thickBot="1">
      <c r="A5" s="873" t="s">
        <v>231</v>
      </c>
      <c r="B5" s="873"/>
      <c r="C5" s="1228" t="s">
        <v>233</v>
      </c>
      <c r="D5" s="1228"/>
      <c r="E5" s="873" t="s">
        <v>234</v>
      </c>
      <c r="F5" s="873"/>
      <c r="G5" s="873" t="s">
        <v>235</v>
      </c>
      <c r="H5" s="873"/>
      <c r="Y5"/>
      <c r="Z5"/>
      <c r="CY5"/>
      <c r="CZ5"/>
    </row>
    <row r="6" spans="1:198" ht="50" customHeight="1" thickBot="1">
      <c r="A6" s="873" t="s">
        <v>279</v>
      </c>
      <c r="B6" s="873"/>
      <c r="C6" s="873" t="s">
        <v>280</v>
      </c>
      <c r="D6" s="873"/>
      <c r="E6" s="873" t="s">
        <v>281</v>
      </c>
      <c r="F6" s="873"/>
      <c r="G6" s="873" t="s">
        <v>282</v>
      </c>
      <c r="H6" s="873"/>
      <c r="Y6"/>
      <c r="Z6"/>
      <c r="CY6"/>
      <c r="CZ6"/>
    </row>
    <row r="7" spans="1:198" ht="50" customHeight="1" thickBot="1">
      <c r="A7" s="873" t="s">
        <v>283</v>
      </c>
      <c r="B7" s="873"/>
      <c r="C7" s="873" t="s">
        <v>284</v>
      </c>
      <c r="D7" s="873"/>
      <c r="E7" s="873" t="s">
        <v>285</v>
      </c>
      <c r="F7" s="873"/>
      <c r="G7" s="873" t="s">
        <v>286</v>
      </c>
      <c r="H7" s="873"/>
      <c r="Y7"/>
      <c r="Z7"/>
      <c r="CY7"/>
      <c r="CZ7"/>
    </row>
    <row r="8" spans="1:198" ht="17" thickBot="1">
      <c r="A8" s="1273" t="s">
        <v>306</v>
      </c>
      <c r="B8" s="1274"/>
      <c r="C8" s="1274"/>
      <c r="D8" s="1274"/>
      <c r="E8" s="1274"/>
      <c r="F8" s="1274"/>
      <c r="G8" s="1274"/>
      <c r="H8" s="1274"/>
      <c r="I8" s="1274"/>
      <c r="J8" s="1274"/>
      <c r="K8" s="1274"/>
      <c r="L8" s="1274"/>
      <c r="M8" s="1274"/>
      <c r="N8" s="1274"/>
      <c r="O8" s="1274"/>
      <c r="P8" s="1274"/>
      <c r="Q8" s="1274"/>
      <c r="R8" s="1274"/>
      <c r="S8" s="1274"/>
      <c r="T8" s="1274"/>
      <c r="U8" s="1274"/>
      <c r="V8" s="1274"/>
      <c r="W8" s="1274"/>
      <c r="X8" s="1275"/>
      <c r="Y8" s="87"/>
      <c r="Z8"/>
      <c r="AC8" s="87"/>
      <c r="AD8" s="87"/>
      <c r="AF8" s="87"/>
      <c r="CT8" s="242"/>
      <c r="CU8" s="242"/>
      <c r="CY8"/>
      <c r="CZ8"/>
      <c r="FI8" s="1179" t="s">
        <v>584</v>
      </c>
      <c r="FJ8" s="1180"/>
      <c r="FK8" s="1180"/>
      <c r="FL8" s="1180"/>
      <c r="FM8" s="1180"/>
      <c r="FN8" s="1180"/>
      <c r="FO8" s="1180"/>
      <c r="FP8" s="1180"/>
      <c r="FQ8" s="1180"/>
      <c r="FR8" s="1180"/>
      <c r="FS8" s="1180"/>
      <c r="FT8" s="1180"/>
      <c r="FU8" s="1180"/>
      <c r="FV8" s="1180"/>
      <c r="FW8" s="1180"/>
      <c r="FX8" s="1180"/>
      <c r="FY8" s="1180"/>
      <c r="FZ8" s="1180"/>
      <c r="GA8" s="1180"/>
      <c r="GB8" s="1180"/>
      <c r="GC8" s="1181"/>
    </row>
    <row r="9" spans="1:198" ht="254" customHeight="1" thickBot="1">
      <c r="A9" s="1066" t="s">
        <v>421</v>
      </c>
      <c r="B9" s="1067"/>
      <c r="C9" s="1067"/>
      <c r="D9" s="1067"/>
      <c r="E9" s="1068" t="s">
        <v>307</v>
      </c>
      <c r="F9" s="1068"/>
      <c r="G9" s="1068"/>
      <c r="H9" s="274" t="s">
        <v>404</v>
      </c>
      <c r="I9" s="425"/>
      <c r="J9" s="425"/>
      <c r="K9" s="1078" t="s">
        <v>496</v>
      </c>
      <c r="L9" s="1078"/>
      <c r="M9" s="471" t="s">
        <v>444</v>
      </c>
      <c r="N9" s="471" t="s">
        <v>422</v>
      </c>
      <c r="O9" s="471" t="s">
        <v>423</v>
      </c>
      <c r="P9" s="472" t="s">
        <v>445</v>
      </c>
      <c r="Q9" s="472" t="s">
        <v>305</v>
      </c>
      <c r="R9" s="472" t="s">
        <v>424</v>
      </c>
      <c r="S9" s="473" t="s">
        <v>451</v>
      </c>
      <c r="T9" s="473" t="s">
        <v>425</v>
      </c>
      <c r="U9" s="473" t="s">
        <v>426</v>
      </c>
      <c r="V9" s="474" t="s">
        <v>446</v>
      </c>
      <c r="W9" s="474" t="s">
        <v>393</v>
      </c>
      <c r="X9" s="475" t="s">
        <v>392</v>
      </c>
      <c r="Y9" s="240"/>
      <c r="Z9" s="87"/>
      <c r="AB9" s="87"/>
      <c r="AC9" s="87"/>
      <c r="AH9" s="87"/>
      <c r="AI9" s="87"/>
      <c r="CX9" s="242"/>
      <c r="CZ9"/>
      <c r="FI9" s="837" t="s">
        <v>582</v>
      </c>
      <c r="FJ9" s="837"/>
      <c r="FK9" s="837"/>
      <c r="FL9" s="837"/>
      <c r="FM9" t="s">
        <v>575</v>
      </c>
      <c r="FO9" s="837" t="s">
        <v>581</v>
      </c>
      <c r="FP9" s="837"/>
      <c r="FQ9" s="837"/>
      <c r="FR9" s="837"/>
    </row>
    <row r="10" spans="1:198" ht="26" customHeight="1" thickBot="1">
      <c r="A10" s="1194" t="str">
        <f>""&amp;A12&amp;" måneds kalender for: "&amp;Stamoplysninger!E13&amp;". Måneden vedr. normperioden: "&amp;Stamoplysninger!E16&amp;" - "&amp;Stamoplysninger!G16&amp;"."</f>
        <v>Oktober måneds kalender for: Beate Simonsen. Måneden vedr. normperioden:  - .</v>
      </c>
      <c r="B10" s="1195"/>
      <c r="C10" s="1195"/>
      <c r="D10" s="1195"/>
      <c r="E10" s="1195"/>
      <c r="F10" s="1195"/>
      <c r="G10" s="1195"/>
      <c r="H10" s="1195"/>
      <c r="I10" s="1195"/>
      <c r="J10" s="1195"/>
      <c r="K10" s="1195"/>
      <c r="L10" s="1195"/>
      <c r="M10" s="1195"/>
      <c r="N10" s="1195"/>
      <c r="O10" s="1195"/>
      <c r="P10" s="1195"/>
      <c r="Q10" s="1195"/>
      <c r="R10" s="1196"/>
      <c r="S10" s="1073" t="s">
        <v>302</v>
      </c>
      <c r="T10" s="1074"/>
      <c r="U10" s="1074"/>
      <c r="V10" s="1074"/>
      <c r="W10" s="1074"/>
      <c r="X10" s="1075"/>
      <c r="Y10" s="240"/>
      <c r="Z10" s="87"/>
      <c r="AB10" s="87"/>
      <c r="AC10" s="87"/>
      <c r="AH10" s="87"/>
      <c r="AI10" s="87"/>
      <c r="CX10" s="242"/>
      <c r="CZ10"/>
      <c r="DV10" t="s">
        <v>665</v>
      </c>
      <c r="ED10" t="s">
        <v>665</v>
      </c>
      <c r="FC10" s="1208" t="s">
        <v>654</v>
      </c>
      <c r="FD10" s="1208"/>
      <c r="FE10" s="1208"/>
      <c r="FF10" s="1208"/>
      <c r="FG10" s="1208" t="s">
        <v>654</v>
      </c>
      <c r="FH10" s="1208"/>
      <c r="FI10" s="1208"/>
      <c r="FJ10" s="1208"/>
      <c r="FK10" s="1182" t="s">
        <v>569</v>
      </c>
      <c r="FL10" s="1182"/>
      <c r="FM10" s="1182"/>
      <c r="FN10" s="1182"/>
      <c r="FO10" s="1182"/>
      <c r="FP10" s="1182"/>
      <c r="FQ10" s="1182"/>
      <c r="FR10" s="1182"/>
      <c r="FS10" s="1182"/>
      <c r="FT10" s="1182"/>
      <c r="FU10" s="1182"/>
      <c r="FV10" s="1182"/>
      <c r="FW10" s="1182"/>
      <c r="FX10" s="1182"/>
      <c r="GA10" t="s">
        <v>583</v>
      </c>
      <c r="GB10" t="s">
        <v>576</v>
      </c>
      <c r="GD10" t="s">
        <v>577</v>
      </c>
      <c r="GF10" t="s">
        <v>578</v>
      </c>
      <c r="GH10" s="511" t="s">
        <v>579</v>
      </c>
    </row>
    <row r="11" spans="1:198" ht="47" customHeight="1">
      <c r="A11" s="320">
        <f>August!A12</f>
        <v>2026</v>
      </c>
      <c r="B11" s="236"/>
      <c r="C11" s="237"/>
      <c r="D11" s="238"/>
      <c r="E11" s="1199" t="s">
        <v>455</v>
      </c>
      <c r="F11" s="1200"/>
      <c r="G11" s="1201"/>
      <c r="H11" s="317" t="s">
        <v>674</v>
      </c>
      <c r="I11" s="1031" t="s">
        <v>452</v>
      </c>
      <c r="J11" s="1032" t="s">
        <v>470</v>
      </c>
      <c r="K11" s="1197" t="s">
        <v>299</v>
      </c>
      <c r="L11" s="1198"/>
      <c r="M11" s="318" t="s">
        <v>300</v>
      </c>
      <c r="N11" s="1047" t="s">
        <v>435</v>
      </c>
      <c r="O11" s="1047" t="s">
        <v>304</v>
      </c>
      <c r="P11" s="1047" t="s">
        <v>443</v>
      </c>
      <c r="Q11" s="1047" t="s">
        <v>381</v>
      </c>
      <c r="R11" s="1215" t="s">
        <v>497</v>
      </c>
      <c r="S11" s="1223" t="s">
        <v>301</v>
      </c>
      <c r="T11" s="1224"/>
      <c r="U11" s="1224"/>
      <c r="V11" s="1224"/>
      <c r="W11" s="1224"/>
      <c r="X11" s="1225"/>
      <c r="Y11" s="209"/>
      <c r="Z11" s="209"/>
      <c r="AA11" s="1049" t="s">
        <v>258</v>
      </c>
      <c r="AB11" s="1049"/>
      <c r="AC11" s="1049"/>
      <c r="AD11" s="1049"/>
      <c r="AE11" s="1049"/>
      <c r="AF11" s="206"/>
      <c r="AG11" s="1049" t="s">
        <v>219</v>
      </c>
      <c r="AH11" s="1049"/>
      <c r="AI11" s="1049"/>
      <c r="AJ11" s="1049"/>
      <c r="AK11" s="1049"/>
      <c r="AL11" s="1049" t="s">
        <v>220</v>
      </c>
      <c r="AM11" s="1049"/>
      <c r="AN11" s="1049"/>
      <c r="AO11" s="1049"/>
      <c r="AP11" s="1049"/>
      <c r="AQ11" s="1049" t="s">
        <v>221</v>
      </c>
      <c r="AR11" s="1049"/>
      <c r="AS11" s="1049"/>
      <c r="AT11" s="1049"/>
      <c r="AU11" s="1049"/>
      <c r="AV11" s="1049" t="s">
        <v>222</v>
      </c>
      <c r="AW11" s="1049"/>
      <c r="AX11" s="1049"/>
      <c r="AY11" s="1049"/>
      <c r="AZ11" s="1049"/>
      <c r="BA11" s="293"/>
      <c r="BB11" s="206"/>
      <c r="BC11" s="1049" t="s">
        <v>261</v>
      </c>
      <c r="BD11" s="1049"/>
      <c r="BE11" s="1049"/>
      <c r="BF11" s="1049"/>
      <c r="BG11" s="1049" t="s">
        <v>224</v>
      </c>
      <c r="BH11" s="1049"/>
      <c r="BI11" s="1049"/>
      <c r="BJ11" s="1049"/>
      <c r="BK11" s="1049"/>
      <c r="BL11" s="1049" t="s">
        <v>225</v>
      </c>
      <c r="BM11" s="1049"/>
      <c r="BN11" s="1049"/>
      <c r="BO11" s="1049"/>
      <c r="BP11" s="1049"/>
      <c r="BQ11" s="1049" t="s">
        <v>226</v>
      </c>
      <c r="BR11" s="1049"/>
      <c r="BS11" s="1049"/>
      <c r="BT11" s="1049"/>
      <c r="BU11" s="1049"/>
      <c r="BV11" s="1049" t="s">
        <v>227</v>
      </c>
      <c r="BW11" s="1049"/>
      <c r="BX11" s="1049"/>
      <c r="BY11" s="1049"/>
      <c r="BZ11" s="1049"/>
      <c r="CD11" s="1049" t="s">
        <v>262</v>
      </c>
      <c r="CE11" s="1049"/>
      <c r="CF11" s="1049"/>
      <c r="CG11" s="1049"/>
      <c r="CH11" s="1049"/>
      <c r="CI11" s="1049" t="s">
        <v>264</v>
      </c>
      <c r="CJ11" s="1049"/>
      <c r="CK11" s="1049"/>
      <c r="CL11" s="1049"/>
      <c r="CM11" s="1049"/>
      <c r="CN11" s="1049" t="s">
        <v>263</v>
      </c>
      <c r="CO11" s="1049"/>
      <c r="CP11" s="1049"/>
      <c r="CQ11" s="1049"/>
      <c r="CR11" s="1049"/>
      <c r="CS11" s="1049" t="s">
        <v>265</v>
      </c>
      <c r="CT11" s="1049"/>
      <c r="CU11" s="1049"/>
      <c r="CV11" s="1049"/>
      <c r="CW11" s="1049"/>
      <c r="CX11" s="242"/>
      <c r="CZ11"/>
      <c r="DA11" s="837" t="s">
        <v>209</v>
      </c>
      <c r="DB11" s="837"/>
      <c r="DC11" s="837"/>
      <c r="DD11" s="837"/>
      <c r="DE11" s="837"/>
      <c r="DO11" s="1217" t="s">
        <v>315</v>
      </c>
      <c r="DP11" s="1218"/>
      <c r="DQ11" s="1218"/>
      <c r="DR11" s="1218"/>
      <c r="DS11" s="1218"/>
      <c r="DT11" s="1218"/>
      <c r="DU11" s="1218"/>
      <c r="DV11" s="1219"/>
      <c r="DW11" s="1220" t="s">
        <v>370</v>
      </c>
      <c r="DX11" s="1221"/>
      <c r="DY11" s="1221"/>
      <c r="DZ11" s="1221"/>
      <c r="EA11" s="1221"/>
      <c r="EB11" s="1221"/>
      <c r="EC11" s="1221"/>
      <c r="ED11" s="1222"/>
      <c r="EE11" s="1212" t="s">
        <v>316</v>
      </c>
      <c r="EF11" s="1213"/>
      <c r="EG11" s="1213"/>
      <c r="EH11" s="1214"/>
      <c r="EI11" s="1209" t="s">
        <v>655</v>
      </c>
      <c r="EJ11" s="1210"/>
      <c r="EK11" s="1210"/>
      <c r="EL11" s="1211"/>
      <c r="EM11" s="1212" t="s">
        <v>319</v>
      </c>
      <c r="EN11" s="1213"/>
      <c r="EO11" s="1213"/>
      <c r="EP11" s="1214"/>
      <c r="EQ11" s="1212" t="s">
        <v>319</v>
      </c>
      <c r="ER11" s="1213"/>
      <c r="ES11" s="1213"/>
      <c r="ET11" s="1214"/>
      <c r="EU11" s="1042" t="s">
        <v>373</v>
      </c>
      <c r="EV11" s="1043"/>
      <c r="EW11" s="1043"/>
      <c r="EX11" s="1044"/>
      <c r="EY11" s="1042" t="s">
        <v>374</v>
      </c>
      <c r="EZ11" s="1043"/>
      <c r="FA11" s="1043"/>
      <c r="FB11" s="1044"/>
      <c r="FC11" s="1042" t="s">
        <v>375</v>
      </c>
      <c r="FD11" s="1043"/>
      <c r="FE11" s="1043"/>
      <c r="FF11" s="1044"/>
      <c r="FG11" s="1042" t="s">
        <v>376</v>
      </c>
      <c r="FH11" s="1043"/>
      <c r="FI11" s="1043"/>
      <c r="FJ11" s="1044"/>
      <c r="FK11" s="1172" t="s">
        <v>658</v>
      </c>
      <c r="FL11" s="1173"/>
      <c r="FM11" s="1173"/>
      <c r="FN11" s="1174"/>
      <c r="FO11" s="1027" t="s">
        <v>659</v>
      </c>
      <c r="FP11" s="1028"/>
      <c r="FQ11" s="1028"/>
      <c r="FR11" s="1029"/>
      <c r="FS11" s="1183" t="s">
        <v>375</v>
      </c>
      <c r="FT11" s="1183"/>
      <c r="FU11" s="1172" t="s">
        <v>580</v>
      </c>
      <c r="FV11" s="1173"/>
      <c r="FW11" s="1173"/>
      <c r="FX11" s="1184"/>
      <c r="FY11" s="1185" t="s">
        <v>571</v>
      </c>
      <c r="FZ11" s="1186"/>
      <c r="GA11" t="s">
        <v>573</v>
      </c>
      <c r="GB11" s="1183" t="s">
        <v>373</v>
      </c>
      <c r="GC11" s="1183"/>
      <c r="GD11" s="1183" t="s">
        <v>374</v>
      </c>
      <c r="GE11" s="1183"/>
      <c r="GF11" s="1183" t="s">
        <v>376</v>
      </c>
      <c r="GG11" s="1183"/>
      <c r="GH11" s="1183" t="s">
        <v>372</v>
      </c>
      <c r="GI11" s="1183"/>
      <c r="GP11" s="109" t="s">
        <v>663</v>
      </c>
    </row>
    <row r="12" spans="1:198" ht="187" customHeight="1">
      <c r="A12" s="1187" t="s">
        <v>234</v>
      </c>
      <c r="B12" s="1188"/>
      <c r="C12" s="1188"/>
      <c r="D12" s="1189"/>
      <c r="E12" s="1202"/>
      <c r="F12" s="1203"/>
      <c r="G12" s="1204"/>
      <c r="H12" s="1193" t="s">
        <v>668</v>
      </c>
      <c r="I12" s="1031"/>
      <c r="J12" s="1032"/>
      <c r="K12" s="319" t="s">
        <v>498</v>
      </c>
      <c r="L12" s="319" t="s">
        <v>499</v>
      </c>
      <c r="M12" s="319" t="s">
        <v>500</v>
      </c>
      <c r="N12" s="1048"/>
      <c r="O12" s="1048"/>
      <c r="P12" s="1048"/>
      <c r="Q12" s="1048"/>
      <c r="R12" s="1216"/>
      <c r="S12" s="477" t="s">
        <v>669</v>
      </c>
      <c r="T12" s="318" t="s">
        <v>303</v>
      </c>
      <c r="U12" s="318" t="s">
        <v>672</v>
      </c>
      <c r="V12" s="430" t="s">
        <v>428</v>
      </c>
      <c r="W12" s="430" t="s">
        <v>427</v>
      </c>
      <c r="X12" s="431" t="s">
        <v>673</v>
      </c>
      <c r="Y12" s="209" t="s">
        <v>276</v>
      </c>
      <c r="Z12" s="209" t="s">
        <v>277</v>
      </c>
      <c r="AA12" s="294" t="s">
        <v>208</v>
      </c>
      <c r="AB12" t="s">
        <v>134</v>
      </c>
      <c r="AC12" t="s">
        <v>137</v>
      </c>
      <c r="AD12" t="s">
        <v>136</v>
      </c>
      <c r="AE12" t="s">
        <v>135</v>
      </c>
      <c r="AF12" t="s">
        <v>406</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223</v>
      </c>
      <c r="BB12" s="223" t="s">
        <v>210</v>
      </c>
      <c r="BC12" t="s">
        <v>260</v>
      </c>
      <c r="BD12" t="s">
        <v>259</v>
      </c>
      <c r="BE12" t="s">
        <v>245</v>
      </c>
      <c r="BF12" t="s">
        <v>246</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228</v>
      </c>
      <c r="CB12" s="228" t="s">
        <v>248</v>
      </c>
      <c r="CC12" s="294" t="s">
        <v>249</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274</v>
      </c>
      <c r="CY12" s="242" t="s">
        <v>266</v>
      </c>
      <c r="CZ12" s="242" t="s">
        <v>267</v>
      </c>
      <c r="DA12" s="242" t="s">
        <v>268</v>
      </c>
      <c r="DB12" s="242" t="s">
        <v>269</v>
      </c>
      <c r="DC12" s="242" t="s">
        <v>270</v>
      </c>
      <c r="DD12" s="242" t="s">
        <v>271</v>
      </c>
      <c r="DE12" s="242" t="s">
        <v>272</v>
      </c>
      <c r="DF12" s="242" t="s">
        <v>273</v>
      </c>
      <c r="DG12" s="242"/>
      <c r="DO12" s="626" t="s">
        <v>642</v>
      </c>
      <c r="DP12" s="294" t="s">
        <v>643</v>
      </c>
      <c r="DQ12" s="677" t="s">
        <v>644</v>
      </c>
      <c r="DR12" s="677" t="s">
        <v>645</v>
      </c>
      <c r="DS12" s="627" t="s">
        <v>670</v>
      </c>
      <c r="DT12" s="627" t="str">
        <f>DP12</f>
        <v>Ulempetillæg på weekenddage - kræver der er sat kryds i weekendarbejde. KOLONNE I. Minus ved lejrskole.</v>
      </c>
      <c r="DU12" s="679" t="s">
        <v>600</v>
      </c>
      <c r="DV12" s="678" t="str">
        <f>DR12</f>
        <v>Ulempetillæg ændringer på weekenddage. Kræver der er sat kryds i ændring i timetal og at det er en weekeend. KOLONNE I OG S. Minus lejrskole</v>
      </c>
      <c r="DW12" s="680" t="s">
        <v>646</v>
      </c>
      <c r="DX12" s="677" t="s">
        <v>647</v>
      </c>
      <c r="DY12" s="677" t="s">
        <v>648</v>
      </c>
      <c r="DZ12" s="677" t="s">
        <v>649</v>
      </c>
      <c r="EA12" s="627" t="s">
        <v>599</v>
      </c>
      <c r="EB12" s="679" t="str">
        <f>DX12</f>
        <v>Ulempetillæg på weekenddage til afspadsering. Kræver der er sat kryds i weekendarb. KOLONNE I. Minus ved lejrskole.</v>
      </c>
      <c r="EC12" s="679" t="s">
        <v>600</v>
      </c>
      <c r="ED12" s="678" t="str">
        <f>DZ12</f>
        <v>Ulempetillæg ændringer på weekenddage. Kræver der er sat kryds i ændring i timetal og at det er en weekeend. KOLONNE I OG S. Minus lejrskole</v>
      </c>
      <c r="EE12" s="632" t="s">
        <v>650</v>
      </c>
      <c r="EF12" s="630" t="s">
        <v>601</v>
      </c>
      <c r="EG12" s="631" t="s">
        <v>604</v>
      </c>
      <c r="EH12" s="633" t="s">
        <v>603</v>
      </c>
      <c r="EI12" s="715" t="s">
        <v>656</v>
      </c>
      <c r="EJ12" s="719" t="s">
        <v>660</v>
      </c>
      <c r="EK12" s="631" t="s">
        <v>604</v>
      </c>
      <c r="EL12" s="633" t="s">
        <v>603</v>
      </c>
      <c r="EM12" s="632" t="s">
        <v>650</v>
      </c>
      <c r="EN12" s="630" t="s">
        <v>653</v>
      </c>
      <c r="EO12" s="631" t="s">
        <v>604</v>
      </c>
      <c r="EP12" s="633" t="s">
        <v>603</v>
      </c>
      <c r="EQ12" s="715" t="s">
        <v>657</v>
      </c>
      <c r="ER12" s="719" t="s">
        <v>661</v>
      </c>
      <c r="ES12" s="631" t="s">
        <v>604</v>
      </c>
      <c r="ET12" s="633" t="s">
        <v>603</v>
      </c>
      <c r="EU12" s="632" t="s">
        <v>651</v>
      </c>
      <c r="EV12" s="630" t="s">
        <v>652</v>
      </c>
      <c r="EW12" s="631" t="s">
        <v>602</v>
      </c>
      <c r="EX12" s="633" t="s">
        <v>606</v>
      </c>
      <c r="EY12" s="632" t="s">
        <v>651</v>
      </c>
      <c r="EZ12" s="630" t="s">
        <v>652</v>
      </c>
      <c r="FA12" s="631" t="s">
        <v>602</v>
      </c>
      <c r="FB12" s="633" t="s">
        <v>606</v>
      </c>
      <c r="FC12" s="632" t="s">
        <v>607</v>
      </c>
      <c r="FD12" s="630" t="s">
        <v>605</v>
      </c>
      <c r="FE12" s="631" t="s">
        <v>602</v>
      </c>
      <c r="FF12" s="633" t="s">
        <v>606</v>
      </c>
      <c r="FG12" s="632" t="str">
        <f>FC12</f>
        <v>Weekendtimer på weekenddage</v>
      </c>
      <c r="FH12" s="630" t="s">
        <v>605</v>
      </c>
      <c r="FI12" s="631" t="s">
        <v>602</v>
      </c>
      <c r="FJ12" s="633" t="s">
        <v>606</v>
      </c>
      <c r="FK12" s="658" t="s">
        <v>568</v>
      </c>
      <c r="FL12" s="630" t="s">
        <v>550</v>
      </c>
      <c r="FM12" s="658" t="s">
        <v>568</v>
      </c>
      <c r="FN12" s="633" t="s">
        <v>550</v>
      </c>
      <c r="FO12" s="715" t="s">
        <v>568</v>
      </c>
      <c r="FP12" s="630" t="s">
        <v>550</v>
      </c>
      <c r="FQ12" s="658" t="s">
        <v>568</v>
      </c>
      <c r="FR12" s="633" t="s">
        <v>550</v>
      </c>
      <c r="FS12" s="659" t="s">
        <v>563</v>
      </c>
      <c r="FT12" s="660" t="s">
        <v>564</v>
      </c>
      <c r="FU12" s="658" t="s">
        <v>549</v>
      </c>
      <c r="FV12" s="630" t="s">
        <v>550</v>
      </c>
      <c r="FW12" s="662" t="s">
        <v>549</v>
      </c>
      <c r="FX12" s="663" t="s">
        <v>550</v>
      </c>
      <c r="FY12" s="667" t="s">
        <v>570</v>
      </c>
      <c r="FZ12" s="660" t="s">
        <v>570</v>
      </c>
      <c r="GA12" s="294" t="s">
        <v>572</v>
      </c>
      <c r="GB12" s="659" t="s">
        <v>574</v>
      </c>
      <c r="GC12" s="659" t="s">
        <v>574</v>
      </c>
      <c r="GD12" s="659" t="s">
        <v>574</v>
      </c>
      <c r="GE12" s="659" t="s">
        <v>574</v>
      </c>
      <c r="GF12" s="659" t="s">
        <v>565</v>
      </c>
      <c r="GG12" s="660" t="s">
        <v>566</v>
      </c>
      <c r="GH12" s="659" t="s">
        <v>565</v>
      </c>
      <c r="GI12" s="660" t="s">
        <v>566</v>
      </c>
      <c r="GJ12" s="712" t="s">
        <v>635</v>
      </c>
      <c r="GK12" s="712" t="s">
        <v>636</v>
      </c>
      <c r="GL12" s="712" t="s">
        <v>637</v>
      </c>
      <c r="GM12" s="712" t="s">
        <v>638</v>
      </c>
      <c r="GN12" s="712" t="s">
        <v>640</v>
      </c>
      <c r="GO12" s="712" t="s">
        <v>639</v>
      </c>
      <c r="GP12" s="722" t="s">
        <v>662</v>
      </c>
    </row>
    <row r="13" spans="1:198" ht="20" customHeight="1">
      <c r="A13" s="1190"/>
      <c r="B13" s="1191"/>
      <c r="C13" s="1191"/>
      <c r="D13" s="1192"/>
      <c r="E13" s="1205"/>
      <c r="F13" s="1206"/>
      <c r="G13" s="1207"/>
      <c r="H13" s="1048"/>
      <c r="I13" s="1031"/>
      <c r="J13" s="1032"/>
      <c r="K13" s="1076" t="s">
        <v>320</v>
      </c>
      <c r="L13" s="1058"/>
      <c r="M13" s="1058"/>
      <c r="N13" s="1058"/>
      <c r="O13" s="1058"/>
      <c r="P13" s="1058"/>
      <c r="Q13" s="1058"/>
      <c r="R13" s="1077"/>
      <c r="S13" s="1057" t="s">
        <v>377</v>
      </c>
      <c r="T13" s="1058"/>
      <c r="U13" s="1059"/>
      <c r="V13" s="1076" t="s">
        <v>378</v>
      </c>
      <c r="W13" s="1058"/>
      <c r="X13" s="1077"/>
      <c r="Y13" s="209"/>
      <c r="Z13" s="209"/>
      <c r="AA13" s="294"/>
      <c r="BB13" s="223"/>
      <c r="CA13" s="109"/>
      <c r="CB13" s="228"/>
      <c r="CC13" s="294"/>
      <c r="CX13" s="242"/>
      <c r="DA13" s="242"/>
      <c r="DB13" s="242"/>
      <c r="DC13" s="242"/>
      <c r="DD13" s="242"/>
      <c r="DE13" s="242"/>
      <c r="DF13" s="242"/>
      <c r="DG13" s="242"/>
      <c r="DH13" t="s">
        <v>476</v>
      </c>
      <c r="DI13" t="s">
        <v>477</v>
      </c>
      <c r="DJ13" t="s">
        <v>478</v>
      </c>
      <c r="DO13" s="628"/>
      <c r="DP13" s="714" t="s">
        <v>641</v>
      </c>
      <c r="DS13" s="1176" t="s">
        <v>160</v>
      </c>
      <c r="DT13" s="1176"/>
      <c r="DU13" s="1176"/>
      <c r="DV13" s="1177"/>
      <c r="EA13" s="1178" t="s">
        <v>160</v>
      </c>
      <c r="EB13" s="1178"/>
      <c r="EC13" s="1178"/>
      <c r="ED13" s="629"/>
      <c r="EE13" s="277"/>
      <c r="EF13" s="245"/>
      <c r="EG13" s="1045" t="s">
        <v>160</v>
      </c>
      <c r="EH13" s="1046"/>
      <c r="EI13" s="277"/>
      <c r="EJ13" s="245"/>
      <c r="EK13" s="1045" t="s">
        <v>160</v>
      </c>
      <c r="EL13" s="1046"/>
      <c r="EM13" s="277"/>
      <c r="EN13" s="245"/>
      <c r="EO13" s="1045" t="s">
        <v>160</v>
      </c>
      <c r="EP13" s="1046"/>
      <c r="EQ13" s="277"/>
      <c r="ER13" s="245"/>
      <c r="ES13" s="1045" t="s">
        <v>160</v>
      </c>
      <c r="ET13" s="1046"/>
      <c r="EU13" s="277"/>
      <c r="EV13" s="245"/>
      <c r="EW13" s="1045" t="s">
        <v>160</v>
      </c>
      <c r="EX13" s="1046"/>
      <c r="EY13" s="277"/>
      <c r="EZ13" s="245"/>
      <c r="FA13" s="1045" t="s">
        <v>160</v>
      </c>
      <c r="FB13" s="1046"/>
      <c r="FC13" s="277"/>
      <c r="FD13" s="245"/>
      <c r="FE13" s="1045" t="s">
        <v>160</v>
      </c>
      <c r="FF13" s="1046"/>
      <c r="FG13" s="277"/>
      <c r="FH13" s="245"/>
      <c r="FI13" s="1045" t="s">
        <v>160</v>
      </c>
      <c r="FJ13" s="1046"/>
      <c r="FK13" s="277"/>
      <c r="FL13" s="245"/>
      <c r="FM13" s="1045" t="s">
        <v>160</v>
      </c>
      <c r="FN13" s="1046"/>
      <c r="FO13" s="277"/>
      <c r="FP13" s="245"/>
      <c r="FQ13" s="1045" t="s">
        <v>160</v>
      </c>
      <c r="FR13" s="1046"/>
      <c r="FT13" s="622" t="s">
        <v>158</v>
      </c>
      <c r="FU13" s="277"/>
      <c r="FV13" s="245"/>
      <c r="FW13" s="1045" t="s">
        <v>160</v>
      </c>
      <c r="FX13" s="1175"/>
      <c r="FY13" s="277"/>
      <c r="FZ13" s="668" t="s">
        <v>158</v>
      </c>
      <c r="GC13" s="622" t="s">
        <v>158</v>
      </c>
      <c r="GE13" s="622" t="s">
        <v>158</v>
      </c>
      <c r="GG13" s="622" t="s">
        <v>158</v>
      </c>
      <c r="GI13" s="622" t="s">
        <v>158</v>
      </c>
    </row>
    <row r="14" spans="1:198">
      <c r="A14" s="239">
        <f>IF(ISNUMBER(A12),A12+1,1)</f>
        <v>1</v>
      </c>
      <c r="B14" s="125" t="str">
        <f t="shared" ref="B14:B44" si="0">CHOOSE(MOD(WEEKDAY(DATE(A$11,A$2,A14)),7)+1,"lø","sø","ma","ti","on","to","fr",)</f>
        <v>to</v>
      </c>
      <c r="C14" s="126" t="s">
        <v>203</v>
      </c>
      <c r="D14" s="127" t="str">
        <f t="shared" ref="D14:D44" si="1">IF(B14="ma",(DATE(A$11,A$2,A14)-DATE(A$11,1,1)+7)/7,"")</f>
        <v/>
      </c>
      <c r="E14" s="1060"/>
      <c r="F14" s="1061"/>
      <c r="G14" s="1062"/>
      <c r="H14" s="292"/>
      <c r="I14" s="745"/>
      <c r="J14" s="746" t="str">
        <f t="shared" ref="J14:J44" si="2">IF(C14="Lejrskole","X","")</f>
        <v/>
      </c>
      <c r="K14" s="368"/>
      <c r="L14" s="368"/>
      <c r="M14" s="368"/>
      <c r="N14" s="311">
        <f>BA14</f>
        <v>9</v>
      </c>
      <c r="O14" s="311">
        <f>CA14</f>
        <v>3.75</v>
      </c>
      <c r="P14" s="311">
        <f>IF(Stamoplysninger!$H$34="JA",Oktober!DG14,CX14)</f>
        <v>1</v>
      </c>
      <c r="Q14" s="311">
        <f>IF(OR(OR(C14="Lejrskole",C14="Ekskursion",C14="pæd.dag")),0,N14-O14-P14)</f>
        <v>4.25</v>
      </c>
      <c r="R14" s="751"/>
      <c r="S14" s="315"/>
      <c r="T14" s="316"/>
      <c r="U14" s="316"/>
      <c r="V14" s="422"/>
      <c r="W14" s="400"/>
      <c r="X14" s="619"/>
      <c r="Y14">
        <f>IF($S$14="x",V14-N15,0)</f>
        <v>0</v>
      </c>
      <c r="Z14">
        <f t="shared" ref="Z14:Z41" si="3">IF(T14="x",W14-O15,0)</f>
        <v>0</v>
      </c>
      <c r="AA14" s="1">
        <f t="shared" ref="AA14:AA41" si="4">IF(C14="emnedag",K14,0)</f>
        <v>0</v>
      </c>
      <c r="AB14" s="1">
        <f t="shared" ref="AB14:AB41" si="5">IF(C14="fagdag",K14,0)</f>
        <v>0</v>
      </c>
      <c r="AC14" s="1">
        <f t="shared" ref="AC14:AC41" si="6">IF(C14="Pæd.dag",K14,0)</f>
        <v>0</v>
      </c>
      <c r="AD14" s="1">
        <f t="shared" ref="AD14:AD41" si="7">IF(C14="Ekskursion",K14,0)</f>
        <v>0</v>
      </c>
      <c r="AE14" s="1">
        <f t="shared" ref="AE14:AE41" si="8">IF(C14="Lejrskole",K14,0)</f>
        <v>0</v>
      </c>
      <c r="AF14" s="1">
        <f>IF(C14="Orlov",7.4*Stamoplysninger!$E$20,0)</f>
        <v>0</v>
      </c>
      <c r="AG14" t="str">
        <f>IF(AND(C14="Skema 1",B14="ma"),Arbejdstidsoversigt!$E$77,"")</f>
        <v/>
      </c>
      <c r="AH14" t="str">
        <f>IF(AND(C14="Skema 1",B14="ti"),Arbejdstidsoversigt!$E$78,"")</f>
        <v/>
      </c>
      <c r="AI14" t="str">
        <f>IF(AND(C14="Skema 1",B14="on"),Arbejdstidsoversigt!$E$79,"")</f>
        <v/>
      </c>
      <c r="AJ14">
        <f>IF(AND(C14="Skema 1",B14="to"),Arbejdstidsoversigt!$E$80,"")</f>
        <v>9</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9</v>
      </c>
      <c r="BB14" s="224">
        <f t="shared" ref="BB14:BB41" si="9">SUM(AG14:AK14)*24</f>
        <v>216</v>
      </c>
      <c r="BC14" s="1">
        <f>IF($C$14="Lejrskole",$L$14,0)</f>
        <v>0</v>
      </c>
      <c r="BD14" s="1">
        <f t="shared" ref="BD14:BD41" si="10">IF(C14="Ekskursion",L14,0)</f>
        <v>0</v>
      </c>
      <c r="BE14" s="1">
        <f t="shared" ref="BE14:BE41" si="11">IF(C14="fagdag",L14,0)</f>
        <v>0</v>
      </c>
      <c r="BF14" s="1">
        <f t="shared" ref="BF14:BF41" si="12">IF(C14="emnedag",L14,0)</f>
        <v>0</v>
      </c>
      <c r="BG14" s="207" t="str">
        <f>IF(AND(C14="Skema 1",B14="ma"),Skemaoplysninger!$E$46,"")</f>
        <v/>
      </c>
      <c r="BH14" s="207" t="str">
        <f>IF(AND(C14="Skema 1",B14="ti"),Skemaoplysninger!$G$46,"")</f>
        <v/>
      </c>
      <c r="BI14" s="207" t="str">
        <f>IF(AND(C14="Skema 1",B14="on"),Skemaoplysninger!$I$46,"")</f>
        <v/>
      </c>
      <c r="BJ14" s="207">
        <f>IF(AND(C14="Skema 1",B14="to"),Skemaoplysninger!$K$46,"")</f>
        <v>0.15625</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3.75</v>
      </c>
      <c r="CB14" s="1">
        <f t="shared" ref="CB14:CB41" si="13">IF(C14="fagdag",M14,0)</f>
        <v>0</v>
      </c>
      <c r="CC14" s="1">
        <f t="shared" ref="CC14:CC41" si="14">IF(C14="emnedag",M14,0)</f>
        <v>0</v>
      </c>
      <c r="CD14" s="207" t="str">
        <f>IF(AND(C14="Skema 1",B14="ma"),Skemaoplysninger!$E$47,"")</f>
        <v/>
      </c>
      <c r="CE14" s="207" t="str">
        <f>IF(AND(C14="Skema 1",B14="ti"),Skemaoplysninger!$G$47,"")</f>
        <v/>
      </c>
      <c r="CF14" s="207" t="str">
        <f>IF(AND(C14="Skema 1",B14="on"),Skemaoplysninger!$I$47,"")</f>
        <v/>
      </c>
      <c r="CG14" s="207">
        <f>IF(AND(C14="Skema 1",B14="to"),Skemaoplysninger!$K$47,"")</f>
        <v>4.1666666666666664E-2</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1</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1" si="15">IF(DH14=0,"",DH14)</f>
        <v/>
      </c>
      <c r="DL14" t="str">
        <f>IF(DI14=0,"",DI14)</f>
        <v/>
      </c>
      <c r="DM14" t="str">
        <f>IF(DJ14=0,"",DJ14)</f>
        <v/>
      </c>
      <c r="DN14" t="str">
        <f>DK14&amp;""&amp;DL14&amp;""&amp;DM14</f>
        <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4" si="16">IF(AND(I14="X",S14="X"),V14,0)</f>
        <v>0</v>
      </c>
      <c r="FZ14" s="634">
        <f t="shared" ref="FZ14:FZ44" si="17">IF(AND(AND(C14="ikke relevant",I14="X",S14="X")),V14,0)</f>
        <v>0</v>
      </c>
      <c r="GA14">
        <f t="shared" ref="GA14:GA44" si="18">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4" si="19">IF(C14="emnedag","X",0)</f>
        <v>0</v>
      </c>
      <c r="GL14">
        <f t="shared" ref="GL14:GL44" si="20">IF(C14="ekskursion","X",0)</f>
        <v>0</v>
      </c>
      <c r="GM14">
        <f t="shared" ref="GM14:GM44" si="21">IF(C14="pæd.dag","X",0)</f>
        <v>0</v>
      </c>
      <c r="GN14" s="713">
        <f t="shared" ref="GN14:GN44" si="22">IF(C14="lejrskole","X",0)</f>
        <v>0</v>
      </c>
      <c r="GO14">
        <f>COUNTIF(GJ14:GN14,"X")</f>
        <v>0</v>
      </c>
      <c r="GP14" s="647">
        <f>IF(AND(I14="X",S14="X"),V14,0)</f>
        <v>0</v>
      </c>
    </row>
    <row r="15" spans="1:198">
      <c r="A15" s="239">
        <f t="shared" ref="A15:A43" si="23">IF(ISNUMBER(A14),A14+1,1)</f>
        <v>2</v>
      </c>
      <c r="B15" s="125" t="str">
        <f t="shared" si="0"/>
        <v>fr</v>
      </c>
      <c r="C15" s="126" t="s">
        <v>203</v>
      </c>
      <c r="D15" s="127" t="str">
        <f t="shared" si="1"/>
        <v/>
      </c>
      <c r="E15" s="1060"/>
      <c r="F15" s="1061"/>
      <c r="G15" s="1062"/>
      <c r="H15" s="292"/>
      <c r="I15" s="745"/>
      <c r="J15" s="746" t="str">
        <f t="shared" si="2"/>
        <v/>
      </c>
      <c r="K15" s="368"/>
      <c r="L15" s="368"/>
      <c r="M15" s="368"/>
      <c r="N15" s="311">
        <f t="shared" ref="N15:N44" si="24">BA15</f>
        <v>7.1</v>
      </c>
      <c r="O15" s="311">
        <f t="shared" ref="O15:O44" si="25">CA15</f>
        <v>3.75</v>
      </c>
      <c r="P15" s="311">
        <f>IF(Stamoplysninger!$H$34="JA",Oktober!DG15,CX15)</f>
        <v>1</v>
      </c>
      <c r="Q15" s="311">
        <f t="shared" ref="Q15:Q44" si="26">IF(OR(OR(C15="Lejrskole",C15="Ekskursion",C15="pæd.dag")),0,N15-O15-P15)</f>
        <v>2.3499999999999996</v>
      </c>
      <c r="R15" s="751"/>
      <c r="S15" s="315"/>
      <c r="T15" s="316"/>
      <c r="U15" s="316"/>
      <c r="V15" s="422"/>
      <c r="W15" s="400"/>
      <c r="X15" s="619"/>
      <c r="Y15">
        <f t="shared" ref="Y15:Y41" si="27">IF(S15="x",V15-N16,0)</f>
        <v>0</v>
      </c>
      <c r="Z15">
        <f t="shared" si="3"/>
        <v>0</v>
      </c>
      <c r="AA15" s="1">
        <f t="shared" si="4"/>
        <v>0</v>
      </c>
      <c r="AB15" s="1">
        <f t="shared" si="5"/>
        <v>0</v>
      </c>
      <c r="AC15" s="1">
        <f t="shared" si="6"/>
        <v>0</v>
      </c>
      <c r="AD15" s="1">
        <f t="shared" si="7"/>
        <v>0</v>
      </c>
      <c r="AE15" s="1">
        <f t="shared" si="8"/>
        <v>0</v>
      </c>
      <c r="AF15" s="1">
        <f>IF(C15="Orlov",7.4*Stamoplysninger!$E$20,0)</f>
        <v>0</v>
      </c>
      <c r="AG15" t="str">
        <f>IF(AND(C15="Skema 1",B15="ma"),Arbejdstidsoversigt!$E$77,"")</f>
        <v/>
      </c>
      <c r="AH15" t="str">
        <f>IF(AND(C15="Skema 1",B15="ti"),Arbejdstidsoversigt!$E$78,"")</f>
        <v/>
      </c>
      <c r="AI15" t="str">
        <f>IF(AND(C15="Skema 1",B15="on"),Arbejdstidsoversigt!$E$79,"")</f>
        <v/>
      </c>
      <c r="AJ15" t="str">
        <f>IF(AND(C15="Skema 1",B15="to"),Arbejdstidsoversigt!$E$80,"")</f>
        <v/>
      </c>
      <c r="AK15">
        <f>IF(AND(C15="Skema 1",B15="fr"),Arbejdstidsoversigt!$E$81,"")</f>
        <v>7.1</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1" si="28">SUM(AA15:AZ15)</f>
        <v>7.1</v>
      </c>
      <c r="BB15" s="224">
        <f t="shared" si="9"/>
        <v>170.39999999999998</v>
      </c>
      <c r="BC15" s="1">
        <f t="shared" ref="BC15:BC41" si="29">IF(C15="Lejrskole",L15,0)</f>
        <v>0</v>
      </c>
      <c r="BD15" s="1">
        <f t="shared" si="10"/>
        <v>0</v>
      </c>
      <c r="BE15" s="1">
        <f t="shared" si="11"/>
        <v>0</v>
      </c>
      <c r="BF15" s="1">
        <f t="shared" si="12"/>
        <v>0</v>
      </c>
      <c r="BG15" s="207" t="str">
        <f>IF(AND(C15="Skema 1",B15="ma"),Skemaoplysninger!$E$46,"")</f>
        <v/>
      </c>
      <c r="BH15" s="207" t="str">
        <f>IF(AND(C15="Skema 1",B15="ti"),Skemaoplysninger!$G$46,"")</f>
        <v/>
      </c>
      <c r="BI15" s="207" t="str">
        <f>IF(AND(C15="Skema 1",B15="on"),Skemaoplysninger!$I$46,"")</f>
        <v/>
      </c>
      <c r="BJ15" s="207" t="str">
        <f>IF(AND(C15="Skema 1",B15="to"),Skemaoplysninger!$K$46,"")</f>
        <v/>
      </c>
      <c r="BK15" s="207">
        <f>IF(AND(C15="Skema 1",B15="fr"),Skemaoplysninger!$M$46,"")</f>
        <v>0.15625</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41" si="30">SUM(BG15:BZ15)*24+SUM(BC15:BF15)</f>
        <v>3.75</v>
      </c>
      <c r="CB15" s="1">
        <f t="shared" si="13"/>
        <v>0</v>
      </c>
      <c r="CC15" s="1">
        <f t="shared" si="14"/>
        <v>0</v>
      </c>
      <c r="CD15" s="207" t="str">
        <f>IF(AND(C15="Skema 1",B15="ma"),Skemaoplysninger!$E$47,"")</f>
        <v/>
      </c>
      <c r="CE15" s="207" t="str">
        <f>IF(AND(C15="Skema 1",B15="ti"),Skemaoplysninger!$G$47,"")</f>
        <v/>
      </c>
      <c r="CF15" s="207" t="str">
        <f>IF(AND(C15="Skema 1",B15="on"),Skemaoplysninger!$I$47,"")</f>
        <v/>
      </c>
      <c r="CG15" s="207" t="str">
        <f>IF(AND(C15="Skema 1",B15="to"),Skemaoplysninger!$K$47,"")</f>
        <v/>
      </c>
      <c r="CH15" s="207">
        <f>IF(AND(C15="Skema 1",B15="fr"),Skemaoplysninger!$M$47,"")</f>
        <v>4.1666666666666664E-2</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1</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1" si="31">SUM(CY15:DF15)</f>
        <v>0</v>
      </c>
      <c r="DH15" t="str">
        <f t="shared" ref="DH15:DH41" si="32">IF(AND(E15&gt;0,H15&gt;0),""&amp;E15&amp;" og "&amp;H15&amp;"","")</f>
        <v/>
      </c>
      <c r="DI15">
        <f t="shared" ref="DI15:DI41" si="33">IF(H15="",E15,"")</f>
        <v>0</v>
      </c>
      <c r="DJ15">
        <f t="shared" ref="DJ15:DJ41" si="34">IF(E15="",H15,"")</f>
        <v>0</v>
      </c>
      <c r="DK15" t="str">
        <f t="shared" si="15"/>
        <v/>
      </c>
      <c r="DL15" t="str">
        <f t="shared" si="15"/>
        <v/>
      </c>
      <c r="DM15" t="str">
        <f t="shared" si="15"/>
        <v/>
      </c>
      <c r="DN15" t="str">
        <f t="shared" ref="DN15:DN41" si="35">DK15&amp;""&amp;DL15&amp;""&amp;DM15</f>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6"/>
        <v>0</v>
      </c>
      <c r="FZ15" s="634">
        <f t="shared" si="17"/>
        <v>0</v>
      </c>
      <c r="GA15">
        <f t="shared" si="18"/>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4" si="36">IF(C15="fagdag","X",0)</f>
        <v>0</v>
      </c>
      <c r="GK15">
        <f t="shared" si="19"/>
        <v>0</v>
      </c>
      <c r="GL15">
        <f t="shared" si="20"/>
        <v>0</v>
      </c>
      <c r="GM15">
        <f t="shared" si="21"/>
        <v>0</v>
      </c>
      <c r="GN15" s="713">
        <f t="shared" si="22"/>
        <v>0</v>
      </c>
      <c r="GO15">
        <f t="shared" ref="GO15:GO44" si="37">COUNTIF(GJ15:GN15,"X")</f>
        <v>0</v>
      </c>
      <c r="GP15" s="647">
        <f t="shared" ref="GP15:GP44" si="38">IF(AND(I15="X",S15="X"),V15,0)</f>
        <v>0</v>
      </c>
    </row>
    <row r="16" spans="1:198">
      <c r="A16" s="239">
        <f t="shared" si="23"/>
        <v>3</v>
      </c>
      <c r="B16" s="125" t="str">
        <f t="shared" si="0"/>
        <v>lø</v>
      </c>
      <c r="C16" s="126" t="s">
        <v>118</v>
      </c>
      <c r="D16" s="127" t="str">
        <f t="shared" si="1"/>
        <v/>
      </c>
      <c r="E16" s="1060"/>
      <c r="F16" s="1061"/>
      <c r="G16" s="1062"/>
      <c r="H16" s="292"/>
      <c r="I16" s="746" t="str">
        <f>IF(GO16=1,"X","")</f>
        <v/>
      </c>
      <c r="J16" s="746" t="str">
        <f t="shared" si="2"/>
        <v/>
      </c>
      <c r="K16" s="368"/>
      <c r="L16" s="368"/>
      <c r="M16" s="368"/>
      <c r="N16" s="311">
        <f t="shared" si="24"/>
        <v>0</v>
      </c>
      <c r="O16" s="311">
        <f t="shared" si="25"/>
        <v>0</v>
      </c>
      <c r="P16" s="311">
        <f>IF(Stamoplysninger!$H$34="JA",Oktober!DG16,CX16)</f>
        <v>0</v>
      </c>
      <c r="Q16" s="311">
        <f t="shared" si="26"/>
        <v>0</v>
      </c>
      <c r="R16" s="751"/>
      <c r="S16" s="315"/>
      <c r="T16" s="316"/>
      <c r="U16" s="316"/>
      <c r="V16" s="422"/>
      <c r="W16" s="400"/>
      <c r="X16" s="619"/>
      <c r="Y16">
        <f t="shared" si="27"/>
        <v>0</v>
      </c>
      <c r="Z16">
        <f t="shared" si="3"/>
        <v>0</v>
      </c>
      <c r="AA16" s="1">
        <f t="shared" si="4"/>
        <v>0</v>
      </c>
      <c r="AB16" s="1">
        <f t="shared" si="5"/>
        <v>0</v>
      </c>
      <c r="AC16" s="1">
        <f t="shared" si="6"/>
        <v>0</v>
      </c>
      <c r="AD16" s="1">
        <f t="shared" si="7"/>
        <v>0</v>
      </c>
      <c r="AE16" s="1">
        <f t="shared" si="8"/>
        <v>0</v>
      </c>
      <c r="AF16" s="1">
        <f>IF(C16="Orlov",7.4*Stamoplysninger!$E$20,0)</f>
        <v>0</v>
      </c>
      <c r="AG16" t="str">
        <f>IF(AND(C16="Skema 1",B16="ma"),Arbejdstidsoversigt!$E$77,"")</f>
        <v/>
      </c>
      <c r="AH16" t="str">
        <f>IF(AND(C16="Skema 1",B16="ti"),Arbejdstidsoversigt!$E$78,"")</f>
        <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9"/>
        <v>0</v>
      </c>
      <c r="BC16" s="1">
        <f t="shared" si="29"/>
        <v>0</v>
      </c>
      <c r="BD16" s="1">
        <f t="shared" si="10"/>
        <v>0</v>
      </c>
      <c r="BE16" s="1">
        <f t="shared" si="11"/>
        <v>0</v>
      </c>
      <c r="BF16" s="1">
        <f t="shared" si="12"/>
        <v>0</v>
      </c>
      <c r="BG16" s="207" t="str">
        <f>IF(AND(C16="Skema 1",B16="ma"),Skemaoplysninger!$E$46,"")</f>
        <v/>
      </c>
      <c r="BH16" s="207" t="str">
        <f>IF(AND(C16="Skema 1",B16="ti"),Skemaoplysninger!$G$46,"")</f>
        <v/>
      </c>
      <c r="BI16" s="207" t="str">
        <f>IF(AND(C16="Skema 1",B16="on"),Skemaoplysninger!$I$46,"")</f>
        <v/>
      </c>
      <c r="BJ16" s="207" t="str">
        <f>IF(AND(C16="Skema 1",B16="to"),Skemaoplysninger!$K$46,"")</f>
        <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0"/>
        <v>0</v>
      </c>
      <c r="CB16" s="1">
        <f t="shared" si="13"/>
        <v>0</v>
      </c>
      <c r="CC16" s="1">
        <f t="shared" si="14"/>
        <v>0</v>
      </c>
      <c r="CD16" s="207" t="str">
        <f>IF(AND(C16="Skema 1",B16="ma"),Skemaoplysninger!$E$47,"")</f>
        <v/>
      </c>
      <c r="CE16" s="207" t="str">
        <f>IF(AND(C16="Skema 1",B16="ti"),Skemaoplysninger!$G$47,"")</f>
        <v/>
      </c>
      <c r="CF16" s="207" t="str">
        <f>IF(AND(C16="Skema 1",B16="on"),Skemaoplysninger!$I$47,"")</f>
        <v/>
      </c>
      <c r="CG16" s="207" t="str">
        <f>IF(AND(C16="Skema 1",B16="to"),Skemaoplysninger!$K$47,"")</f>
        <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5"/>
        <v/>
      </c>
      <c r="DL16" t="str">
        <f t="shared" si="15"/>
        <v/>
      </c>
      <c r="DM16" t="str">
        <f t="shared" si="15"/>
        <v/>
      </c>
      <c r="DN16" t="str">
        <f t="shared" si="35"/>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6"/>
        <v>0</v>
      </c>
      <c r="FZ16" s="634">
        <f t="shared" si="17"/>
        <v>0</v>
      </c>
      <c r="GA16">
        <f t="shared" si="18"/>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9"/>
        <v>0</v>
      </c>
      <c r="GL16">
        <f t="shared" si="20"/>
        <v>0</v>
      </c>
      <c r="GM16">
        <f t="shared" si="21"/>
        <v>0</v>
      </c>
      <c r="GN16" s="713">
        <f t="shared" si="22"/>
        <v>0</v>
      </c>
      <c r="GO16">
        <f t="shared" si="37"/>
        <v>0</v>
      </c>
      <c r="GP16" s="647">
        <f t="shared" si="38"/>
        <v>0</v>
      </c>
    </row>
    <row r="17" spans="1:198">
      <c r="A17" s="239">
        <f t="shared" si="23"/>
        <v>4</v>
      </c>
      <c r="B17" s="125" t="str">
        <f t="shared" si="0"/>
        <v>sø</v>
      </c>
      <c r="C17" s="126" t="s">
        <v>118</v>
      </c>
      <c r="D17" s="127" t="str">
        <f t="shared" si="1"/>
        <v/>
      </c>
      <c r="E17" s="1060"/>
      <c r="F17" s="1061"/>
      <c r="G17" s="1062"/>
      <c r="H17" s="292"/>
      <c r="I17" s="746" t="str">
        <f>IF(GO17=1,"X","")</f>
        <v/>
      </c>
      <c r="J17" s="746" t="str">
        <f t="shared" si="2"/>
        <v/>
      </c>
      <c r="K17" s="368"/>
      <c r="L17" s="368"/>
      <c r="M17" s="368"/>
      <c r="N17" s="311">
        <f t="shared" si="24"/>
        <v>0</v>
      </c>
      <c r="O17" s="311">
        <f t="shared" si="25"/>
        <v>0</v>
      </c>
      <c r="P17" s="311">
        <f>IF(Stamoplysninger!$H$34="JA",Oktober!DG17,CX17)</f>
        <v>0</v>
      </c>
      <c r="Q17" s="311">
        <f t="shared" si="26"/>
        <v>0</v>
      </c>
      <c r="R17" s="751"/>
      <c r="S17" s="315"/>
      <c r="T17" s="316"/>
      <c r="U17" s="316"/>
      <c r="V17" s="422"/>
      <c r="W17" s="400"/>
      <c r="X17" s="619"/>
      <c r="Y17">
        <f t="shared" si="27"/>
        <v>0</v>
      </c>
      <c r="Z17">
        <f t="shared" si="3"/>
        <v>0</v>
      </c>
      <c r="AA17" s="1">
        <f t="shared" si="4"/>
        <v>0</v>
      </c>
      <c r="AB17" s="1">
        <f t="shared" si="5"/>
        <v>0</v>
      </c>
      <c r="AC17" s="1">
        <f t="shared" si="6"/>
        <v>0</v>
      </c>
      <c r="AD17" s="1">
        <f t="shared" si="7"/>
        <v>0</v>
      </c>
      <c r="AE17" s="1">
        <f t="shared" si="8"/>
        <v>0</v>
      </c>
      <c r="AF17" s="1">
        <f>IF(C17="Orlov",7.4*Stamoplysninger!$E$20,0)</f>
        <v>0</v>
      </c>
      <c r="AG17" t="str">
        <f>IF(AND(C17="Skema 1",B17="ma"),Arbejdstidsoversigt!$E$77,"")</f>
        <v/>
      </c>
      <c r="AH17" t="str">
        <f>IF(AND(C17="Skema 1",B17="ti"),Arbejdstidsoversigt!$E$78,"")</f>
        <v/>
      </c>
      <c r="AI17" t="str">
        <f>IF(AND(C17="Skema 1",B17="on"),Arbejdstidsoversigt!$E$79,"")</f>
        <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9"/>
        <v>0</v>
      </c>
      <c r="BC17" s="1">
        <f t="shared" si="29"/>
        <v>0</v>
      </c>
      <c r="BD17" s="1">
        <f t="shared" si="10"/>
        <v>0</v>
      </c>
      <c r="BE17" s="1">
        <f t="shared" si="11"/>
        <v>0</v>
      </c>
      <c r="BF17" s="1">
        <f t="shared" si="12"/>
        <v>0</v>
      </c>
      <c r="BG17" s="207" t="str">
        <f>IF(AND(C17="Skema 1",B17="ma"),Skemaoplysninger!$E$46,"")</f>
        <v/>
      </c>
      <c r="BH17" s="207" t="str">
        <f>IF(AND(C17="Skema 1",B17="ti"),Skemaoplysninger!$G$46,"")</f>
        <v/>
      </c>
      <c r="BI17" s="207" t="str">
        <f>IF(AND(C17="Skema 1",B17="on"),Skemaoplysninger!$I$46,"")</f>
        <v/>
      </c>
      <c r="BJ17" s="207" t="str">
        <f>IF(AND(C17="Skema 1",B17="to"),Skemaoplysninger!$K$46,"")</f>
        <v/>
      </c>
      <c r="BK17" s="207" t="str">
        <f>IF(AND(C17="Skema 1",B17="fr"),Skemaoplysninger!$M$46,"")</f>
        <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0</v>
      </c>
      <c r="CB17" s="1">
        <f t="shared" si="13"/>
        <v>0</v>
      </c>
      <c r="CC17" s="1">
        <f t="shared" si="14"/>
        <v>0</v>
      </c>
      <c r="CD17" s="207" t="str">
        <f>IF(AND(C17="Skema 1",B17="ma"),Skemaoplysninger!$E$47,"")</f>
        <v/>
      </c>
      <c r="CE17" s="207" t="str">
        <f>IF(AND(C17="Skema 1",B17="ti"),Skemaoplysninger!$G$47,"")</f>
        <v/>
      </c>
      <c r="CF17" s="207" t="str">
        <f>IF(AND(C17="Skema 1",B17="on"),Skemaoplysninger!$I$47,"")</f>
        <v/>
      </c>
      <c r="CG17" s="207" t="str">
        <f>IF(AND(C17="Skema 1",B17="to"),Skemaoplysninger!$K$47,"")</f>
        <v/>
      </c>
      <c r="CH17" s="207" t="str">
        <f>IF(AND(C17="Skema 1",B17="fr"),Skemaoplysninger!$M$47,"")</f>
        <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5"/>
        <v/>
      </c>
      <c r="DL17" t="str">
        <f t="shared" si="15"/>
        <v/>
      </c>
      <c r="DM17" t="str">
        <f t="shared" si="15"/>
        <v/>
      </c>
      <c r="DN17" t="str">
        <f t="shared" si="3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6"/>
        <v>0</v>
      </c>
      <c r="FZ17" s="634">
        <f t="shared" si="17"/>
        <v>0</v>
      </c>
      <c r="GA17">
        <f t="shared" si="18"/>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9"/>
        <v>0</v>
      </c>
      <c r="GL17">
        <f t="shared" si="20"/>
        <v>0</v>
      </c>
      <c r="GM17">
        <f t="shared" si="21"/>
        <v>0</v>
      </c>
      <c r="GN17" s="713">
        <f t="shared" si="22"/>
        <v>0</v>
      </c>
      <c r="GO17">
        <f t="shared" si="37"/>
        <v>0</v>
      </c>
      <c r="GP17" s="647">
        <f t="shared" si="38"/>
        <v>0</v>
      </c>
    </row>
    <row r="18" spans="1:198">
      <c r="A18" s="239">
        <f t="shared" si="23"/>
        <v>5</v>
      </c>
      <c r="B18" s="125" t="str">
        <f t="shared" si="0"/>
        <v>ma</v>
      </c>
      <c r="C18" s="126" t="s">
        <v>208</v>
      </c>
      <c r="D18" s="127">
        <f t="shared" si="1"/>
        <v>40.571428571428569</v>
      </c>
      <c r="E18" s="1060" t="s">
        <v>752</v>
      </c>
      <c r="F18" s="1061"/>
      <c r="G18" s="1062"/>
      <c r="H18" s="292"/>
      <c r="I18" s="745"/>
      <c r="J18" s="746" t="str">
        <f t="shared" si="2"/>
        <v/>
      </c>
      <c r="K18" s="368">
        <v>6</v>
      </c>
      <c r="L18" s="368">
        <v>3.75</v>
      </c>
      <c r="M18" s="368">
        <v>1</v>
      </c>
      <c r="N18" s="311">
        <f t="shared" si="24"/>
        <v>6</v>
      </c>
      <c r="O18" s="311">
        <f t="shared" si="25"/>
        <v>3.75</v>
      </c>
      <c r="P18" s="311">
        <f>IF(Stamoplysninger!$H$34="JA",Oktober!DG18,CX18)</f>
        <v>1</v>
      </c>
      <c r="Q18" s="311">
        <f t="shared" si="26"/>
        <v>1.25</v>
      </c>
      <c r="R18" s="751"/>
      <c r="S18" s="315"/>
      <c r="T18" s="316"/>
      <c r="U18" s="316"/>
      <c r="V18" s="422"/>
      <c r="W18" s="400"/>
      <c r="X18" s="619"/>
      <c r="Y18">
        <f t="shared" si="27"/>
        <v>0</v>
      </c>
      <c r="Z18">
        <f t="shared" si="3"/>
        <v>0</v>
      </c>
      <c r="AA18" s="1">
        <f t="shared" si="4"/>
        <v>6</v>
      </c>
      <c r="AB18" s="1">
        <f t="shared" si="5"/>
        <v>0</v>
      </c>
      <c r="AC18" s="1">
        <f t="shared" si="6"/>
        <v>0</v>
      </c>
      <c r="AD18" s="1">
        <f t="shared" si="7"/>
        <v>0</v>
      </c>
      <c r="AE18" s="1">
        <f t="shared" si="8"/>
        <v>0</v>
      </c>
      <c r="AF18" s="1">
        <f>IF(C18="Orlov",7.4*Stamoplysninger!$E$20,0)</f>
        <v>0</v>
      </c>
      <c r="AG18" t="str">
        <f>IF(AND(C18="Skema 1",B18="ma"),Arbejdstidsoversigt!$E$77,"")</f>
        <v/>
      </c>
      <c r="AH18" t="str">
        <f>IF(AND(C18="Skema 1",B18="ti"),Arbejdstidsoversigt!$E$78,"")</f>
        <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6</v>
      </c>
      <c r="BB18" s="224">
        <f t="shared" si="9"/>
        <v>0</v>
      </c>
      <c r="BC18" s="1">
        <f t="shared" si="29"/>
        <v>0</v>
      </c>
      <c r="BD18" s="1">
        <f t="shared" si="10"/>
        <v>0</v>
      </c>
      <c r="BE18" s="1">
        <f t="shared" si="11"/>
        <v>0</v>
      </c>
      <c r="BF18" s="1">
        <f t="shared" si="12"/>
        <v>3.75</v>
      </c>
      <c r="BG18" s="207" t="str">
        <f>IF(AND(C18="Skema 1",B18="ma"),Skemaoplysninger!$E$46,"")</f>
        <v/>
      </c>
      <c r="BH18" s="207" t="str">
        <f>IF(AND(C18="Skema 1",B18="ti"),Skemaoplysninger!$G$46,"")</f>
        <v/>
      </c>
      <c r="BI18" s="207" t="str">
        <f>IF(AND(C18="Skema 1",B18="on"),Skemaoplysninger!$I$46,"")</f>
        <v/>
      </c>
      <c r="BJ18" s="207" t="str">
        <f>IF(AND(C18="Skema 1",B18="to"),Skemaoplysninger!$K$46,"")</f>
        <v/>
      </c>
      <c r="BK18" s="207" t="str">
        <f>IF(AND(C18="Skema 1",B18="fr"),Skemaoplysninger!$M$46,"")</f>
        <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3.75</v>
      </c>
      <c r="CB18" s="1">
        <f t="shared" si="13"/>
        <v>0</v>
      </c>
      <c r="CC18" s="1">
        <f t="shared" si="14"/>
        <v>1</v>
      </c>
      <c r="CD18" s="207" t="str">
        <f>IF(AND(C18="Skema 1",B18="ma"),Skemaoplysninger!$E$47,"")</f>
        <v/>
      </c>
      <c r="CE18" s="207" t="str">
        <f>IF(AND(C18="Skema 1",B18="ti"),Skemaoplysninger!$G$47,"")</f>
        <v/>
      </c>
      <c r="CF18" s="207" t="str">
        <f>IF(AND(C18="Skema 1",B18="on"),Skemaoplysninger!$I$47,"")</f>
        <v/>
      </c>
      <c r="CG18" s="207" t="str">
        <f>IF(AND(C18="Skema 1",B18="to"),Skemaoplysninger!$K$47,"")</f>
        <v/>
      </c>
      <c r="CH18" s="207" t="str">
        <f>IF(AND(C18="Skema 1",B18="fr"),Skemaoplysninger!$M$47,"")</f>
        <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1</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t="str">
        <f t="shared" si="33"/>
        <v>Naturfaglig uge</v>
      </c>
      <c r="DJ18" t="str">
        <f t="shared" si="34"/>
        <v/>
      </c>
      <c r="DK18" t="str">
        <f t="shared" si="15"/>
        <v/>
      </c>
      <c r="DL18" t="str">
        <f t="shared" si="15"/>
        <v>Naturfaglig uge</v>
      </c>
      <c r="DM18" t="str">
        <f t="shared" si="15"/>
        <v/>
      </c>
      <c r="DN18" t="str">
        <f t="shared" si="35"/>
        <v>Naturfaglig uge</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6"/>
        <v>0</v>
      </c>
      <c r="FZ18" s="634">
        <f t="shared" si="17"/>
        <v>0</v>
      </c>
      <c r="GA18">
        <f t="shared" si="18"/>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t="str">
        <f t="shared" si="19"/>
        <v>X</v>
      </c>
      <c r="GL18">
        <f t="shared" si="20"/>
        <v>0</v>
      </c>
      <c r="GM18">
        <f t="shared" si="21"/>
        <v>0</v>
      </c>
      <c r="GN18" s="713">
        <f t="shared" si="22"/>
        <v>0</v>
      </c>
      <c r="GO18">
        <f t="shared" si="37"/>
        <v>1</v>
      </c>
      <c r="GP18" s="647">
        <f t="shared" si="38"/>
        <v>0</v>
      </c>
    </row>
    <row r="19" spans="1:198" ht="16" customHeight="1">
      <c r="A19" s="239">
        <f t="shared" si="23"/>
        <v>6</v>
      </c>
      <c r="B19" s="125" t="str">
        <f t="shared" si="0"/>
        <v>ti</v>
      </c>
      <c r="C19" s="126" t="s">
        <v>208</v>
      </c>
      <c r="D19" s="127" t="str">
        <f t="shared" si="1"/>
        <v/>
      </c>
      <c r="E19" s="1060" t="s">
        <v>752</v>
      </c>
      <c r="F19" s="1061"/>
      <c r="G19" s="1062"/>
      <c r="H19" s="292"/>
      <c r="I19" s="745"/>
      <c r="J19" s="746" t="str">
        <f t="shared" si="2"/>
        <v/>
      </c>
      <c r="K19" s="368">
        <v>6</v>
      </c>
      <c r="L19" s="368">
        <v>3.75</v>
      </c>
      <c r="M19" s="368">
        <v>1</v>
      </c>
      <c r="N19" s="311">
        <f t="shared" si="24"/>
        <v>6</v>
      </c>
      <c r="O19" s="311">
        <f t="shared" si="25"/>
        <v>3.75</v>
      </c>
      <c r="P19" s="311">
        <f>IF(Stamoplysninger!$H$34="JA",Oktober!DG19,CX19)</f>
        <v>1</v>
      </c>
      <c r="Q19" s="311">
        <f t="shared" si="26"/>
        <v>1.25</v>
      </c>
      <c r="R19" s="751"/>
      <c r="S19" s="315"/>
      <c r="T19" s="316"/>
      <c r="U19" s="316"/>
      <c r="V19" s="422"/>
      <c r="W19" s="400"/>
      <c r="X19" s="619"/>
      <c r="Y19">
        <f t="shared" si="27"/>
        <v>0</v>
      </c>
      <c r="Z19">
        <f t="shared" si="3"/>
        <v>0</v>
      </c>
      <c r="AA19" s="1">
        <f t="shared" si="4"/>
        <v>6</v>
      </c>
      <c r="AB19" s="1">
        <f t="shared" si="5"/>
        <v>0</v>
      </c>
      <c r="AC19" s="1">
        <f t="shared" si="6"/>
        <v>0</v>
      </c>
      <c r="AD19" s="1">
        <f t="shared" si="7"/>
        <v>0</v>
      </c>
      <c r="AE19" s="1">
        <f t="shared" si="8"/>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6</v>
      </c>
      <c r="BB19" s="224">
        <f t="shared" si="9"/>
        <v>0</v>
      </c>
      <c r="BC19" s="1">
        <f t="shared" si="29"/>
        <v>0</v>
      </c>
      <c r="BD19" s="1">
        <f t="shared" si="10"/>
        <v>0</v>
      </c>
      <c r="BE19" s="1">
        <f t="shared" si="11"/>
        <v>0</v>
      </c>
      <c r="BF19" s="1">
        <f t="shared" si="12"/>
        <v>3.75</v>
      </c>
      <c r="BG19" s="207" t="str">
        <f>IF(AND(C19="Skema 1",B19="ma"),Skemaoplysninger!$E$46,"")</f>
        <v/>
      </c>
      <c r="BH19" s="207" t="str">
        <f>IF(AND(C19="Skema 1",B19="ti"),Skemaoplysninger!$G$46,"")</f>
        <v/>
      </c>
      <c r="BI19" s="207" t="str">
        <f>IF(AND(C19="Skema 1",B19="on"),Skemaoplysninger!$I$46,"")</f>
        <v/>
      </c>
      <c r="BJ19" s="207" t="str">
        <f>IF(AND(C19="Skema 1",B19="to"),Skemaoplysninger!$K$46,"")</f>
        <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3.75</v>
      </c>
      <c r="CB19" s="1">
        <f t="shared" si="13"/>
        <v>0</v>
      </c>
      <c r="CC19" s="1">
        <f t="shared" si="14"/>
        <v>1</v>
      </c>
      <c r="CD19" s="207" t="str">
        <f>IF(AND(C19="Skema 1",B19="ma"),Skemaoplysninger!$E$47,"")</f>
        <v/>
      </c>
      <c r="CE19" s="207" t="str">
        <f>IF(AND(C19="Skema 1",B19="ti"),Skemaoplysninger!$G$47,"")</f>
        <v/>
      </c>
      <c r="CF19" s="207" t="str">
        <f>IF(AND(C19="Skema 1",B19="on"),Skemaoplysninger!$I$47,"")</f>
        <v/>
      </c>
      <c r="CG19" s="207" t="str">
        <f>IF(AND(C19="Skema 1",B19="to"),Skemaoplysninger!$K$47,"")</f>
        <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1</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t="str">
        <f t="shared" si="33"/>
        <v>Naturfaglig uge</v>
      </c>
      <c r="DJ19" t="str">
        <f t="shared" si="34"/>
        <v/>
      </c>
      <c r="DK19" t="str">
        <f t="shared" si="15"/>
        <v/>
      </c>
      <c r="DL19" t="str">
        <f t="shared" si="15"/>
        <v>Naturfaglig uge</v>
      </c>
      <c r="DM19" t="str">
        <f t="shared" si="15"/>
        <v/>
      </c>
      <c r="DN19" t="str">
        <f t="shared" si="35"/>
        <v>Naturfaglig uge</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6"/>
        <v>0</v>
      </c>
      <c r="FZ19" s="634">
        <f t="shared" si="17"/>
        <v>0</v>
      </c>
      <c r="GA19">
        <f t="shared" si="18"/>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t="str">
        <f t="shared" si="19"/>
        <v>X</v>
      </c>
      <c r="GL19">
        <f t="shared" si="20"/>
        <v>0</v>
      </c>
      <c r="GM19">
        <f t="shared" si="21"/>
        <v>0</v>
      </c>
      <c r="GN19" s="713">
        <f t="shared" si="22"/>
        <v>0</v>
      </c>
      <c r="GO19">
        <f t="shared" si="37"/>
        <v>1</v>
      </c>
      <c r="GP19" s="647">
        <f t="shared" si="38"/>
        <v>0</v>
      </c>
    </row>
    <row r="20" spans="1:198" ht="16" customHeight="1">
      <c r="A20" s="239">
        <f t="shared" si="23"/>
        <v>7</v>
      </c>
      <c r="B20" s="125" t="str">
        <f t="shared" si="0"/>
        <v>on</v>
      </c>
      <c r="C20" s="126" t="s">
        <v>208</v>
      </c>
      <c r="D20" s="127" t="str">
        <f t="shared" si="1"/>
        <v/>
      </c>
      <c r="E20" s="1060" t="s">
        <v>752</v>
      </c>
      <c r="F20" s="1061"/>
      <c r="G20" s="1062"/>
      <c r="H20" s="292"/>
      <c r="I20" s="745"/>
      <c r="J20" s="746" t="str">
        <f t="shared" si="2"/>
        <v/>
      </c>
      <c r="K20" s="368">
        <v>6</v>
      </c>
      <c r="L20" s="368">
        <v>3.75</v>
      </c>
      <c r="M20" s="368">
        <v>1</v>
      </c>
      <c r="N20" s="311">
        <f t="shared" si="24"/>
        <v>6</v>
      </c>
      <c r="O20" s="311">
        <f t="shared" si="25"/>
        <v>3.75</v>
      </c>
      <c r="P20" s="311">
        <f>IF(Stamoplysninger!$H$34="JA",Oktober!DG20,CX20)</f>
        <v>1</v>
      </c>
      <c r="Q20" s="311">
        <f t="shared" si="26"/>
        <v>1.25</v>
      </c>
      <c r="R20" s="751"/>
      <c r="S20" s="315"/>
      <c r="T20" s="316"/>
      <c r="U20" s="316"/>
      <c r="V20" s="422"/>
      <c r="W20" s="400"/>
      <c r="X20" s="619"/>
      <c r="Y20">
        <f t="shared" si="27"/>
        <v>0</v>
      </c>
      <c r="Z20">
        <f t="shared" si="3"/>
        <v>0</v>
      </c>
      <c r="AA20" s="1">
        <f t="shared" si="4"/>
        <v>6</v>
      </c>
      <c r="AB20" s="1">
        <f t="shared" si="5"/>
        <v>0</v>
      </c>
      <c r="AC20" s="1">
        <f t="shared" si="6"/>
        <v>0</v>
      </c>
      <c r="AD20" s="1">
        <f t="shared" si="7"/>
        <v>0</v>
      </c>
      <c r="AE20" s="1">
        <f t="shared" si="8"/>
        <v>0</v>
      </c>
      <c r="AF20" s="1">
        <f>IF(C20="Orlov",7.4*Stamoplysninger!$E$20,0)</f>
        <v>0</v>
      </c>
      <c r="AG20" t="str">
        <f>IF(AND(C20="Skema 1",B20="ma"),Arbejdstidsoversigt!$E$77,"")</f>
        <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6</v>
      </c>
      <c r="BB20" s="224">
        <f t="shared" si="9"/>
        <v>0</v>
      </c>
      <c r="BC20" s="1">
        <f t="shared" si="29"/>
        <v>0</v>
      </c>
      <c r="BD20" s="1">
        <f t="shared" si="10"/>
        <v>0</v>
      </c>
      <c r="BE20" s="1">
        <f t="shared" si="11"/>
        <v>0</v>
      </c>
      <c r="BF20" s="1">
        <f t="shared" si="12"/>
        <v>3.75</v>
      </c>
      <c r="BG20" s="207" t="str">
        <f>IF(AND(C20="Skema 1",B20="ma"),Skemaoplysninger!$E$46,"")</f>
        <v/>
      </c>
      <c r="BH20" s="207" t="str">
        <f>IF(AND(C20="Skema 1",B20="ti"),Skemaoplysninger!$G$46,"")</f>
        <v/>
      </c>
      <c r="BI20" s="207" t="str">
        <f>IF(AND(C20="Skema 1",B20="on"),Skemaoplysninger!$I$46,"")</f>
        <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3.75</v>
      </c>
      <c r="CB20" s="1">
        <f t="shared" si="13"/>
        <v>0</v>
      </c>
      <c r="CC20" s="1">
        <f t="shared" si="14"/>
        <v>1</v>
      </c>
      <c r="CD20" s="207" t="str">
        <f>IF(AND(C20="Skema 1",B20="ma"),Skemaoplysninger!$E$47,"")</f>
        <v/>
      </c>
      <c r="CE20" s="207" t="str">
        <f>IF(AND(C20="Skema 1",B20="ti"),Skemaoplysninger!$G$47,"")</f>
        <v/>
      </c>
      <c r="CF20" s="207" t="str">
        <f>IF(AND(C20="Skema 1",B20="on"),Skemaoplysninger!$I$47,"")</f>
        <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1</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t="str">
        <f t="shared" si="33"/>
        <v>Naturfaglig uge</v>
      </c>
      <c r="DJ20" t="str">
        <f t="shared" si="34"/>
        <v/>
      </c>
      <c r="DK20" t="str">
        <f t="shared" si="15"/>
        <v/>
      </c>
      <c r="DL20" t="str">
        <f t="shared" si="15"/>
        <v>Naturfaglig uge</v>
      </c>
      <c r="DM20" t="str">
        <f t="shared" si="15"/>
        <v/>
      </c>
      <c r="DN20" t="str">
        <f t="shared" si="35"/>
        <v>Naturfaglig uge</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6"/>
        <v>0</v>
      </c>
      <c r="FZ20" s="634">
        <f t="shared" si="17"/>
        <v>0</v>
      </c>
      <c r="GA20">
        <f t="shared" si="18"/>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t="str">
        <f t="shared" si="19"/>
        <v>X</v>
      </c>
      <c r="GL20">
        <f t="shared" si="20"/>
        <v>0</v>
      </c>
      <c r="GM20">
        <f t="shared" si="21"/>
        <v>0</v>
      </c>
      <c r="GN20" s="713">
        <f t="shared" si="22"/>
        <v>0</v>
      </c>
      <c r="GO20">
        <f t="shared" si="37"/>
        <v>1</v>
      </c>
      <c r="GP20" s="647">
        <f t="shared" si="38"/>
        <v>0</v>
      </c>
    </row>
    <row r="21" spans="1:198">
      <c r="A21" s="239">
        <f t="shared" si="23"/>
        <v>8</v>
      </c>
      <c r="B21" s="125" t="str">
        <f t="shared" si="0"/>
        <v>to</v>
      </c>
      <c r="C21" s="126" t="s">
        <v>208</v>
      </c>
      <c r="D21" s="127" t="str">
        <f t="shared" si="1"/>
        <v/>
      </c>
      <c r="E21" s="1060" t="s">
        <v>752</v>
      </c>
      <c r="F21" s="1061"/>
      <c r="G21" s="1062"/>
      <c r="H21" s="292"/>
      <c r="I21" s="745"/>
      <c r="J21" s="746" t="str">
        <f t="shared" si="2"/>
        <v/>
      </c>
      <c r="K21" s="368">
        <v>6</v>
      </c>
      <c r="L21" s="368">
        <v>3.75</v>
      </c>
      <c r="M21" s="368">
        <v>1</v>
      </c>
      <c r="N21" s="311">
        <f t="shared" si="24"/>
        <v>6</v>
      </c>
      <c r="O21" s="311">
        <f t="shared" si="25"/>
        <v>3.75</v>
      </c>
      <c r="P21" s="311">
        <f>IF(Stamoplysninger!$H$34="JA",Oktober!DG21,CX21)</f>
        <v>1</v>
      </c>
      <c r="Q21" s="311">
        <f t="shared" si="26"/>
        <v>1.25</v>
      </c>
      <c r="R21" s="751"/>
      <c r="S21" s="315"/>
      <c r="T21" s="316"/>
      <c r="U21" s="316"/>
      <c r="V21" s="422"/>
      <c r="W21" s="400"/>
      <c r="X21" s="619"/>
      <c r="Y21">
        <f t="shared" si="27"/>
        <v>0</v>
      </c>
      <c r="Z21">
        <f t="shared" si="3"/>
        <v>0</v>
      </c>
      <c r="AA21" s="1">
        <f t="shared" si="4"/>
        <v>6</v>
      </c>
      <c r="AB21" s="1">
        <f t="shared" si="5"/>
        <v>0</v>
      </c>
      <c r="AC21" s="1">
        <f t="shared" si="6"/>
        <v>0</v>
      </c>
      <c r="AD21" s="1">
        <f t="shared" si="7"/>
        <v>0</v>
      </c>
      <c r="AE21" s="1">
        <f t="shared" si="8"/>
        <v>0</v>
      </c>
      <c r="AF21" s="1">
        <f>IF(C21="Orlov",7.4*Stamoplysninger!$E$20,0)</f>
        <v>0</v>
      </c>
      <c r="AG21" t="str">
        <f>IF(AND(C21="Skema 1",B21="ma"),Arbejdstidsoversigt!$E$77,"")</f>
        <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6</v>
      </c>
      <c r="BB21" s="224">
        <f t="shared" si="9"/>
        <v>0</v>
      </c>
      <c r="BC21" s="1">
        <f t="shared" si="29"/>
        <v>0</v>
      </c>
      <c r="BD21" s="1">
        <f t="shared" si="10"/>
        <v>0</v>
      </c>
      <c r="BE21" s="1">
        <f t="shared" si="11"/>
        <v>0</v>
      </c>
      <c r="BF21" s="1">
        <f t="shared" si="12"/>
        <v>3.75</v>
      </c>
      <c r="BG21" s="207" t="str">
        <f>IF(AND(C21="Skema 1",B21="ma"),Skemaoplysninger!$E$46,"")</f>
        <v/>
      </c>
      <c r="BH21" s="207" t="str">
        <f>IF(AND(C21="Skema 1",B21="ti"),Skemaoplysninger!$G$46,"")</f>
        <v/>
      </c>
      <c r="BI21" s="207" t="str">
        <f>IF(AND(C21="Skema 1",B21="on"),Skemaoplysninger!$I$46,"")</f>
        <v/>
      </c>
      <c r="BJ21" s="207" t="str">
        <f>IF(AND(C21="Skema 1",B21="to"),Skemaoplysninger!$K$46,"")</f>
        <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3.75</v>
      </c>
      <c r="CB21" s="1">
        <f t="shared" si="13"/>
        <v>0</v>
      </c>
      <c r="CC21" s="1">
        <f t="shared" si="14"/>
        <v>1</v>
      </c>
      <c r="CD21" s="207" t="str">
        <f>IF(AND(C21="Skema 1",B21="ma"),Skemaoplysninger!$E$47,"")</f>
        <v/>
      </c>
      <c r="CE21" s="207" t="str">
        <f>IF(AND(C21="Skema 1",B21="ti"),Skemaoplysninger!$G$47,"")</f>
        <v/>
      </c>
      <c r="CF21" s="207" t="str">
        <f>IF(AND(C21="Skema 1",B21="on"),Skemaoplysninger!$I$47,"")</f>
        <v/>
      </c>
      <c r="CG21" s="207" t="str">
        <f>IF(AND(C21="Skema 1",B21="to"),Skemaoplysninger!$K$47,"")</f>
        <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1</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t="str">
        <f t="shared" si="33"/>
        <v>Naturfaglig uge</v>
      </c>
      <c r="DJ21" t="str">
        <f t="shared" si="34"/>
        <v/>
      </c>
      <c r="DK21" t="str">
        <f t="shared" si="15"/>
        <v/>
      </c>
      <c r="DL21" t="str">
        <f t="shared" si="15"/>
        <v>Naturfaglig uge</v>
      </c>
      <c r="DM21" t="str">
        <f t="shared" si="15"/>
        <v/>
      </c>
      <c r="DN21" t="str">
        <f t="shared" si="35"/>
        <v>Naturfaglig uge</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6"/>
        <v>0</v>
      </c>
      <c r="FZ21" s="634">
        <f t="shared" si="17"/>
        <v>0</v>
      </c>
      <c r="GA21">
        <f t="shared" si="18"/>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t="str">
        <f t="shared" si="19"/>
        <v>X</v>
      </c>
      <c r="GL21">
        <f t="shared" si="20"/>
        <v>0</v>
      </c>
      <c r="GM21">
        <f t="shared" si="21"/>
        <v>0</v>
      </c>
      <c r="GN21" s="713">
        <f t="shared" si="22"/>
        <v>0</v>
      </c>
      <c r="GO21">
        <f t="shared" si="37"/>
        <v>1</v>
      </c>
      <c r="GP21" s="647">
        <f t="shared" si="38"/>
        <v>0</v>
      </c>
    </row>
    <row r="22" spans="1:198">
      <c r="A22" s="239">
        <f t="shared" si="23"/>
        <v>9</v>
      </c>
      <c r="B22" s="125" t="str">
        <f t="shared" si="0"/>
        <v>fr</v>
      </c>
      <c r="C22" s="126" t="s">
        <v>208</v>
      </c>
      <c r="D22" s="127" t="str">
        <f t="shared" si="1"/>
        <v/>
      </c>
      <c r="E22" s="1060" t="s">
        <v>753</v>
      </c>
      <c r="F22" s="1061"/>
      <c r="G22" s="1062"/>
      <c r="H22" s="292"/>
      <c r="I22" s="745"/>
      <c r="J22" s="746" t="str">
        <f t="shared" si="2"/>
        <v/>
      </c>
      <c r="K22" s="368">
        <v>6</v>
      </c>
      <c r="L22" s="368">
        <v>4.5</v>
      </c>
      <c r="M22" s="368">
        <v>1</v>
      </c>
      <c r="N22" s="311">
        <f t="shared" si="24"/>
        <v>6</v>
      </c>
      <c r="O22" s="311">
        <f t="shared" si="25"/>
        <v>4.5</v>
      </c>
      <c r="P22" s="311">
        <f>IF(Stamoplysninger!$H$34="JA",Oktober!DG22,CX22)</f>
        <v>1</v>
      </c>
      <c r="Q22" s="311">
        <f t="shared" si="26"/>
        <v>0.5</v>
      </c>
      <c r="R22" s="751"/>
      <c r="S22" s="315"/>
      <c r="T22" s="316"/>
      <c r="U22" s="316"/>
      <c r="V22" s="422"/>
      <c r="W22" s="400"/>
      <c r="X22" s="619"/>
      <c r="Y22">
        <f t="shared" si="27"/>
        <v>0</v>
      </c>
      <c r="Z22">
        <f t="shared" si="3"/>
        <v>0</v>
      </c>
      <c r="AA22" s="1">
        <f t="shared" si="4"/>
        <v>6</v>
      </c>
      <c r="AB22" s="1">
        <f t="shared" si="5"/>
        <v>0</v>
      </c>
      <c r="AC22" s="1">
        <f t="shared" si="6"/>
        <v>0</v>
      </c>
      <c r="AD22" s="1">
        <f t="shared" si="7"/>
        <v>0</v>
      </c>
      <c r="AE22" s="1">
        <f t="shared" si="8"/>
        <v>0</v>
      </c>
      <c r="AF22" s="1">
        <f>IF(C22="Orlov",7.4*Stamoplysninger!$E$20,0)</f>
        <v>0</v>
      </c>
      <c r="AG22" t="str">
        <f>IF(AND(C22="Skema 1",B22="ma"),Arbejdstidsoversigt!$E$77,"")</f>
        <v/>
      </c>
      <c r="AH22" t="str">
        <f>IF(AND(C22="Skema 1",B22="ti"),Arbejdstidsoversigt!$E$78,"")</f>
        <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6</v>
      </c>
      <c r="BB22" s="224">
        <f t="shared" si="9"/>
        <v>0</v>
      </c>
      <c r="BC22" s="1">
        <f t="shared" si="29"/>
        <v>0</v>
      </c>
      <c r="BD22" s="1">
        <f t="shared" si="10"/>
        <v>0</v>
      </c>
      <c r="BE22" s="1">
        <f t="shared" si="11"/>
        <v>0</v>
      </c>
      <c r="BF22" s="1">
        <f t="shared" si="12"/>
        <v>4.5</v>
      </c>
      <c r="BG22" s="207" t="str">
        <f>IF(AND(C22="Skema 1",B22="ma"),Skemaoplysninger!$E$46,"")</f>
        <v/>
      </c>
      <c r="BH22" s="207" t="str">
        <f>IF(AND(C22="Skema 1",B22="ti"),Skemaoplysninger!$G$46,"")</f>
        <v/>
      </c>
      <c r="BI22" s="207" t="str">
        <f>IF(AND(C22="Skema 1",B22="on"),Skemaoplysninger!$I$46,"")</f>
        <v/>
      </c>
      <c r="BJ22" s="207" t="str">
        <f>IF(AND(C22="Skema 1",B22="to"),Skemaoplysninger!$K$46,"")</f>
        <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4.5</v>
      </c>
      <c r="CB22" s="1">
        <f t="shared" si="13"/>
        <v>0</v>
      </c>
      <c r="CC22" s="1">
        <f t="shared" si="14"/>
        <v>1</v>
      </c>
      <c r="CD22" s="207" t="str">
        <f>IF(AND(C22="Skema 1",B22="ma"),Skemaoplysninger!$E$47,"")</f>
        <v/>
      </c>
      <c r="CE22" s="207" t="str">
        <f>IF(AND(C22="Skema 1",B22="ti"),Skemaoplysninger!$G$47,"")</f>
        <v/>
      </c>
      <c r="CF22" s="207" t="str">
        <f>IF(AND(C22="Skema 1",B22="on"),Skemaoplysninger!$I$47,"")</f>
        <v/>
      </c>
      <c r="CG22" s="207" t="str">
        <f>IF(AND(C22="Skema 1",B22="to"),Skemaoplysninger!$K$47,"")</f>
        <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1</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t="str">
        <f t="shared" si="33"/>
        <v xml:space="preserve">Naturfaglig uge og fremvisning </v>
      </c>
      <c r="DJ22" t="str">
        <f t="shared" si="34"/>
        <v/>
      </c>
      <c r="DK22" t="str">
        <f t="shared" si="15"/>
        <v/>
      </c>
      <c r="DL22" t="str">
        <f t="shared" si="15"/>
        <v xml:space="preserve">Naturfaglig uge og fremvisning </v>
      </c>
      <c r="DM22" t="str">
        <f t="shared" si="15"/>
        <v/>
      </c>
      <c r="DN22" t="str">
        <f t="shared" si="35"/>
        <v xml:space="preserve">Naturfaglig uge og fremvisning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6"/>
        <v>0</v>
      </c>
      <c r="FZ22" s="634">
        <f t="shared" si="17"/>
        <v>0</v>
      </c>
      <c r="GA22">
        <f t="shared" si="18"/>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t="str">
        <f t="shared" si="19"/>
        <v>X</v>
      </c>
      <c r="GL22">
        <f t="shared" si="20"/>
        <v>0</v>
      </c>
      <c r="GM22">
        <f t="shared" si="21"/>
        <v>0</v>
      </c>
      <c r="GN22" s="713">
        <f t="shared" si="22"/>
        <v>0</v>
      </c>
      <c r="GO22">
        <f t="shared" si="37"/>
        <v>1</v>
      </c>
      <c r="GP22" s="647">
        <f t="shared" si="38"/>
        <v>0</v>
      </c>
    </row>
    <row r="23" spans="1:198">
      <c r="A23" s="239">
        <f t="shared" si="23"/>
        <v>10</v>
      </c>
      <c r="B23" s="125" t="str">
        <f t="shared" si="0"/>
        <v>lø</v>
      </c>
      <c r="C23" s="126" t="s">
        <v>118</v>
      </c>
      <c r="D23" s="127" t="str">
        <f t="shared" si="1"/>
        <v/>
      </c>
      <c r="E23" s="1060"/>
      <c r="F23" s="1061"/>
      <c r="G23" s="1062"/>
      <c r="H23" s="292"/>
      <c r="I23" s="746" t="str">
        <f>IF(GO23=1,"X","")</f>
        <v/>
      </c>
      <c r="J23" s="746" t="str">
        <f t="shared" si="2"/>
        <v/>
      </c>
      <c r="K23" s="368"/>
      <c r="L23" s="368"/>
      <c r="M23" s="368"/>
      <c r="N23" s="311">
        <f t="shared" si="24"/>
        <v>0</v>
      </c>
      <c r="O23" s="311">
        <f t="shared" si="25"/>
        <v>0</v>
      </c>
      <c r="P23" s="311">
        <f>IF(Stamoplysninger!$H$34="JA",Oktober!DG23,CX23)</f>
        <v>0</v>
      </c>
      <c r="Q23" s="311">
        <f t="shared" si="26"/>
        <v>0</v>
      </c>
      <c r="R23" s="751"/>
      <c r="S23" s="315"/>
      <c r="T23" s="316"/>
      <c r="U23" s="316"/>
      <c r="V23" s="422"/>
      <c r="W23" s="400"/>
      <c r="X23" s="619"/>
      <c r="Y23">
        <f t="shared" si="27"/>
        <v>0</v>
      </c>
      <c r="Z23">
        <f t="shared" si="3"/>
        <v>0</v>
      </c>
      <c r="AA23" s="1">
        <f t="shared" si="4"/>
        <v>0</v>
      </c>
      <c r="AB23" s="1">
        <f t="shared" si="5"/>
        <v>0</v>
      </c>
      <c r="AC23" s="1">
        <f t="shared" si="6"/>
        <v>0</v>
      </c>
      <c r="AD23" s="1">
        <f t="shared" si="7"/>
        <v>0</v>
      </c>
      <c r="AE23" s="1">
        <f t="shared" si="8"/>
        <v>0</v>
      </c>
      <c r="AF23" s="1">
        <f>IF(C23="Orlov",7.4*Stamoplysninger!$E$20,0)</f>
        <v>0</v>
      </c>
      <c r="AG23" t="str">
        <f>IF(AND(C23="Skema 1",B23="ma"),Arbejdstidsoversigt!$E$77,"")</f>
        <v/>
      </c>
      <c r="AH23" t="str">
        <f>IF(AND(C23="Skema 1",B23="ti"),Arbejdstidsoversigt!$E$78,"")</f>
        <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9"/>
        <v>0</v>
      </c>
      <c r="BC23" s="1">
        <f t="shared" si="29"/>
        <v>0</v>
      </c>
      <c r="BD23" s="1">
        <f t="shared" si="10"/>
        <v>0</v>
      </c>
      <c r="BE23" s="1">
        <f t="shared" si="11"/>
        <v>0</v>
      </c>
      <c r="BF23" s="1">
        <f t="shared" si="12"/>
        <v>0</v>
      </c>
      <c r="BG23" s="207" t="str">
        <f>IF(AND(C23="Skema 1",B23="ma"),Skemaoplysninger!$E$46,"")</f>
        <v/>
      </c>
      <c r="BH23" s="207" t="str">
        <f>IF(AND(C23="Skema 1",B23="ti"),Skemaoplysninger!$G$46,"")</f>
        <v/>
      </c>
      <c r="BI23" s="207" t="str">
        <f>IF(AND(C23="Skema 1",B23="on"),Skemaoplysninger!$I$46,"")</f>
        <v/>
      </c>
      <c r="BJ23" s="207" t="str">
        <f>IF(AND(C23="Skema 1",B23="to"),Skemaoplysninger!$K$46,"")</f>
        <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0</v>
      </c>
      <c r="CB23" s="1">
        <f t="shared" si="13"/>
        <v>0</v>
      </c>
      <c r="CC23" s="1">
        <f t="shared" si="14"/>
        <v>0</v>
      </c>
      <c r="CD23" s="207" t="str">
        <f>IF(AND(C23="Skema 1",B23="ma"),Skemaoplysninger!$E$47,"")</f>
        <v/>
      </c>
      <c r="CE23" s="207" t="str">
        <f>IF(AND(C23="Skema 1",B23="ti"),Skemaoplysninger!$G$47,"")</f>
        <v/>
      </c>
      <c r="CF23" s="207" t="str">
        <f>IF(AND(C23="Skema 1",B23="on"),Skemaoplysninger!$I$47,"")</f>
        <v/>
      </c>
      <c r="CG23" s="207" t="str">
        <f>IF(AND(C23="Skema 1",B23="to"),Skemaoplysninger!$K$47,"")</f>
        <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5"/>
        <v/>
      </c>
      <c r="DL23" t="str">
        <f t="shared" si="15"/>
        <v/>
      </c>
      <c r="DM23" t="str">
        <f t="shared" si="15"/>
        <v/>
      </c>
      <c r="DN23" t="str">
        <f t="shared" si="35"/>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6"/>
        <v>0</v>
      </c>
      <c r="FZ23" s="634">
        <f t="shared" si="17"/>
        <v>0</v>
      </c>
      <c r="GA23">
        <f t="shared" si="18"/>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9"/>
        <v>0</v>
      </c>
      <c r="GL23">
        <f t="shared" si="20"/>
        <v>0</v>
      </c>
      <c r="GM23">
        <f t="shared" si="21"/>
        <v>0</v>
      </c>
      <c r="GN23" s="713">
        <f t="shared" si="22"/>
        <v>0</v>
      </c>
      <c r="GO23">
        <f t="shared" si="37"/>
        <v>0</v>
      </c>
      <c r="GP23" s="647">
        <f t="shared" si="38"/>
        <v>0</v>
      </c>
    </row>
    <row r="24" spans="1:198">
      <c r="A24" s="239">
        <f t="shared" si="23"/>
        <v>11</v>
      </c>
      <c r="B24" s="125" t="str">
        <f t="shared" si="0"/>
        <v>sø</v>
      </c>
      <c r="C24" s="126" t="s">
        <v>118</v>
      </c>
      <c r="D24" s="127" t="str">
        <f t="shared" si="1"/>
        <v/>
      </c>
      <c r="E24" s="1060"/>
      <c r="F24" s="1061"/>
      <c r="G24" s="1062"/>
      <c r="H24" s="292"/>
      <c r="I24" s="746" t="str">
        <f>IF(GO24=1,"X","")</f>
        <v/>
      </c>
      <c r="J24" s="746" t="str">
        <f t="shared" si="2"/>
        <v/>
      </c>
      <c r="K24" s="368"/>
      <c r="L24" s="368"/>
      <c r="M24" s="368"/>
      <c r="N24" s="311">
        <f t="shared" si="24"/>
        <v>0</v>
      </c>
      <c r="O24" s="311">
        <f t="shared" si="25"/>
        <v>0</v>
      </c>
      <c r="P24" s="311">
        <f>IF(Stamoplysninger!$H$34="JA",Oktober!DG24,CX24)</f>
        <v>0</v>
      </c>
      <c r="Q24" s="311">
        <f t="shared" si="26"/>
        <v>0</v>
      </c>
      <c r="R24" s="751"/>
      <c r="S24" s="315"/>
      <c r="T24" s="316"/>
      <c r="U24" s="316"/>
      <c r="V24" s="422"/>
      <c r="W24" s="400"/>
      <c r="X24" s="619"/>
      <c r="Y24">
        <f t="shared" si="27"/>
        <v>0</v>
      </c>
      <c r="Z24">
        <f t="shared" si="3"/>
        <v>0</v>
      </c>
      <c r="AA24" s="1">
        <f t="shared" si="4"/>
        <v>0</v>
      </c>
      <c r="AB24" s="1">
        <f t="shared" si="5"/>
        <v>0</v>
      </c>
      <c r="AC24" s="1">
        <f t="shared" si="6"/>
        <v>0</v>
      </c>
      <c r="AD24" s="1">
        <f t="shared" si="7"/>
        <v>0</v>
      </c>
      <c r="AE24" s="1">
        <f t="shared" si="8"/>
        <v>0</v>
      </c>
      <c r="AF24" s="1">
        <f>IF(C24="Orlov",7.4*Stamoplysninger!$E$20,0)</f>
        <v>0</v>
      </c>
      <c r="AG24" t="str">
        <f>IF(AND(C24="Skema 1",B24="ma"),Arbejdstidsoversigt!$E$77,"")</f>
        <v/>
      </c>
      <c r="AH24" t="str">
        <f>IF(AND(C24="Skema 1",B24="ti"),Arbejdstidsoversigt!$E$78,"")</f>
        <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9"/>
        <v>0</v>
      </c>
      <c r="BC24" s="1">
        <f t="shared" si="29"/>
        <v>0</v>
      </c>
      <c r="BD24" s="1">
        <f t="shared" si="10"/>
        <v>0</v>
      </c>
      <c r="BE24" s="1">
        <f t="shared" si="11"/>
        <v>0</v>
      </c>
      <c r="BF24" s="1">
        <f t="shared" si="12"/>
        <v>0</v>
      </c>
      <c r="BG24" s="207" t="str">
        <f>IF(AND(C24="Skema 1",B24="ma"),Skemaoplysninger!$E$46,"")</f>
        <v/>
      </c>
      <c r="BH24" s="207" t="str">
        <f>IF(AND(C24="Skema 1",B24="ti"),Skemaoplysninger!$G$46,"")</f>
        <v/>
      </c>
      <c r="BI24" s="207" t="str">
        <f>IF(AND(C24="Skema 1",B24="on"),Skemaoplysninger!$I$46,"")</f>
        <v/>
      </c>
      <c r="BJ24" s="207" t="str">
        <f>IF(AND(C24="Skema 1",B24="to"),Skemaoplysninger!$K$46,"")</f>
        <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0</v>
      </c>
      <c r="CB24" s="1">
        <f t="shared" si="13"/>
        <v>0</v>
      </c>
      <c r="CC24" s="1">
        <f t="shared" si="14"/>
        <v>0</v>
      </c>
      <c r="CD24" s="207" t="str">
        <f>IF(AND(C24="Skema 1",B24="ma"),Skemaoplysninger!$E$47,"")</f>
        <v/>
      </c>
      <c r="CE24" s="207" t="str">
        <f>IF(AND(C24="Skema 1",B24="ti"),Skemaoplysninger!$G$47,"")</f>
        <v/>
      </c>
      <c r="CF24" s="207" t="str">
        <f>IF(AND(C24="Skema 1",B24="on"),Skemaoplysninger!$I$47,"")</f>
        <v/>
      </c>
      <c r="CG24" s="207" t="str">
        <f>IF(AND(C24="Skema 1",B24="to"),Skemaoplysninger!$K$47,"")</f>
        <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5"/>
        <v/>
      </c>
      <c r="DL24" t="str">
        <f t="shared" si="15"/>
        <v/>
      </c>
      <c r="DM24" t="str">
        <f t="shared" si="15"/>
        <v/>
      </c>
      <c r="DN24" t="str">
        <f t="shared" si="35"/>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6"/>
        <v>0</v>
      </c>
      <c r="FZ24" s="634">
        <f t="shared" si="17"/>
        <v>0</v>
      </c>
      <c r="GA24">
        <f t="shared" si="18"/>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9"/>
        <v>0</v>
      </c>
      <c r="GL24">
        <f t="shared" si="20"/>
        <v>0</v>
      </c>
      <c r="GM24">
        <f t="shared" si="21"/>
        <v>0</v>
      </c>
      <c r="GN24" s="713">
        <f t="shared" si="22"/>
        <v>0</v>
      </c>
      <c r="GO24">
        <f t="shared" si="37"/>
        <v>0</v>
      </c>
      <c r="GP24" s="647">
        <f t="shared" si="38"/>
        <v>0</v>
      </c>
    </row>
    <row r="25" spans="1:198">
      <c r="A25" s="239">
        <f>IF(ISNUMBER(A24),A24+1,1)</f>
        <v>12</v>
      </c>
      <c r="B25" s="125" t="str">
        <f t="shared" si="0"/>
        <v>ma</v>
      </c>
      <c r="C25" s="126" t="s">
        <v>207</v>
      </c>
      <c r="D25" s="127">
        <f t="shared" si="1"/>
        <v>41.571428571428569</v>
      </c>
      <c r="E25" s="1060" t="s">
        <v>138</v>
      </c>
      <c r="F25" s="1061"/>
      <c r="G25" s="1062"/>
      <c r="H25" s="292"/>
      <c r="I25" s="745"/>
      <c r="J25" s="746" t="str">
        <f t="shared" si="2"/>
        <v/>
      </c>
      <c r="K25" s="368"/>
      <c r="L25" s="368"/>
      <c r="M25" s="368"/>
      <c r="N25" s="311">
        <f t="shared" si="24"/>
        <v>0</v>
      </c>
      <c r="O25" s="311">
        <f t="shared" si="25"/>
        <v>0</v>
      </c>
      <c r="P25" s="311">
        <f>IF(Stamoplysninger!$H$34="JA",Oktober!DG25,CX25)</f>
        <v>0</v>
      </c>
      <c r="Q25" s="311">
        <f t="shared" si="26"/>
        <v>0</v>
      </c>
      <c r="R25" s="751"/>
      <c r="S25" s="315"/>
      <c r="T25" s="316"/>
      <c r="U25" s="316"/>
      <c r="V25" s="422"/>
      <c r="W25" s="400"/>
      <c r="X25" s="619"/>
      <c r="Y25">
        <f t="shared" si="27"/>
        <v>0</v>
      </c>
      <c r="Z25">
        <f t="shared" si="3"/>
        <v>0</v>
      </c>
      <c r="AA25" s="1">
        <f t="shared" si="4"/>
        <v>0</v>
      </c>
      <c r="AB25" s="1">
        <f t="shared" si="5"/>
        <v>0</v>
      </c>
      <c r="AC25" s="1">
        <f t="shared" si="6"/>
        <v>0</v>
      </c>
      <c r="AD25" s="1">
        <f t="shared" si="7"/>
        <v>0</v>
      </c>
      <c r="AE25" s="1">
        <f t="shared" si="8"/>
        <v>0</v>
      </c>
      <c r="AF25" s="1">
        <f>IF(C25="Orlov",7.4*Stamoplysninger!$E$20,0)</f>
        <v>0</v>
      </c>
      <c r="AG25" t="str">
        <f>IF(AND(C25="Skema 1",B25="ma"),Arbejdstidsoversigt!$E$77,"")</f>
        <v/>
      </c>
      <c r="AH25" t="str">
        <f>IF(AND(C25="Skema 1",B25="ti"),Arbejdstidsoversigt!$E$78,"")</f>
        <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9"/>
        <v>0</v>
      </c>
      <c r="BC25" s="1">
        <f t="shared" si="29"/>
        <v>0</v>
      </c>
      <c r="BD25" s="1">
        <f t="shared" si="10"/>
        <v>0</v>
      </c>
      <c r="BE25" s="1">
        <f t="shared" si="11"/>
        <v>0</v>
      </c>
      <c r="BF25" s="1">
        <f t="shared" si="12"/>
        <v>0</v>
      </c>
      <c r="BG25" s="207" t="str">
        <f>IF(AND(C25="Skema 1",B25="ma"),Skemaoplysninger!$E$46,"")</f>
        <v/>
      </c>
      <c r="BH25" s="207" t="str">
        <f>IF(AND(C25="Skema 1",B25="ti"),Skemaoplysninger!$G$46,"")</f>
        <v/>
      </c>
      <c r="BI25" s="207" t="str">
        <f>IF(AND(C25="Skema 1",B25="on"),Skemaoplysninger!$I$46,"")</f>
        <v/>
      </c>
      <c r="BJ25" s="207" t="str">
        <f>IF(AND(C25="Skema 1",B25="to"),Skemaoplysninger!$K$46,"")</f>
        <v/>
      </c>
      <c r="BK25" s="207" t="str">
        <f>IF(AND(C25="Skema 1",B25="fr"),Skemaoplysninger!$M$46,"")</f>
        <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0</v>
      </c>
      <c r="CB25" s="1">
        <f t="shared" si="13"/>
        <v>0</v>
      </c>
      <c r="CC25" s="1">
        <f t="shared" si="14"/>
        <v>0</v>
      </c>
      <c r="CD25" s="207" t="str">
        <f>IF(AND(C25="Skema 1",B25="ma"),Skemaoplysninger!$E$47,"")</f>
        <v/>
      </c>
      <c r="CE25" s="207" t="str">
        <f>IF(AND(C25="Skema 1",B25="ti"),Skemaoplysninger!$G$47,"")</f>
        <v/>
      </c>
      <c r="CF25" s="207" t="str">
        <f>IF(AND(C25="Skema 1",B25="on"),Skemaoplysninger!$I$47,"")</f>
        <v/>
      </c>
      <c r="CG25" s="207" t="str">
        <f>IF(AND(C25="Skema 1",B25="to"),Skemaoplysninger!$K$47,"")</f>
        <v/>
      </c>
      <c r="CH25" s="207" t="str">
        <f>IF(AND(C25="Skema 1",B25="fr"),Skemaoplysninger!$M$47,"")</f>
        <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t="str">
        <f t="shared" si="33"/>
        <v>Efterårsferie</v>
      </c>
      <c r="DJ25" t="str">
        <f t="shared" si="34"/>
        <v/>
      </c>
      <c r="DK25" t="str">
        <f t="shared" si="15"/>
        <v/>
      </c>
      <c r="DL25" t="str">
        <f t="shared" si="15"/>
        <v>Efterårsferie</v>
      </c>
      <c r="DM25" t="str">
        <f t="shared" si="15"/>
        <v/>
      </c>
      <c r="DN25" t="str">
        <f t="shared" si="35"/>
        <v>Efterårsferie</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6"/>
        <v>0</v>
      </c>
      <c r="FZ25" s="634">
        <f t="shared" si="17"/>
        <v>0</v>
      </c>
      <c r="GA25">
        <f t="shared" si="18"/>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9"/>
        <v>0</v>
      </c>
      <c r="GL25">
        <f t="shared" si="20"/>
        <v>0</v>
      </c>
      <c r="GM25">
        <f t="shared" si="21"/>
        <v>0</v>
      </c>
      <c r="GN25" s="713">
        <f t="shared" si="22"/>
        <v>0</v>
      </c>
      <c r="GO25">
        <f t="shared" si="37"/>
        <v>0</v>
      </c>
      <c r="GP25" s="647">
        <f t="shared" si="38"/>
        <v>0</v>
      </c>
    </row>
    <row r="26" spans="1:198">
      <c r="A26" s="239">
        <f>IF(ISNUMBER(A25),A25+1,1)</f>
        <v>13</v>
      </c>
      <c r="B26" s="125" t="str">
        <f t="shared" si="0"/>
        <v>ti</v>
      </c>
      <c r="C26" s="126" t="s">
        <v>207</v>
      </c>
      <c r="D26" s="127" t="str">
        <f t="shared" si="1"/>
        <v/>
      </c>
      <c r="E26" s="1123" t="s">
        <v>138</v>
      </c>
      <c r="F26" s="1124"/>
      <c r="G26" s="1125"/>
      <c r="H26" s="291"/>
      <c r="I26" s="745"/>
      <c r="J26" s="746" t="str">
        <f t="shared" si="2"/>
        <v/>
      </c>
      <c r="K26" s="368"/>
      <c r="L26" s="368"/>
      <c r="M26" s="368"/>
      <c r="N26" s="311">
        <f t="shared" si="24"/>
        <v>0</v>
      </c>
      <c r="O26" s="311">
        <f t="shared" si="25"/>
        <v>0</v>
      </c>
      <c r="P26" s="311">
        <f>IF(Stamoplysninger!$H$34="JA",Oktober!DG26,CX26)</f>
        <v>0</v>
      </c>
      <c r="Q26" s="311">
        <f t="shared" si="26"/>
        <v>0</v>
      </c>
      <c r="R26" s="751"/>
      <c r="S26" s="315"/>
      <c r="T26" s="316"/>
      <c r="U26" s="316"/>
      <c r="V26" s="422"/>
      <c r="W26" s="400"/>
      <c r="X26" s="619"/>
      <c r="Y26">
        <f t="shared" si="27"/>
        <v>0</v>
      </c>
      <c r="Z26">
        <f t="shared" si="3"/>
        <v>0</v>
      </c>
      <c r="AA26" s="1">
        <f t="shared" si="4"/>
        <v>0</v>
      </c>
      <c r="AB26" s="1">
        <f t="shared" si="5"/>
        <v>0</v>
      </c>
      <c r="AC26" s="1">
        <f t="shared" si="6"/>
        <v>0</v>
      </c>
      <c r="AD26" s="1">
        <f t="shared" si="7"/>
        <v>0</v>
      </c>
      <c r="AE26" s="1">
        <f t="shared" si="8"/>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9"/>
        <v>0</v>
      </c>
      <c r="BC26" s="1">
        <f t="shared" si="29"/>
        <v>0</v>
      </c>
      <c r="BD26" s="1">
        <f t="shared" si="10"/>
        <v>0</v>
      </c>
      <c r="BE26" s="1">
        <f t="shared" si="11"/>
        <v>0</v>
      </c>
      <c r="BF26" s="1">
        <f t="shared" si="12"/>
        <v>0</v>
      </c>
      <c r="BG26" s="207" t="str">
        <f>IF(AND(C26="Skema 1",B26="ma"),Skemaoplysninger!$E$46,"")</f>
        <v/>
      </c>
      <c r="BH26" s="207" t="str">
        <f>IF(AND(C26="Skema 1",B26="ti"),Skemaoplysninger!$G$46,"")</f>
        <v/>
      </c>
      <c r="BI26" s="207" t="str">
        <f>IF(AND(C26="Skema 1",B26="on"),Skemaoplysninger!$I$46,"")</f>
        <v/>
      </c>
      <c r="BJ26" s="207" t="str">
        <f>IF(AND(C26="Skema 1",B26="to"),Skemaoplysninger!$K$46,"")</f>
        <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0</v>
      </c>
      <c r="CB26" s="1">
        <f t="shared" si="13"/>
        <v>0</v>
      </c>
      <c r="CC26" s="1">
        <f t="shared" si="14"/>
        <v>0</v>
      </c>
      <c r="CD26" s="207" t="str">
        <f>IF(AND(C26="Skema 1",B26="ma"),Skemaoplysninger!$E$47,"")</f>
        <v/>
      </c>
      <c r="CE26" s="207" t="str">
        <f>IF(AND(C26="Skema 1",B26="ti"),Skemaoplysninger!$G$47,"")</f>
        <v/>
      </c>
      <c r="CF26" s="207" t="str">
        <f>IF(AND(C26="Skema 1",B26="on"),Skemaoplysninger!$I$47,"")</f>
        <v/>
      </c>
      <c r="CG26" s="207" t="str">
        <f>IF(AND(C26="Skema 1",B26="to"),Skemaoplysninger!$K$47,"")</f>
        <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t="str">
        <f t="shared" si="33"/>
        <v>Efterårsferie</v>
      </c>
      <c r="DJ26" t="str">
        <f t="shared" si="34"/>
        <v/>
      </c>
      <c r="DK26" t="str">
        <f t="shared" si="15"/>
        <v/>
      </c>
      <c r="DL26" t="str">
        <f t="shared" si="15"/>
        <v>Efterårsferie</v>
      </c>
      <c r="DM26" t="str">
        <f t="shared" si="15"/>
        <v/>
      </c>
      <c r="DN26" t="str">
        <f t="shared" si="35"/>
        <v>Efterårsferie</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6"/>
        <v>0</v>
      </c>
      <c r="FZ26" s="634">
        <f t="shared" si="17"/>
        <v>0</v>
      </c>
      <c r="GA26">
        <f t="shared" si="18"/>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9"/>
        <v>0</v>
      </c>
      <c r="GL26">
        <f t="shared" si="20"/>
        <v>0</v>
      </c>
      <c r="GM26">
        <f t="shared" si="21"/>
        <v>0</v>
      </c>
      <c r="GN26" s="713">
        <f t="shared" si="22"/>
        <v>0</v>
      </c>
      <c r="GO26">
        <f t="shared" si="37"/>
        <v>0</v>
      </c>
      <c r="GP26" s="647">
        <f t="shared" si="38"/>
        <v>0</v>
      </c>
    </row>
    <row r="27" spans="1:198">
      <c r="A27" s="239">
        <f t="shared" si="23"/>
        <v>14</v>
      </c>
      <c r="B27" s="125" t="str">
        <f t="shared" si="0"/>
        <v>on</v>
      </c>
      <c r="C27" s="126" t="s">
        <v>207</v>
      </c>
      <c r="D27" s="127" t="str">
        <f t="shared" si="1"/>
        <v/>
      </c>
      <c r="E27" s="1123" t="s">
        <v>138</v>
      </c>
      <c r="F27" s="1124"/>
      <c r="G27" s="1125"/>
      <c r="H27" s="291"/>
      <c r="I27" s="745"/>
      <c r="J27" s="746" t="str">
        <f t="shared" si="2"/>
        <v/>
      </c>
      <c r="K27" s="368"/>
      <c r="L27" s="368"/>
      <c r="M27" s="368"/>
      <c r="N27" s="311">
        <f t="shared" si="24"/>
        <v>0</v>
      </c>
      <c r="O27" s="311">
        <f t="shared" si="25"/>
        <v>0</v>
      </c>
      <c r="P27" s="311">
        <f>IF(Stamoplysninger!$H$34="JA",Oktober!DG27,CX27)</f>
        <v>0</v>
      </c>
      <c r="Q27" s="311">
        <f t="shared" si="26"/>
        <v>0</v>
      </c>
      <c r="R27" s="751"/>
      <c r="S27" s="315"/>
      <c r="T27" s="316"/>
      <c r="U27" s="316"/>
      <c r="V27" s="422"/>
      <c r="W27" s="400"/>
      <c r="X27" s="619"/>
      <c r="Y27">
        <f t="shared" si="27"/>
        <v>0</v>
      </c>
      <c r="Z27">
        <f t="shared" si="3"/>
        <v>0</v>
      </c>
      <c r="AA27" s="1">
        <f t="shared" si="4"/>
        <v>0</v>
      </c>
      <c r="AB27" s="1">
        <f t="shared" si="5"/>
        <v>0</v>
      </c>
      <c r="AC27" s="1">
        <f t="shared" si="6"/>
        <v>0</v>
      </c>
      <c r="AD27" s="1">
        <f t="shared" si="7"/>
        <v>0</v>
      </c>
      <c r="AE27" s="1">
        <f t="shared" si="8"/>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9"/>
        <v>0</v>
      </c>
      <c r="BC27" s="1">
        <f t="shared" si="29"/>
        <v>0</v>
      </c>
      <c r="BD27" s="1">
        <f t="shared" si="10"/>
        <v>0</v>
      </c>
      <c r="BE27" s="1">
        <f t="shared" si="11"/>
        <v>0</v>
      </c>
      <c r="BF27" s="1">
        <f t="shared" si="12"/>
        <v>0</v>
      </c>
      <c r="BG27" s="207" t="str">
        <f>IF(AND(C27="Skema 1",B27="ma"),Skemaoplysninger!$E$46,"")</f>
        <v/>
      </c>
      <c r="BH27" s="207" t="str">
        <f>IF(AND(C27="Skema 1",B27="ti"),Skemaoplysninger!$G$46,"")</f>
        <v/>
      </c>
      <c r="BI27" s="207" t="str">
        <f>IF(AND(C27="Skema 1",B27="on"),Skemaoplysninger!$I$46,"")</f>
        <v/>
      </c>
      <c r="BJ27" s="207" t="str">
        <f>IF(AND(C27="Skema 1",B27="to"),Skemaoplysninger!$K$46,"")</f>
        <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0</v>
      </c>
      <c r="CB27" s="1">
        <f t="shared" si="13"/>
        <v>0</v>
      </c>
      <c r="CC27" s="1">
        <f t="shared" si="14"/>
        <v>0</v>
      </c>
      <c r="CD27" s="207" t="str">
        <f>IF(AND(C27="Skema 1",B27="ma"),Skemaoplysninger!$E$47,"")</f>
        <v/>
      </c>
      <c r="CE27" s="207" t="str">
        <f>IF(AND(C27="Skema 1",B27="ti"),Skemaoplysninger!$G$47,"")</f>
        <v/>
      </c>
      <c r="CF27" s="207" t="str">
        <f>IF(AND(C27="Skema 1",B27="on"),Skemaoplysninger!$I$47,"")</f>
        <v/>
      </c>
      <c r="CG27" s="207" t="str">
        <f>IF(AND(C27="Skema 1",B27="to"),Skemaoplysninger!$K$47,"")</f>
        <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t="str">
        <f t="shared" si="33"/>
        <v>Efterårsferie</v>
      </c>
      <c r="DJ27" t="str">
        <f t="shared" si="34"/>
        <v/>
      </c>
      <c r="DK27" t="str">
        <f t="shared" si="15"/>
        <v/>
      </c>
      <c r="DL27" t="str">
        <f t="shared" si="15"/>
        <v>Efterårsferie</v>
      </c>
      <c r="DM27" t="str">
        <f t="shared" si="15"/>
        <v/>
      </c>
      <c r="DN27" t="str">
        <f t="shared" si="35"/>
        <v>Efterårsferie</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6"/>
        <v>0</v>
      </c>
      <c r="FZ27" s="634">
        <f t="shared" si="17"/>
        <v>0</v>
      </c>
      <c r="GA27">
        <f t="shared" si="18"/>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9"/>
        <v>0</v>
      </c>
      <c r="GL27">
        <f t="shared" si="20"/>
        <v>0</v>
      </c>
      <c r="GM27">
        <f t="shared" si="21"/>
        <v>0</v>
      </c>
      <c r="GN27" s="713">
        <f t="shared" si="22"/>
        <v>0</v>
      </c>
      <c r="GO27">
        <f t="shared" si="37"/>
        <v>0</v>
      </c>
      <c r="GP27" s="647">
        <f t="shared" si="38"/>
        <v>0</v>
      </c>
    </row>
    <row r="28" spans="1:198">
      <c r="A28" s="239">
        <f t="shared" si="23"/>
        <v>15</v>
      </c>
      <c r="B28" s="125" t="str">
        <f t="shared" si="0"/>
        <v>to</v>
      </c>
      <c r="C28" s="126" t="s">
        <v>207</v>
      </c>
      <c r="D28" s="127" t="str">
        <f t="shared" si="1"/>
        <v/>
      </c>
      <c r="E28" s="1123" t="s">
        <v>138</v>
      </c>
      <c r="F28" s="1124"/>
      <c r="G28" s="1125"/>
      <c r="H28" s="291"/>
      <c r="I28" s="745"/>
      <c r="J28" s="746" t="str">
        <f t="shared" si="2"/>
        <v/>
      </c>
      <c r="K28" s="368"/>
      <c r="L28" s="368"/>
      <c r="M28" s="368"/>
      <c r="N28" s="311">
        <f t="shared" si="24"/>
        <v>0</v>
      </c>
      <c r="O28" s="311">
        <f t="shared" si="25"/>
        <v>0</v>
      </c>
      <c r="P28" s="311">
        <f>IF(Stamoplysninger!$H$34="JA",Oktober!DG28,CX28)</f>
        <v>0</v>
      </c>
      <c r="Q28" s="311">
        <f t="shared" si="26"/>
        <v>0</v>
      </c>
      <c r="R28" s="751"/>
      <c r="S28" s="315"/>
      <c r="T28" s="316"/>
      <c r="U28" s="316"/>
      <c r="V28" s="422"/>
      <c r="W28" s="400"/>
      <c r="X28" s="619"/>
      <c r="Y28">
        <f t="shared" si="27"/>
        <v>0</v>
      </c>
      <c r="Z28">
        <f t="shared" si="3"/>
        <v>0</v>
      </c>
      <c r="AA28" s="1">
        <f t="shared" si="4"/>
        <v>0</v>
      </c>
      <c r="AB28" s="1">
        <f t="shared" si="5"/>
        <v>0</v>
      </c>
      <c r="AC28" s="1">
        <f t="shared" si="6"/>
        <v>0</v>
      </c>
      <c r="AD28" s="1">
        <f t="shared" si="7"/>
        <v>0</v>
      </c>
      <c r="AE28" s="1">
        <f t="shared" si="8"/>
        <v>0</v>
      </c>
      <c r="AF28" s="1">
        <f>IF(C28="Orlov",7.4*Stamoplysninger!$E$20,0)</f>
        <v>0</v>
      </c>
      <c r="AG28" t="str">
        <f>IF(AND(C28="Skema 1",B28="ma"),Arbejdstidsoversigt!$E$77,"")</f>
        <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9"/>
        <v>0</v>
      </c>
      <c r="BC28" s="1">
        <f t="shared" si="29"/>
        <v>0</v>
      </c>
      <c r="BD28" s="1">
        <f t="shared" si="10"/>
        <v>0</v>
      </c>
      <c r="BE28" s="1">
        <f t="shared" si="11"/>
        <v>0</v>
      </c>
      <c r="BF28" s="1">
        <f t="shared" si="12"/>
        <v>0</v>
      </c>
      <c r="BG28" s="207" t="str">
        <f>IF(AND(C28="Skema 1",B28="ma"),Skemaoplysninger!$E$46,"")</f>
        <v/>
      </c>
      <c r="BH28" s="207" t="str">
        <f>IF(AND(C28="Skema 1",B28="ti"),Skemaoplysninger!$G$46,"")</f>
        <v/>
      </c>
      <c r="BI28" s="207" t="str">
        <f>IF(AND(C28="Skema 1",B28="on"),Skemaoplysninger!$I$46,"")</f>
        <v/>
      </c>
      <c r="BJ28" s="207" t="str">
        <f>IF(AND(C28="Skema 1",B28="to"),Skemaoplysninger!$K$46,"")</f>
        <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0</v>
      </c>
      <c r="CB28" s="1">
        <f t="shared" si="13"/>
        <v>0</v>
      </c>
      <c r="CC28" s="1">
        <f t="shared" si="14"/>
        <v>0</v>
      </c>
      <c r="CD28" s="207" t="str">
        <f>IF(AND(C28="Skema 1",B28="ma"),Skemaoplysninger!$E$47,"")</f>
        <v/>
      </c>
      <c r="CE28" s="207" t="str">
        <f>IF(AND(C28="Skema 1",B28="ti"),Skemaoplysninger!$G$47,"")</f>
        <v/>
      </c>
      <c r="CF28" s="207" t="str">
        <f>IF(AND(C28="Skema 1",B28="on"),Skemaoplysninger!$I$47,"")</f>
        <v/>
      </c>
      <c r="CG28" s="207" t="str">
        <f>IF(AND(C28="Skema 1",B28="to"),Skemaoplysninger!$K$47,"")</f>
        <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t="str">
        <f t="shared" si="33"/>
        <v>Efterårsferie</v>
      </c>
      <c r="DJ28" t="str">
        <f t="shared" si="34"/>
        <v/>
      </c>
      <c r="DK28" t="str">
        <f t="shared" si="15"/>
        <v/>
      </c>
      <c r="DL28" t="str">
        <f t="shared" si="15"/>
        <v>Efterårsferie</v>
      </c>
      <c r="DM28" t="str">
        <f t="shared" si="15"/>
        <v/>
      </c>
      <c r="DN28" t="str">
        <f t="shared" si="35"/>
        <v>Efterårsferie</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6"/>
        <v>0</v>
      </c>
      <c r="FZ28" s="634">
        <f t="shared" si="17"/>
        <v>0</v>
      </c>
      <c r="GA28">
        <f t="shared" si="18"/>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9"/>
        <v>0</v>
      </c>
      <c r="GL28">
        <f t="shared" si="20"/>
        <v>0</v>
      </c>
      <c r="GM28">
        <f t="shared" si="21"/>
        <v>0</v>
      </c>
      <c r="GN28" s="713">
        <f t="shared" si="22"/>
        <v>0</v>
      </c>
      <c r="GO28">
        <f t="shared" si="37"/>
        <v>0</v>
      </c>
      <c r="GP28" s="647">
        <f t="shared" si="38"/>
        <v>0</v>
      </c>
    </row>
    <row r="29" spans="1:198">
      <c r="A29" s="239">
        <f>IF(ISNUMBER(A28),A28+1,1)</f>
        <v>16</v>
      </c>
      <c r="B29" s="125" t="str">
        <f t="shared" si="0"/>
        <v>fr</v>
      </c>
      <c r="C29" s="126" t="s">
        <v>207</v>
      </c>
      <c r="D29" s="127" t="str">
        <f t="shared" si="1"/>
        <v/>
      </c>
      <c r="E29" s="1060" t="s">
        <v>138</v>
      </c>
      <c r="F29" s="1061"/>
      <c r="G29" s="1062"/>
      <c r="H29" s="292"/>
      <c r="I29" s="745"/>
      <c r="J29" s="746" t="str">
        <f t="shared" si="2"/>
        <v/>
      </c>
      <c r="K29" s="368"/>
      <c r="L29" s="368"/>
      <c r="M29" s="368"/>
      <c r="N29" s="311">
        <f t="shared" si="24"/>
        <v>0</v>
      </c>
      <c r="O29" s="311">
        <f t="shared" si="25"/>
        <v>0</v>
      </c>
      <c r="P29" s="311">
        <f>IF(Stamoplysninger!$H$34="JA",Oktober!DG29,CX29)</f>
        <v>0</v>
      </c>
      <c r="Q29" s="311">
        <f t="shared" si="26"/>
        <v>0</v>
      </c>
      <c r="R29" s="751"/>
      <c r="S29" s="315"/>
      <c r="T29" s="316"/>
      <c r="U29" s="316"/>
      <c r="V29" s="422"/>
      <c r="W29" s="400"/>
      <c r="X29" s="619"/>
      <c r="Y29">
        <f t="shared" si="27"/>
        <v>0</v>
      </c>
      <c r="Z29">
        <f t="shared" si="3"/>
        <v>0</v>
      </c>
      <c r="AA29" s="1">
        <f t="shared" si="4"/>
        <v>0</v>
      </c>
      <c r="AB29" s="1">
        <f t="shared" si="5"/>
        <v>0</v>
      </c>
      <c r="AC29" s="1">
        <f t="shared" si="6"/>
        <v>0</v>
      </c>
      <c r="AD29" s="1">
        <f t="shared" si="7"/>
        <v>0</v>
      </c>
      <c r="AE29" s="1">
        <f t="shared" si="8"/>
        <v>0</v>
      </c>
      <c r="AF29" s="1">
        <f>IF(C29="Orlov",7.4*Stamoplysninger!$E$20,0)</f>
        <v>0</v>
      </c>
      <c r="AG29" t="str">
        <f>IF(AND(C29="Skema 1",B29="ma"),Arbejdstidsoversigt!$E$77,"")</f>
        <v/>
      </c>
      <c r="AH29" t="str">
        <f>IF(AND(C29="Skema 1",B29="ti"),Arbejdstidsoversigt!$E$78,"")</f>
        <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9"/>
        <v>0</v>
      </c>
      <c r="BC29" s="1">
        <f t="shared" si="29"/>
        <v>0</v>
      </c>
      <c r="BD29" s="1">
        <f t="shared" si="10"/>
        <v>0</v>
      </c>
      <c r="BE29" s="1">
        <f t="shared" si="11"/>
        <v>0</v>
      </c>
      <c r="BF29" s="1">
        <f t="shared" si="12"/>
        <v>0</v>
      </c>
      <c r="BG29" s="207" t="str">
        <f>IF(AND(C29="Skema 1",B29="ma"),Skemaoplysninger!$E$46,"")</f>
        <v/>
      </c>
      <c r="BH29" s="207" t="str">
        <f>IF(AND(C29="Skema 1",B29="ti"),Skemaoplysninger!$G$46,"")</f>
        <v/>
      </c>
      <c r="BI29" s="207" t="str">
        <f>IF(AND(C29="Skema 1",B29="on"),Skemaoplysninger!$I$46,"")</f>
        <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0</v>
      </c>
      <c r="CB29" s="1">
        <f t="shared" si="13"/>
        <v>0</v>
      </c>
      <c r="CC29" s="1">
        <f t="shared" si="14"/>
        <v>0</v>
      </c>
      <c r="CD29" s="207" t="str">
        <f>IF(AND(C29="Skema 1",B29="ma"),Skemaoplysninger!$E$47,"")</f>
        <v/>
      </c>
      <c r="CE29" s="207" t="str">
        <f>IF(AND(C29="Skema 1",B29="ti"),Skemaoplysninger!$G$47,"")</f>
        <v/>
      </c>
      <c r="CF29" s="207" t="str">
        <f>IF(AND(C29="Skema 1",B29="on"),Skemaoplysninger!$I$47,"")</f>
        <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t="str">
        <f t="shared" si="33"/>
        <v>Efterårsferie</v>
      </c>
      <c r="DJ29" t="str">
        <f t="shared" si="34"/>
        <v/>
      </c>
      <c r="DK29" t="str">
        <f t="shared" si="15"/>
        <v/>
      </c>
      <c r="DL29" t="str">
        <f t="shared" si="15"/>
        <v>Efterårsferie</v>
      </c>
      <c r="DM29" t="str">
        <f t="shared" si="15"/>
        <v/>
      </c>
      <c r="DN29" t="str">
        <f t="shared" si="35"/>
        <v>Efterårsferie</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6"/>
        <v>0</v>
      </c>
      <c r="FZ29" s="634">
        <f t="shared" si="17"/>
        <v>0</v>
      </c>
      <c r="GA29">
        <f t="shared" si="18"/>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9"/>
        <v>0</v>
      </c>
      <c r="GL29">
        <f t="shared" si="20"/>
        <v>0</v>
      </c>
      <c r="GM29">
        <f t="shared" si="21"/>
        <v>0</v>
      </c>
      <c r="GN29" s="713">
        <f t="shared" si="22"/>
        <v>0</v>
      </c>
      <c r="GO29">
        <f t="shared" si="37"/>
        <v>0</v>
      </c>
      <c r="GP29" s="647">
        <f t="shared" si="38"/>
        <v>0</v>
      </c>
    </row>
    <row r="30" spans="1:198">
      <c r="A30" s="239">
        <f t="shared" si="23"/>
        <v>17</v>
      </c>
      <c r="B30" s="125" t="str">
        <f t="shared" si="0"/>
        <v>lø</v>
      </c>
      <c r="C30" s="126" t="s">
        <v>118</v>
      </c>
      <c r="D30" s="127" t="str">
        <f t="shared" si="1"/>
        <v/>
      </c>
      <c r="E30" s="1060"/>
      <c r="F30" s="1061"/>
      <c r="G30" s="1062"/>
      <c r="H30" s="292"/>
      <c r="I30" s="746" t="str">
        <f>IF(GO30=1,"X","")</f>
        <v/>
      </c>
      <c r="J30" s="746" t="str">
        <f t="shared" si="2"/>
        <v/>
      </c>
      <c r="K30" s="368"/>
      <c r="L30" s="368"/>
      <c r="M30" s="368"/>
      <c r="N30" s="311">
        <f t="shared" si="24"/>
        <v>0</v>
      </c>
      <c r="O30" s="311">
        <f t="shared" si="25"/>
        <v>0</v>
      </c>
      <c r="P30" s="311">
        <f>IF(Stamoplysninger!$H$34="JA",Oktober!DG30,CX30)</f>
        <v>0</v>
      </c>
      <c r="Q30" s="311">
        <f t="shared" si="26"/>
        <v>0</v>
      </c>
      <c r="R30" s="751"/>
      <c r="S30" s="315"/>
      <c r="T30" s="316"/>
      <c r="U30" s="316"/>
      <c r="V30" s="422"/>
      <c r="W30" s="400"/>
      <c r="X30" s="619"/>
      <c r="Y30">
        <f t="shared" si="27"/>
        <v>0</v>
      </c>
      <c r="Z30">
        <f t="shared" si="3"/>
        <v>0</v>
      </c>
      <c r="AA30" s="1">
        <f t="shared" si="4"/>
        <v>0</v>
      </c>
      <c r="AB30" s="1">
        <f t="shared" si="5"/>
        <v>0</v>
      </c>
      <c r="AC30" s="1">
        <f t="shared" si="6"/>
        <v>0</v>
      </c>
      <c r="AD30" s="1">
        <f t="shared" si="7"/>
        <v>0</v>
      </c>
      <c r="AE30" s="1">
        <f t="shared" si="8"/>
        <v>0</v>
      </c>
      <c r="AF30" s="1">
        <f>IF(C30="Orlov",7.4*Stamoplysninger!$E$20,0)</f>
        <v>0</v>
      </c>
      <c r="AG30" t="str">
        <f>IF(AND(C30="Skema 1",B30="ma"),Arbejdstidsoversigt!$E$77,"")</f>
        <v/>
      </c>
      <c r="AH30" t="str">
        <f>IF(AND(C30="Skema 1",B30="ti"),Arbejdstidsoversigt!$E$78,"")</f>
        <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9"/>
        <v>0</v>
      </c>
      <c r="BC30" s="1">
        <f t="shared" si="29"/>
        <v>0</v>
      </c>
      <c r="BD30" s="1">
        <f t="shared" si="10"/>
        <v>0</v>
      </c>
      <c r="BE30" s="1">
        <f t="shared" si="11"/>
        <v>0</v>
      </c>
      <c r="BF30" s="1">
        <f t="shared" si="12"/>
        <v>0</v>
      </c>
      <c r="BG30" s="207" t="str">
        <f>IF(AND(C30="Skema 1",B30="ma"),Skemaoplysninger!$E$46,"")</f>
        <v/>
      </c>
      <c r="BH30" s="207" t="str">
        <f>IF(AND(C30="Skema 1",B30="ti"),Skemaoplysninger!$G$46,"")</f>
        <v/>
      </c>
      <c r="BI30" s="207" t="str">
        <f>IF(AND(C30="Skema 1",B30="on"),Skemaoplysninger!$I$46,"")</f>
        <v/>
      </c>
      <c r="BJ30" s="207" t="str">
        <f>IF(AND(C30="Skema 1",B30="to"),Skemaoplysninger!$K$46,"")</f>
        <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0</v>
      </c>
      <c r="CB30" s="1">
        <f t="shared" si="13"/>
        <v>0</v>
      </c>
      <c r="CC30" s="1">
        <f t="shared" si="14"/>
        <v>0</v>
      </c>
      <c r="CD30" s="207" t="str">
        <f>IF(AND(C30="Skema 1",B30="ma"),Skemaoplysninger!$E$47,"")</f>
        <v/>
      </c>
      <c r="CE30" s="207" t="str">
        <f>IF(AND(C30="Skema 1",B30="ti"),Skemaoplysninger!$G$47,"")</f>
        <v/>
      </c>
      <c r="CF30" s="207" t="str">
        <f>IF(AND(C30="Skema 1",B30="on"),Skemaoplysninger!$I$47,"")</f>
        <v/>
      </c>
      <c r="CG30" s="207" t="str">
        <f>IF(AND(C30="Skema 1",B30="to"),Skemaoplysninger!$K$47,"")</f>
        <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5"/>
        <v/>
      </c>
      <c r="DL30" t="str">
        <f t="shared" si="15"/>
        <v/>
      </c>
      <c r="DM30" t="str">
        <f t="shared" si="15"/>
        <v/>
      </c>
      <c r="DN30" t="str">
        <f t="shared" si="35"/>
        <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6"/>
        <v>0</v>
      </c>
      <c r="FZ30" s="634">
        <f t="shared" si="17"/>
        <v>0</v>
      </c>
      <c r="GA30">
        <f t="shared" si="18"/>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9"/>
        <v>0</v>
      </c>
      <c r="GL30">
        <f t="shared" si="20"/>
        <v>0</v>
      </c>
      <c r="GM30">
        <f t="shared" si="21"/>
        <v>0</v>
      </c>
      <c r="GN30" s="713">
        <f t="shared" si="22"/>
        <v>0</v>
      </c>
      <c r="GO30">
        <f t="shared" si="37"/>
        <v>0</v>
      </c>
      <c r="GP30" s="647">
        <f t="shared" si="38"/>
        <v>0</v>
      </c>
    </row>
    <row r="31" spans="1:198">
      <c r="A31" s="239">
        <f t="shared" si="23"/>
        <v>18</v>
      </c>
      <c r="B31" s="125" t="str">
        <f t="shared" si="0"/>
        <v>sø</v>
      </c>
      <c r="C31" s="126" t="s">
        <v>118</v>
      </c>
      <c r="D31" s="127" t="str">
        <f t="shared" si="1"/>
        <v/>
      </c>
      <c r="E31" s="1060"/>
      <c r="F31" s="1061"/>
      <c r="G31" s="1062"/>
      <c r="H31" s="292"/>
      <c r="I31" s="746" t="str">
        <f>IF(GO31=1,"X","")</f>
        <v/>
      </c>
      <c r="J31" s="746" t="str">
        <f t="shared" si="2"/>
        <v/>
      </c>
      <c r="K31" s="368"/>
      <c r="L31" s="368"/>
      <c r="M31" s="368"/>
      <c r="N31" s="311">
        <f t="shared" si="24"/>
        <v>0</v>
      </c>
      <c r="O31" s="311">
        <f t="shared" si="25"/>
        <v>0</v>
      </c>
      <c r="P31" s="311">
        <f>IF(Stamoplysninger!$H$34="JA",Oktober!DG31,CX31)</f>
        <v>0</v>
      </c>
      <c r="Q31" s="311">
        <f t="shared" si="26"/>
        <v>0</v>
      </c>
      <c r="R31" s="751"/>
      <c r="S31" s="315"/>
      <c r="T31" s="316"/>
      <c r="U31" s="316"/>
      <c r="V31" s="422"/>
      <c r="W31" s="400"/>
      <c r="X31" s="619"/>
      <c r="Y31">
        <f t="shared" si="27"/>
        <v>0</v>
      </c>
      <c r="Z31">
        <f t="shared" si="3"/>
        <v>0</v>
      </c>
      <c r="AA31" s="1">
        <f t="shared" si="4"/>
        <v>0</v>
      </c>
      <c r="AB31" s="1">
        <f t="shared" si="5"/>
        <v>0</v>
      </c>
      <c r="AC31" s="1">
        <f t="shared" si="6"/>
        <v>0</v>
      </c>
      <c r="AD31" s="1">
        <f t="shared" si="7"/>
        <v>0</v>
      </c>
      <c r="AE31" s="1">
        <f t="shared" si="8"/>
        <v>0</v>
      </c>
      <c r="AF31" s="1">
        <f>IF(C31="Orlov",7.4*Stamoplysninger!$E$20,0)</f>
        <v>0</v>
      </c>
      <c r="AG31" t="str">
        <f>IF(AND(C31="Skema 1",B31="ma"),Arbejdstidsoversigt!$E$77,"")</f>
        <v/>
      </c>
      <c r="AH31" t="str">
        <f>IF(AND(C31="Skema 1",B31="ti"),Arbejdstidsoversigt!$E$78,"")</f>
        <v/>
      </c>
      <c r="AI31" t="str">
        <f>IF(AND(C31="Skema 1",B31="on"),Arbejdstidsoversigt!$E$79,"")</f>
        <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9"/>
        <v>0</v>
      </c>
      <c r="BC31" s="1">
        <f t="shared" si="29"/>
        <v>0</v>
      </c>
      <c r="BD31" s="1">
        <f t="shared" si="10"/>
        <v>0</v>
      </c>
      <c r="BE31" s="1">
        <f t="shared" si="11"/>
        <v>0</v>
      </c>
      <c r="BF31" s="1">
        <f t="shared" si="12"/>
        <v>0</v>
      </c>
      <c r="BG31" s="207" t="str">
        <f>IF(AND(C31="Skema 1",B31="ma"),Skemaoplysninger!$E$46,"")</f>
        <v/>
      </c>
      <c r="BH31" s="207" t="str">
        <f>IF(AND(C31="Skema 1",B31="ti"),Skemaoplysninger!$G$46,"")</f>
        <v/>
      </c>
      <c r="BI31" s="207" t="str">
        <f>IF(AND(C31="Skema 1",B31="on"),Skemaoplysninger!$I$46,"")</f>
        <v/>
      </c>
      <c r="BJ31" s="207" t="str">
        <f>IF(AND(C31="Skema 1",B31="to"),Skemaoplysninger!$K$46,"")</f>
        <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0</v>
      </c>
      <c r="CB31" s="1">
        <f t="shared" si="13"/>
        <v>0</v>
      </c>
      <c r="CC31" s="1">
        <f t="shared" si="14"/>
        <v>0</v>
      </c>
      <c r="CD31" s="207" t="str">
        <f>IF(AND(C31="Skema 1",B31="ma"),Skemaoplysninger!$E$47,"")</f>
        <v/>
      </c>
      <c r="CE31" s="207" t="str">
        <f>IF(AND(C31="Skema 1",B31="ti"),Skemaoplysninger!$G$47,"")</f>
        <v/>
      </c>
      <c r="CF31" s="207" t="str">
        <f>IF(AND(C31="Skema 1",B31="on"),Skemaoplysninger!$I$47,"")</f>
        <v/>
      </c>
      <c r="CG31" s="207" t="str">
        <f>IF(AND(C31="Skema 1",B31="to"),Skemaoplysninger!$K$47,"")</f>
        <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5"/>
        <v/>
      </c>
      <c r="DL31" t="str">
        <f t="shared" si="15"/>
        <v/>
      </c>
      <c r="DM31" t="str">
        <f t="shared" si="15"/>
        <v/>
      </c>
      <c r="DN31" t="str">
        <f t="shared" si="35"/>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6"/>
        <v>0</v>
      </c>
      <c r="FZ31" s="634">
        <f t="shared" si="17"/>
        <v>0</v>
      </c>
      <c r="GA31">
        <f t="shared" si="18"/>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9"/>
        <v>0</v>
      </c>
      <c r="GL31">
        <f t="shared" si="20"/>
        <v>0</v>
      </c>
      <c r="GM31">
        <f t="shared" si="21"/>
        <v>0</v>
      </c>
      <c r="GN31" s="713">
        <f t="shared" si="22"/>
        <v>0</v>
      </c>
      <c r="GO31">
        <f t="shared" si="37"/>
        <v>0</v>
      </c>
      <c r="GP31" s="647">
        <f t="shared" si="38"/>
        <v>0</v>
      </c>
    </row>
    <row r="32" spans="1:198">
      <c r="A32" s="239">
        <f t="shared" si="23"/>
        <v>19</v>
      </c>
      <c r="B32" s="125" t="str">
        <f t="shared" si="0"/>
        <v>ma</v>
      </c>
      <c r="C32" s="126" t="s">
        <v>203</v>
      </c>
      <c r="D32" s="127">
        <f t="shared" si="1"/>
        <v>42.571428571428569</v>
      </c>
      <c r="E32" s="1060"/>
      <c r="F32" s="1061"/>
      <c r="G32" s="1062"/>
      <c r="H32" s="292"/>
      <c r="I32" s="745"/>
      <c r="J32" s="746" t="str">
        <f t="shared" si="2"/>
        <v/>
      </c>
      <c r="K32" s="368"/>
      <c r="L32" s="368"/>
      <c r="M32" s="368"/>
      <c r="N32" s="311">
        <f t="shared" si="24"/>
        <v>8.11</v>
      </c>
      <c r="O32" s="311">
        <f t="shared" si="25"/>
        <v>4.5</v>
      </c>
      <c r="P32" s="311">
        <f>IF(Stamoplysninger!$H$34="JA",Oktober!DG32,CX32)</f>
        <v>1.9166666666666665</v>
      </c>
      <c r="Q32" s="311">
        <f t="shared" si="26"/>
        <v>1.6933333333333329</v>
      </c>
      <c r="R32" s="751"/>
      <c r="S32" s="315"/>
      <c r="T32" s="316"/>
      <c r="U32" s="316"/>
      <c r="V32" s="422"/>
      <c r="W32" s="400"/>
      <c r="X32" s="619"/>
      <c r="Y32">
        <f t="shared" si="27"/>
        <v>0</v>
      </c>
      <c r="Z32">
        <f t="shared" si="3"/>
        <v>0</v>
      </c>
      <c r="AA32" s="1">
        <f t="shared" si="4"/>
        <v>0</v>
      </c>
      <c r="AB32" s="1">
        <f t="shared" si="5"/>
        <v>0</v>
      </c>
      <c r="AC32" s="1">
        <f t="shared" si="6"/>
        <v>0</v>
      </c>
      <c r="AD32" s="1">
        <f t="shared" si="7"/>
        <v>0</v>
      </c>
      <c r="AE32" s="1">
        <f t="shared" si="8"/>
        <v>0</v>
      </c>
      <c r="AF32" s="1">
        <f>IF(C32="Orlov",7.4*Stamoplysninger!$E$20,0)</f>
        <v>0</v>
      </c>
      <c r="AG32">
        <f>IF(AND(C32="Skema 1",B32="ma"),Arbejdstidsoversigt!$E$77,"")</f>
        <v>8.11</v>
      </c>
      <c r="AH32" t="str">
        <f>IF(AND(C32="Skema 1",B32="ti"),Arbejdstidsoversigt!$E$78,"")</f>
        <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8.11</v>
      </c>
      <c r="BB32" s="224">
        <f t="shared" si="9"/>
        <v>194.64</v>
      </c>
      <c r="BC32" s="1">
        <f t="shared" si="29"/>
        <v>0</v>
      </c>
      <c r="BD32" s="1">
        <f t="shared" si="10"/>
        <v>0</v>
      </c>
      <c r="BE32" s="1">
        <f t="shared" si="11"/>
        <v>0</v>
      </c>
      <c r="BF32" s="1">
        <f t="shared" si="12"/>
        <v>0</v>
      </c>
      <c r="BG32" s="207">
        <f>IF(AND(C32="Skema 1",B32="ma"),Skemaoplysninger!$E$46,"")</f>
        <v>0.1875</v>
      </c>
      <c r="BH32" s="207" t="str">
        <f>IF(AND(C32="Skema 1",B32="ti"),Skemaoplysninger!$G$46,"")</f>
        <v/>
      </c>
      <c r="BI32" s="207" t="str">
        <f>IF(AND(C32="Skema 1",B32="on"),Skemaoplysninger!$I$46,"")</f>
        <v/>
      </c>
      <c r="BJ32" s="207" t="str">
        <f>IF(AND(C32="Skema 1",B32="to"),Skemaoplysninger!$K$46,"")</f>
        <v/>
      </c>
      <c r="BK32" s="207" t="str">
        <f>IF(AND(C32="Skema 1",B32="fr"),Skemaoplysninger!$M$46,"")</f>
        <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4.5</v>
      </c>
      <c r="CB32" s="1">
        <f t="shared" si="13"/>
        <v>0</v>
      </c>
      <c r="CC32" s="1">
        <f t="shared" si="14"/>
        <v>0</v>
      </c>
      <c r="CD32" s="207">
        <f>IF(AND(C32="Skema 1",B32="ma"),Skemaoplysninger!$E$47,"")</f>
        <v>7.9861111111111105E-2</v>
      </c>
      <c r="CE32" s="207" t="str">
        <f>IF(AND(C32="Skema 1",B32="ti"),Skemaoplysninger!$G$47,"")</f>
        <v/>
      </c>
      <c r="CF32" s="207" t="str">
        <f>IF(AND(C32="Skema 1",B32="on"),Skemaoplysninger!$I$47,"")</f>
        <v/>
      </c>
      <c r="CG32" s="207" t="str">
        <f>IF(AND(C32="Skema 1",B32="to"),Skemaoplysninger!$K$47,"")</f>
        <v/>
      </c>
      <c r="CH32" s="207" t="str">
        <f>IF(AND(C32="Skema 1",B32="fr"),Skemaoplysninger!$M$47,"")</f>
        <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1.9166666666666665</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5"/>
        <v/>
      </c>
      <c r="DL32" t="str">
        <f t="shared" si="15"/>
        <v/>
      </c>
      <c r="DM32" t="str">
        <f t="shared" si="15"/>
        <v/>
      </c>
      <c r="DN32" t="str">
        <f t="shared" si="35"/>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6"/>
        <v>0</v>
      </c>
      <c r="FZ32" s="634">
        <f t="shared" si="17"/>
        <v>0</v>
      </c>
      <c r="GA32">
        <f t="shared" si="18"/>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9"/>
        <v>0</v>
      </c>
      <c r="GL32">
        <f t="shared" si="20"/>
        <v>0</v>
      </c>
      <c r="GM32">
        <f t="shared" si="21"/>
        <v>0</v>
      </c>
      <c r="GN32" s="713">
        <f t="shared" si="22"/>
        <v>0</v>
      </c>
      <c r="GO32">
        <f t="shared" si="37"/>
        <v>0</v>
      </c>
      <c r="GP32" s="647">
        <f t="shared" si="38"/>
        <v>0</v>
      </c>
    </row>
    <row r="33" spans="1:198">
      <c r="A33" s="239">
        <f t="shared" si="23"/>
        <v>20</v>
      </c>
      <c r="B33" s="125" t="str">
        <f t="shared" si="0"/>
        <v>ti</v>
      </c>
      <c r="C33" s="126" t="s">
        <v>203</v>
      </c>
      <c r="D33" s="127" t="str">
        <f t="shared" si="1"/>
        <v/>
      </c>
      <c r="E33" s="1060"/>
      <c r="F33" s="1061"/>
      <c r="G33" s="1062"/>
      <c r="H33" s="292"/>
      <c r="I33" s="745"/>
      <c r="J33" s="746" t="str">
        <f t="shared" si="2"/>
        <v/>
      </c>
      <c r="K33" s="368"/>
      <c r="L33" s="368"/>
      <c r="M33" s="368"/>
      <c r="N33" s="311">
        <f t="shared" si="24"/>
        <v>8.11</v>
      </c>
      <c r="O33" s="311">
        <f t="shared" si="25"/>
        <v>4.5</v>
      </c>
      <c r="P33" s="311">
        <f>IF(Stamoplysninger!$H$34="JA",Oktober!DG33,CX33)</f>
        <v>1.9166666666666665</v>
      </c>
      <c r="Q33" s="311">
        <f t="shared" si="26"/>
        <v>1.6933333333333329</v>
      </c>
      <c r="R33" s="751"/>
      <c r="S33" s="315"/>
      <c r="T33" s="316"/>
      <c r="U33" s="316"/>
      <c r="V33" s="422"/>
      <c r="W33" s="400"/>
      <c r="X33" s="619"/>
      <c r="Y33">
        <f t="shared" si="27"/>
        <v>0</v>
      </c>
      <c r="Z33">
        <f t="shared" si="3"/>
        <v>0</v>
      </c>
      <c r="AA33" s="1">
        <f t="shared" si="4"/>
        <v>0</v>
      </c>
      <c r="AB33" s="1">
        <f t="shared" si="5"/>
        <v>0</v>
      </c>
      <c r="AC33" s="1">
        <f t="shared" si="6"/>
        <v>0</v>
      </c>
      <c r="AD33" s="1">
        <f t="shared" si="7"/>
        <v>0</v>
      </c>
      <c r="AE33" s="1">
        <f t="shared" si="8"/>
        <v>0</v>
      </c>
      <c r="AF33" s="1">
        <f>IF(C33="Orlov",7.4*Stamoplysninger!$E$20,0)</f>
        <v>0</v>
      </c>
      <c r="AG33" t="str">
        <f>IF(AND(C33="Skema 1",B33="ma"),Arbejdstidsoversigt!$E$77,"")</f>
        <v/>
      </c>
      <c r="AH33">
        <f>IF(AND(C33="Skema 1",B33="ti"),Arbejdstidsoversigt!$E$78,"")</f>
        <v>8.11</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8.11</v>
      </c>
      <c r="BB33" s="224">
        <f t="shared" si="9"/>
        <v>194.64</v>
      </c>
      <c r="BC33" s="1">
        <f t="shared" si="29"/>
        <v>0</v>
      </c>
      <c r="BD33" s="1">
        <f t="shared" si="10"/>
        <v>0</v>
      </c>
      <c r="BE33" s="1">
        <f t="shared" si="11"/>
        <v>0</v>
      </c>
      <c r="BF33" s="1">
        <f t="shared" si="12"/>
        <v>0</v>
      </c>
      <c r="BG33" s="207" t="str">
        <f>IF(AND(C33="Skema 1",B33="ma"),Skemaoplysninger!$E$46,"")</f>
        <v/>
      </c>
      <c r="BH33" s="207">
        <f>IF(AND(C33="Skema 1",B33="ti"),Skemaoplysninger!$G$46,"")</f>
        <v>0.1875</v>
      </c>
      <c r="BI33" s="207" t="str">
        <f>IF(AND(C33="Skema 1",B33="on"),Skemaoplysninger!$I$46,"")</f>
        <v/>
      </c>
      <c r="BJ33" s="207" t="str">
        <f>IF(AND(C33="Skema 1",B33="to"),Skemaoplysninger!$K$46,"")</f>
        <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4.5</v>
      </c>
      <c r="CB33" s="1">
        <f t="shared" si="13"/>
        <v>0</v>
      </c>
      <c r="CC33" s="1">
        <f t="shared" si="14"/>
        <v>0</v>
      </c>
      <c r="CD33" s="207" t="str">
        <f>IF(AND(C33="Skema 1",B33="ma"),Skemaoplysninger!$E$47,"")</f>
        <v/>
      </c>
      <c r="CE33" s="207">
        <f>IF(AND(C33="Skema 1",B33="ti"),Skemaoplysninger!$G$47,"")</f>
        <v>7.9861111111111105E-2</v>
      </c>
      <c r="CF33" s="207" t="str">
        <f>IF(AND(C33="Skema 1",B33="on"),Skemaoplysninger!$I$47,"")</f>
        <v/>
      </c>
      <c r="CG33" s="207" t="str">
        <f>IF(AND(C33="Skema 1",B33="to"),Skemaoplysninger!$K$47,"")</f>
        <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1.9166666666666665</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5"/>
        <v/>
      </c>
      <c r="DL33" t="str">
        <f t="shared" si="15"/>
        <v/>
      </c>
      <c r="DM33" t="str">
        <f t="shared" si="15"/>
        <v/>
      </c>
      <c r="DN33" t="str">
        <f t="shared" si="35"/>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6"/>
        <v>0</v>
      </c>
      <c r="FZ33" s="634">
        <f t="shared" si="17"/>
        <v>0</v>
      </c>
      <c r="GA33">
        <f t="shared" si="18"/>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9"/>
        <v>0</v>
      </c>
      <c r="GL33">
        <f t="shared" si="20"/>
        <v>0</v>
      </c>
      <c r="GM33">
        <f t="shared" si="21"/>
        <v>0</v>
      </c>
      <c r="GN33" s="713">
        <f t="shared" si="22"/>
        <v>0</v>
      </c>
      <c r="GO33">
        <f t="shared" si="37"/>
        <v>0</v>
      </c>
      <c r="GP33" s="647">
        <f t="shared" si="38"/>
        <v>0</v>
      </c>
    </row>
    <row r="34" spans="1:198">
      <c r="A34" s="239">
        <f t="shared" si="23"/>
        <v>21</v>
      </c>
      <c r="B34" s="125" t="str">
        <f t="shared" si="0"/>
        <v>on</v>
      </c>
      <c r="C34" s="126" t="s">
        <v>203</v>
      </c>
      <c r="D34" s="127" t="str">
        <f t="shared" si="1"/>
        <v/>
      </c>
      <c r="E34" s="1060"/>
      <c r="F34" s="1061"/>
      <c r="G34" s="1062"/>
      <c r="H34" s="292"/>
      <c r="I34" s="745"/>
      <c r="J34" s="746" t="str">
        <f t="shared" si="2"/>
        <v/>
      </c>
      <c r="K34" s="368"/>
      <c r="L34" s="368"/>
      <c r="M34" s="368"/>
      <c r="N34" s="311">
        <f t="shared" si="24"/>
        <v>8.11</v>
      </c>
      <c r="O34" s="311">
        <f t="shared" si="25"/>
        <v>2.75</v>
      </c>
      <c r="P34" s="311">
        <f>IF(Stamoplysninger!$H$34="JA",Oktober!DG34,CX34)</f>
        <v>1.25</v>
      </c>
      <c r="Q34" s="311">
        <f t="shared" si="26"/>
        <v>4.1099999999999994</v>
      </c>
      <c r="R34" s="751"/>
      <c r="S34" s="315"/>
      <c r="T34" s="316"/>
      <c r="U34" s="316"/>
      <c r="V34" s="422"/>
      <c r="W34" s="400"/>
      <c r="X34" s="619"/>
      <c r="Y34">
        <f t="shared" si="27"/>
        <v>0</v>
      </c>
      <c r="Z34">
        <f t="shared" si="3"/>
        <v>0</v>
      </c>
      <c r="AA34" s="1">
        <f t="shared" si="4"/>
        <v>0</v>
      </c>
      <c r="AB34" s="1">
        <f t="shared" si="5"/>
        <v>0</v>
      </c>
      <c r="AC34" s="1">
        <f t="shared" si="6"/>
        <v>0</v>
      </c>
      <c r="AD34" s="1">
        <f t="shared" si="7"/>
        <v>0</v>
      </c>
      <c r="AE34" s="1">
        <f t="shared" si="8"/>
        <v>0</v>
      </c>
      <c r="AF34" s="1">
        <f>IF(C34="Orlov",7.4*Stamoplysninger!$E$20,0)</f>
        <v>0</v>
      </c>
      <c r="AG34" t="str">
        <f>IF(AND(C34="Skema 1",B34="ma"),Arbejdstidsoversigt!$E$77,"")</f>
        <v/>
      </c>
      <c r="AH34" t="str">
        <f>IF(AND(C34="Skema 1",B34="ti"),Arbejdstidsoversigt!$E$78,"")</f>
        <v/>
      </c>
      <c r="AI34">
        <f>IF(AND(C34="Skema 1",B34="on"),Arbejdstidsoversigt!$E$79,"")</f>
        <v>8.11</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8.11</v>
      </c>
      <c r="BB34" s="224">
        <f t="shared" si="9"/>
        <v>194.64</v>
      </c>
      <c r="BC34" s="1">
        <f t="shared" si="29"/>
        <v>0</v>
      </c>
      <c r="BD34" s="1">
        <f t="shared" si="10"/>
        <v>0</v>
      </c>
      <c r="BE34" s="1">
        <f t="shared" si="11"/>
        <v>0</v>
      </c>
      <c r="BF34" s="1">
        <f t="shared" si="12"/>
        <v>0</v>
      </c>
      <c r="BG34" s="207" t="str">
        <f>IF(AND(C34="Skema 1",B34="ma"),Skemaoplysninger!$E$46,"")</f>
        <v/>
      </c>
      <c r="BH34" s="207" t="str">
        <f>IF(AND(C34="Skema 1",B34="ti"),Skemaoplysninger!$G$46,"")</f>
        <v/>
      </c>
      <c r="BI34" s="207">
        <f>IF(AND(C34="Skema 1",B34="on"),Skemaoplysninger!$I$46,"")</f>
        <v>0.11458333333333333</v>
      </c>
      <c r="BJ34" s="207" t="str">
        <f>IF(AND(C34="Skema 1",B34="to"),Skemaoplysninger!$K$46,"")</f>
        <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2.75</v>
      </c>
      <c r="CB34" s="1">
        <f t="shared" si="13"/>
        <v>0</v>
      </c>
      <c r="CC34" s="1">
        <f t="shared" si="14"/>
        <v>0</v>
      </c>
      <c r="CD34" s="207" t="str">
        <f>IF(AND(C34="Skema 1",B34="ma"),Skemaoplysninger!$E$47,"")</f>
        <v/>
      </c>
      <c r="CE34" s="207" t="str">
        <f>IF(AND(C34="Skema 1",B34="ti"),Skemaoplysninger!$G$47,"")</f>
        <v/>
      </c>
      <c r="CF34" s="207">
        <f>IF(AND(C34="Skema 1",B34="on"),Skemaoplysninger!$I$47,"")</f>
        <v>5.2083333333333329E-2</v>
      </c>
      <c r="CG34" s="207" t="str">
        <f>IF(AND(C34="Skema 1",B34="to"),Skemaoplysninger!$K$47,"")</f>
        <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1.25</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5"/>
        <v/>
      </c>
      <c r="DL34" t="str">
        <f t="shared" si="15"/>
        <v/>
      </c>
      <c r="DM34" t="str">
        <f t="shared" si="15"/>
        <v/>
      </c>
      <c r="DN34" t="str">
        <f t="shared" si="35"/>
        <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6"/>
        <v>0</v>
      </c>
      <c r="FZ34" s="634">
        <f t="shared" si="17"/>
        <v>0</v>
      </c>
      <c r="GA34">
        <f t="shared" si="18"/>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9"/>
        <v>0</v>
      </c>
      <c r="GL34">
        <f t="shared" si="20"/>
        <v>0</v>
      </c>
      <c r="GM34">
        <f t="shared" si="21"/>
        <v>0</v>
      </c>
      <c r="GN34" s="713">
        <f t="shared" si="22"/>
        <v>0</v>
      </c>
      <c r="GO34">
        <f t="shared" si="37"/>
        <v>0</v>
      </c>
      <c r="GP34" s="647">
        <f t="shared" si="38"/>
        <v>0</v>
      </c>
    </row>
    <row r="35" spans="1:198">
      <c r="A35" s="239">
        <f t="shared" si="23"/>
        <v>22</v>
      </c>
      <c r="B35" s="125" t="str">
        <f t="shared" si="0"/>
        <v>to</v>
      </c>
      <c r="C35" s="126" t="s">
        <v>203</v>
      </c>
      <c r="D35" s="127" t="str">
        <f t="shared" si="1"/>
        <v/>
      </c>
      <c r="E35" s="1060" t="s">
        <v>769</v>
      </c>
      <c r="F35" s="1061"/>
      <c r="G35" s="1062"/>
      <c r="H35" s="292"/>
      <c r="I35" s="745"/>
      <c r="J35" s="746" t="str">
        <f t="shared" si="2"/>
        <v/>
      </c>
      <c r="K35" s="368"/>
      <c r="L35" s="368"/>
      <c r="M35" s="368"/>
      <c r="N35" s="311">
        <f t="shared" si="24"/>
        <v>9</v>
      </c>
      <c r="O35" s="311">
        <f t="shared" si="25"/>
        <v>3.75</v>
      </c>
      <c r="P35" s="311">
        <f>IF(Stamoplysninger!$H$34="JA",Oktober!DG35,CX35)</f>
        <v>1</v>
      </c>
      <c r="Q35" s="311">
        <f t="shared" si="26"/>
        <v>4.25</v>
      </c>
      <c r="R35" s="751"/>
      <c r="S35" s="315"/>
      <c r="T35" s="316"/>
      <c r="U35" s="316"/>
      <c r="V35" s="422"/>
      <c r="W35" s="400"/>
      <c r="X35" s="619"/>
      <c r="Y35">
        <f t="shared" si="27"/>
        <v>0</v>
      </c>
      <c r="Z35">
        <f t="shared" si="3"/>
        <v>0</v>
      </c>
      <c r="AA35" s="1">
        <f t="shared" si="4"/>
        <v>0</v>
      </c>
      <c r="AB35" s="1">
        <f t="shared" si="5"/>
        <v>0</v>
      </c>
      <c r="AC35" s="1">
        <f t="shared" si="6"/>
        <v>0</v>
      </c>
      <c r="AD35" s="1">
        <f t="shared" si="7"/>
        <v>0</v>
      </c>
      <c r="AE35" s="1">
        <f t="shared" si="8"/>
        <v>0</v>
      </c>
      <c r="AF35" s="1">
        <f>IF(C35="Orlov",7.4*Stamoplysninger!$E$20,0)</f>
        <v>0</v>
      </c>
      <c r="AG35" t="str">
        <f>IF(AND(C35="Skema 1",B35="ma"),Arbejdstidsoversigt!$E$77,"")</f>
        <v/>
      </c>
      <c r="AH35" t="str">
        <f>IF(AND(C35="Skema 1",B35="ti"),Arbejdstidsoversigt!$E$78,"")</f>
        <v/>
      </c>
      <c r="AI35" t="str">
        <f>IF(AND(C35="Skema 1",B35="on"),Arbejdstidsoversigt!$E$79,"")</f>
        <v/>
      </c>
      <c r="AJ35">
        <f>IF(AND(C35="Skema 1",B35="to"),Arbejdstidsoversigt!$E$80,"")</f>
        <v>9</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9</v>
      </c>
      <c r="BB35" s="224">
        <f t="shared" si="9"/>
        <v>216</v>
      </c>
      <c r="BC35" s="1">
        <f t="shared" si="29"/>
        <v>0</v>
      </c>
      <c r="BD35" s="1">
        <f t="shared" si="10"/>
        <v>0</v>
      </c>
      <c r="BE35" s="1">
        <f t="shared" si="11"/>
        <v>0</v>
      </c>
      <c r="BF35" s="1">
        <f t="shared" si="12"/>
        <v>0</v>
      </c>
      <c r="BG35" s="207" t="str">
        <f>IF(AND(C35="Skema 1",B35="ma"),Skemaoplysninger!$E$46,"")</f>
        <v/>
      </c>
      <c r="BH35" s="207" t="str">
        <f>IF(AND(C35="Skema 1",B35="ti"),Skemaoplysninger!$G$46,"")</f>
        <v/>
      </c>
      <c r="BI35" s="207" t="str">
        <f>IF(AND(C35="Skema 1",B35="on"),Skemaoplysninger!$I$46,"")</f>
        <v/>
      </c>
      <c r="BJ35" s="207">
        <f>IF(AND(C35="Skema 1",B35="to"),Skemaoplysninger!$K$46,"")</f>
        <v>0.15625</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3.75</v>
      </c>
      <c r="CB35" s="1">
        <f t="shared" si="13"/>
        <v>0</v>
      </c>
      <c r="CC35" s="1">
        <f t="shared" si="14"/>
        <v>0</v>
      </c>
      <c r="CD35" s="207" t="str">
        <f>IF(AND(C35="Skema 1",B35="ma"),Skemaoplysninger!$E$47,"")</f>
        <v/>
      </c>
      <c r="CE35" s="207" t="str">
        <f>IF(AND(C35="Skema 1",B35="ti"),Skemaoplysninger!$G$47,"")</f>
        <v/>
      </c>
      <c r="CF35" s="207" t="str">
        <f>IF(AND(C35="Skema 1",B35="on"),Skemaoplysninger!$I$47,"")</f>
        <v/>
      </c>
      <c r="CG35" s="207">
        <f>IF(AND(C35="Skema 1",B35="to"),Skemaoplysninger!$K$47,"")</f>
        <v>4.1666666666666664E-2</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1</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t="str">
        <f t="shared" si="33"/>
        <v>Lærermøde</v>
      </c>
      <c r="DJ35" t="str">
        <f t="shared" si="34"/>
        <v/>
      </c>
      <c r="DK35" t="str">
        <f t="shared" si="15"/>
        <v/>
      </c>
      <c r="DL35" t="str">
        <f t="shared" si="15"/>
        <v>Lærermøde</v>
      </c>
      <c r="DM35" t="str">
        <f t="shared" si="15"/>
        <v/>
      </c>
      <c r="DN35" t="str">
        <f t="shared" si="35"/>
        <v>Lærermøde</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6"/>
        <v>0</v>
      </c>
      <c r="FZ35" s="634">
        <f t="shared" si="17"/>
        <v>0</v>
      </c>
      <c r="GA35">
        <f t="shared" si="18"/>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9"/>
        <v>0</v>
      </c>
      <c r="GL35">
        <f t="shared" si="20"/>
        <v>0</v>
      </c>
      <c r="GM35">
        <f t="shared" si="21"/>
        <v>0</v>
      </c>
      <c r="GN35" s="713">
        <f t="shared" si="22"/>
        <v>0</v>
      </c>
      <c r="GO35">
        <f t="shared" si="37"/>
        <v>0</v>
      </c>
      <c r="GP35" s="647">
        <f t="shared" si="38"/>
        <v>0</v>
      </c>
    </row>
    <row r="36" spans="1:198">
      <c r="A36" s="239">
        <f t="shared" si="23"/>
        <v>23</v>
      </c>
      <c r="B36" s="125" t="str">
        <f t="shared" si="0"/>
        <v>fr</v>
      </c>
      <c r="C36" s="126" t="s">
        <v>203</v>
      </c>
      <c r="D36" s="127" t="str">
        <f t="shared" si="1"/>
        <v/>
      </c>
      <c r="E36" s="1060"/>
      <c r="F36" s="1061"/>
      <c r="G36" s="1062"/>
      <c r="H36" s="292"/>
      <c r="I36" s="745"/>
      <c r="J36" s="746" t="str">
        <f t="shared" si="2"/>
        <v/>
      </c>
      <c r="K36" s="368"/>
      <c r="L36" s="368"/>
      <c r="M36" s="368"/>
      <c r="N36" s="311">
        <f t="shared" si="24"/>
        <v>7.1</v>
      </c>
      <c r="O36" s="311">
        <f t="shared" si="25"/>
        <v>3.75</v>
      </c>
      <c r="P36" s="311">
        <f>IF(Stamoplysninger!$H$34="JA",Oktober!DG36,CX36)</f>
        <v>1</v>
      </c>
      <c r="Q36" s="311">
        <f t="shared" si="26"/>
        <v>2.3499999999999996</v>
      </c>
      <c r="R36" s="751"/>
      <c r="S36" s="315"/>
      <c r="T36" s="316"/>
      <c r="U36" s="316"/>
      <c r="V36" s="422"/>
      <c r="W36" s="400"/>
      <c r="X36" s="619"/>
      <c r="Y36">
        <f t="shared" si="27"/>
        <v>0</v>
      </c>
      <c r="Z36">
        <f t="shared" si="3"/>
        <v>0</v>
      </c>
      <c r="AA36" s="1">
        <f t="shared" si="4"/>
        <v>0</v>
      </c>
      <c r="AB36" s="1">
        <f t="shared" si="5"/>
        <v>0</v>
      </c>
      <c r="AC36" s="1">
        <f t="shared" si="6"/>
        <v>0</v>
      </c>
      <c r="AD36" s="1">
        <f t="shared" si="7"/>
        <v>0</v>
      </c>
      <c r="AE36" s="1">
        <f t="shared" si="8"/>
        <v>0</v>
      </c>
      <c r="AF36" s="1">
        <f>IF(C36="Orlov",7.4*Stamoplysninger!$E$20,0)</f>
        <v>0</v>
      </c>
      <c r="AG36" t="str">
        <f>IF(AND(C36="Skema 1",B36="ma"),Arbejdstidsoversigt!$E$77,"")</f>
        <v/>
      </c>
      <c r="AH36" t="str">
        <f>IF(AND(C36="Skema 1",B36="ti"),Arbejdstidsoversigt!$E$78,"")</f>
        <v/>
      </c>
      <c r="AI36" t="str">
        <f>IF(AND(C36="Skema 1",B36="on"),Arbejdstidsoversigt!$E$79,"")</f>
        <v/>
      </c>
      <c r="AJ36" t="str">
        <f>IF(AND(C36="Skema 1",B36="to"),Arbejdstidsoversigt!$E$80,"")</f>
        <v/>
      </c>
      <c r="AK36">
        <f>IF(AND(C36="Skema 1",B36="fr"),Arbejdstidsoversigt!$E$81,"")</f>
        <v>7.1</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7.1</v>
      </c>
      <c r="BB36" s="224">
        <f t="shared" si="9"/>
        <v>170.39999999999998</v>
      </c>
      <c r="BC36" s="1">
        <f t="shared" si="29"/>
        <v>0</v>
      </c>
      <c r="BD36" s="1">
        <f t="shared" si="10"/>
        <v>0</v>
      </c>
      <c r="BE36" s="1">
        <f t="shared" si="11"/>
        <v>0</v>
      </c>
      <c r="BF36" s="1">
        <f t="shared" si="12"/>
        <v>0</v>
      </c>
      <c r="BG36" s="207" t="str">
        <f>IF(AND(C36="Skema 1",B36="ma"),Skemaoplysninger!$E$46,"")</f>
        <v/>
      </c>
      <c r="BH36" s="207" t="str">
        <f>IF(AND(C36="Skema 1",B36="ti"),Skemaoplysninger!$G$46,"")</f>
        <v/>
      </c>
      <c r="BI36" s="207" t="str">
        <f>IF(AND(C36="Skema 1",B36="on"),Skemaoplysninger!$I$46,"")</f>
        <v/>
      </c>
      <c r="BJ36" s="207" t="str">
        <f>IF(AND(C36="Skema 1",B36="to"),Skemaoplysninger!$K$46,"")</f>
        <v/>
      </c>
      <c r="BK36" s="207">
        <f>IF(AND(C36="Skema 1",B36="fr"),Skemaoplysninger!$M$46,"")</f>
        <v>0.15625</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3.75</v>
      </c>
      <c r="CB36" s="1">
        <f t="shared" si="13"/>
        <v>0</v>
      </c>
      <c r="CC36" s="1">
        <f t="shared" si="14"/>
        <v>0</v>
      </c>
      <c r="CD36" s="207" t="str">
        <f>IF(AND(C36="Skema 1",B36="ma"),Skemaoplysninger!$E$47,"")</f>
        <v/>
      </c>
      <c r="CE36" s="207" t="str">
        <f>IF(AND(C36="Skema 1",B36="ti"),Skemaoplysninger!$G$47,"")</f>
        <v/>
      </c>
      <c r="CF36" s="207" t="str">
        <f>IF(AND(C36="Skema 1",B36="on"),Skemaoplysninger!$I$47,"")</f>
        <v/>
      </c>
      <c r="CG36" s="207" t="str">
        <f>IF(AND(C36="Skema 1",B36="to"),Skemaoplysninger!$K$47,"")</f>
        <v/>
      </c>
      <c r="CH36" s="207">
        <f>IF(AND(C36="Skema 1",B36="fr"),Skemaoplysninger!$M$47,"")</f>
        <v>4.1666666666666664E-2</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1</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5"/>
        <v/>
      </c>
      <c r="DL36" t="str">
        <f t="shared" si="15"/>
        <v/>
      </c>
      <c r="DM36" t="str">
        <f t="shared" si="15"/>
        <v/>
      </c>
      <c r="DN36" t="str">
        <f t="shared" si="35"/>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6"/>
        <v>0</v>
      </c>
      <c r="FZ36" s="634">
        <f t="shared" si="17"/>
        <v>0</v>
      </c>
      <c r="GA36">
        <f t="shared" si="18"/>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9"/>
        <v>0</v>
      </c>
      <c r="GL36">
        <f t="shared" si="20"/>
        <v>0</v>
      </c>
      <c r="GM36">
        <f t="shared" si="21"/>
        <v>0</v>
      </c>
      <c r="GN36" s="713">
        <f t="shared" si="22"/>
        <v>0</v>
      </c>
      <c r="GO36">
        <f t="shared" si="37"/>
        <v>0</v>
      </c>
      <c r="GP36" s="647">
        <f t="shared" si="38"/>
        <v>0</v>
      </c>
    </row>
    <row r="37" spans="1:198">
      <c r="A37" s="239">
        <f t="shared" si="23"/>
        <v>24</v>
      </c>
      <c r="B37" s="125" t="str">
        <f t="shared" si="0"/>
        <v>lø</v>
      </c>
      <c r="C37" s="126" t="s">
        <v>118</v>
      </c>
      <c r="D37" s="127" t="str">
        <f t="shared" si="1"/>
        <v/>
      </c>
      <c r="E37" s="1123"/>
      <c r="F37" s="1124"/>
      <c r="G37" s="1125"/>
      <c r="H37" s="292"/>
      <c r="I37" s="746" t="str">
        <f>IF(GO37=1,"X","")</f>
        <v/>
      </c>
      <c r="J37" s="746" t="str">
        <f t="shared" si="2"/>
        <v/>
      </c>
      <c r="K37" s="368"/>
      <c r="L37" s="368"/>
      <c r="M37" s="368"/>
      <c r="N37" s="311">
        <f t="shared" si="24"/>
        <v>0</v>
      </c>
      <c r="O37" s="311">
        <f t="shared" si="25"/>
        <v>0</v>
      </c>
      <c r="P37" s="311">
        <f>IF(Stamoplysninger!$H$34="JA",Oktober!DG37,CX37)</f>
        <v>0</v>
      </c>
      <c r="Q37" s="311">
        <f t="shared" si="26"/>
        <v>0</v>
      </c>
      <c r="R37" s="751"/>
      <c r="S37" s="315"/>
      <c r="T37" s="316"/>
      <c r="U37" s="316"/>
      <c r="V37" s="422"/>
      <c r="W37" s="400"/>
      <c r="X37" s="619"/>
      <c r="Y37">
        <f t="shared" si="27"/>
        <v>0</v>
      </c>
      <c r="Z37">
        <f t="shared" si="3"/>
        <v>0</v>
      </c>
      <c r="AA37" s="1">
        <f t="shared" si="4"/>
        <v>0</v>
      </c>
      <c r="AB37" s="1">
        <f t="shared" si="5"/>
        <v>0</v>
      </c>
      <c r="AC37" s="1">
        <f t="shared" si="6"/>
        <v>0</v>
      </c>
      <c r="AD37" s="1">
        <f t="shared" si="7"/>
        <v>0</v>
      </c>
      <c r="AE37" s="1">
        <f t="shared" si="8"/>
        <v>0</v>
      </c>
      <c r="AF37" s="1">
        <f>IF(C37="Orlov",7.4*Stamoplysninger!$E$20,0)</f>
        <v>0</v>
      </c>
      <c r="AG37" t="str">
        <f>IF(AND(C37="Skema 1",B37="ma"),Arbejdstidsoversigt!$E$77,"")</f>
        <v/>
      </c>
      <c r="AH37" t="str">
        <f>IF(AND(C37="Skema 1",B37="ti"),Arbejdstidsoversigt!$E$78,"")</f>
        <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9"/>
        <v>0</v>
      </c>
      <c r="BC37" s="1">
        <f t="shared" si="29"/>
        <v>0</v>
      </c>
      <c r="BD37" s="1">
        <f t="shared" si="10"/>
        <v>0</v>
      </c>
      <c r="BE37" s="1">
        <f t="shared" si="11"/>
        <v>0</v>
      </c>
      <c r="BF37" s="1">
        <f t="shared" si="12"/>
        <v>0</v>
      </c>
      <c r="BG37" s="207" t="str">
        <f>IF(AND(C37="Skema 1",B37="ma"),Skemaoplysninger!$E$46,"")</f>
        <v/>
      </c>
      <c r="BH37" s="207" t="str">
        <f>IF(AND(C37="Skema 1",B37="ti"),Skemaoplysninger!$G$46,"")</f>
        <v/>
      </c>
      <c r="BI37" s="207" t="str">
        <f>IF(AND(C37="Skema 1",B37="on"),Skemaoplysninger!$I$46,"")</f>
        <v/>
      </c>
      <c r="BJ37" s="207" t="str">
        <f>IF(AND(C37="Skema 1",B37="to"),Skemaoplysninger!$K$46,"")</f>
        <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0</v>
      </c>
      <c r="CB37" s="1">
        <f t="shared" si="13"/>
        <v>0</v>
      </c>
      <c r="CC37" s="1">
        <f t="shared" si="14"/>
        <v>0</v>
      </c>
      <c r="CD37" s="207" t="str">
        <f>IF(AND(C37="Skema 1",B37="ma"),Skemaoplysninger!$E$47,"")</f>
        <v/>
      </c>
      <c r="CE37" s="207" t="str">
        <f>IF(AND(C37="Skema 1",B37="ti"),Skemaoplysninger!$G$47,"")</f>
        <v/>
      </c>
      <c r="CF37" s="207" t="str">
        <f>IF(AND(C37="Skema 1",B37="on"),Skemaoplysninger!$I$47,"")</f>
        <v/>
      </c>
      <c r="CG37" s="207" t="str">
        <f>IF(AND(C37="Skema 1",B37="to"),Skemaoplysninger!$K$47,"")</f>
        <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5"/>
        <v/>
      </c>
      <c r="DL37" t="str">
        <f t="shared" si="15"/>
        <v/>
      </c>
      <c r="DM37" t="str">
        <f t="shared" si="15"/>
        <v/>
      </c>
      <c r="DN37" t="str">
        <f t="shared" si="35"/>
        <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6"/>
        <v>0</v>
      </c>
      <c r="FZ37" s="634">
        <f t="shared" si="17"/>
        <v>0</v>
      </c>
      <c r="GA37">
        <f t="shared" si="18"/>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9"/>
        <v>0</v>
      </c>
      <c r="GL37">
        <f t="shared" si="20"/>
        <v>0</v>
      </c>
      <c r="GM37">
        <f t="shared" si="21"/>
        <v>0</v>
      </c>
      <c r="GN37" s="713">
        <f t="shared" si="22"/>
        <v>0</v>
      </c>
      <c r="GO37">
        <f t="shared" si="37"/>
        <v>0</v>
      </c>
      <c r="GP37" s="647">
        <f t="shared" si="38"/>
        <v>0</v>
      </c>
    </row>
    <row r="38" spans="1:198">
      <c r="A38" s="239">
        <f t="shared" si="23"/>
        <v>25</v>
      </c>
      <c r="B38" s="125" t="str">
        <f t="shared" si="0"/>
        <v>sø</v>
      </c>
      <c r="C38" s="126" t="s">
        <v>118</v>
      </c>
      <c r="D38" s="127" t="str">
        <f t="shared" si="1"/>
        <v/>
      </c>
      <c r="E38" s="1060"/>
      <c r="F38" s="1061"/>
      <c r="G38" s="1062"/>
      <c r="H38" s="292"/>
      <c r="I38" s="746" t="str">
        <f>IF(GO38=1,"X","")</f>
        <v/>
      </c>
      <c r="J38" s="746" t="str">
        <f t="shared" si="2"/>
        <v/>
      </c>
      <c r="K38" s="368"/>
      <c r="L38" s="368"/>
      <c r="M38" s="368"/>
      <c r="N38" s="311">
        <f t="shared" si="24"/>
        <v>0</v>
      </c>
      <c r="O38" s="311">
        <f t="shared" si="25"/>
        <v>0</v>
      </c>
      <c r="P38" s="311">
        <f>IF(Stamoplysninger!$H$34="JA",Oktober!DG38,CX38)</f>
        <v>0</v>
      </c>
      <c r="Q38" s="311">
        <f t="shared" si="26"/>
        <v>0</v>
      </c>
      <c r="R38" s="751"/>
      <c r="S38" s="315"/>
      <c r="T38" s="316"/>
      <c r="U38" s="316"/>
      <c r="V38" s="422"/>
      <c r="W38" s="400"/>
      <c r="X38" s="619"/>
      <c r="Y38">
        <f t="shared" si="27"/>
        <v>0</v>
      </c>
      <c r="Z38">
        <f t="shared" si="3"/>
        <v>0</v>
      </c>
      <c r="AA38" s="1">
        <f t="shared" si="4"/>
        <v>0</v>
      </c>
      <c r="AB38" s="1">
        <f t="shared" si="5"/>
        <v>0</v>
      </c>
      <c r="AC38" s="1">
        <f t="shared" si="6"/>
        <v>0</v>
      </c>
      <c r="AD38" s="1">
        <f t="shared" si="7"/>
        <v>0</v>
      </c>
      <c r="AE38" s="1">
        <f t="shared" si="8"/>
        <v>0</v>
      </c>
      <c r="AF38" s="1">
        <f>IF(C38="Orlov",7.4*Stamoplysninger!$E$20,0)</f>
        <v>0</v>
      </c>
      <c r="AG38" t="str">
        <f>IF(AND(C38="Skema 1",B38="ma"),Arbejdstidsoversigt!$E$77,"")</f>
        <v/>
      </c>
      <c r="AH38" t="str">
        <f>IF(AND(C38="Skema 1",B38="ti"),Arbejdstidsoversigt!$E$78,"")</f>
        <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9"/>
        <v>0</v>
      </c>
      <c r="BC38" s="1">
        <f t="shared" si="29"/>
        <v>0</v>
      </c>
      <c r="BD38" s="1">
        <f t="shared" si="10"/>
        <v>0</v>
      </c>
      <c r="BE38" s="1">
        <f t="shared" si="11"/>
        <v>0</v>
      </c>
      <c r="BF38" s="1">
        <f t="shared" si="12"/>
        <v>0</v>
      </c>
      <c r="BG38" s="207" t="str">
        <f>IF(AND(C38="Skema 1",B38="ma"),Skemaoplysninger!$E$46,"")</f>
        <v/>
      </c>
      <c r="BH38" s="207" t="str">
        <f>IF(AND(C38="Skema 1",B38="ti"),Skemaoplysninger!$G$46,"")</f>
        <v/>
      </c>
      <c r="BI38" s="207" t="str">
        <f>IF(AND(C38="Skema 1",B38="on"),Skemaoplysninger!$I$46,"")</f>
        <v/>
      </c>
      <c r="BJ38" s="207" t="str">
        <f>IF(AND(C38="Skema 1",B38="to"),Skemaoplysninger!$K$46,"")</f>
        <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0</v>
      </c>
      <c r="CB38" s="1">
        <f t="shared" si="13"/>
        <v>0</v>
      </c>
      <c r="CC38" s="1">
        <f t="shared" si="14"/>
        <v>0</v>
      </c>
      <c r="CD38" s="207" t="str">
        <f>IF(AND(C38="Skema 1",B38="ma"),Skemaoplysninger!$E$47,"")</f>
        <v/>
      </c>
      <c r="CE38" s="207" t="str">
        <f>IF(AND(C38="Skema 1",B38="ti"),Skemaoplysninger!$G$47,"")</f>
        <v/>
      </c>
      <c r="CF38" s="207" t="str">
        <f>IF(AND(C38="Skema 1",B38="on"),Skemaoplysninger!$I$47,"")</f>
        <v/>
      </c>
      <c r="CG38" s="207" t="str">
        <f>IF(AND(C38="Skema 1",B38="to"),Skemaoplysninger!$K$47,"")</f>
        <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f t="shared" si="33"/>
        <v>0</v>
      </c>
      <c r="DJ38">
        <f t="shared" si="34"/>
        <v>0</v>
      </c>
      <c r="DK38" t="str">
        <f t="shared" si="15"/>
        <v/>
      </c>
      <c r="DL38" t="str">
        <f t="shared" si="15"/>
        <v/>
      </c>
      <c r="DM38" t="str">
        <f t="shared" si="15"/>
        <v/>
      </c>
      <c r="DN38" t="str">
        <f t="shared" si="35"/>
        <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6"/>
        <v>0</v>
      </c>
      <c r="FZ38" s="634">
        <f t="shared" si="17"/>
        <v>0</v>
      </c>
      <c r="GA38">
        <f t="shared" si="18"/>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9"/>
        <v>0</v>
      </c>
      <c r="GL38">
        <f t="shared" si="20"/>
        <v>0</v>
      </c>
      <c r="GM38">
        <f t="shared" si="21"/>
        <v>0</v>
      </c>
      <c r="GN38" s="713">
        <f t="shared" si="22"/>
        <v>0</v>
      </c>
      <c r="GO38">
        <f t="shared" si="37"/>
        <v>0</v>
      </c>
      <c r="GP38" s="647">
        <f t="shared" si="38"/>
        <v>0</v>
      </c>
    </row>
    <row r="39" spans="1:198">
      <c r="A39" s="239">
        <f t="shared" si="23"/>
        <v>26</v>
      </c>
      <c r="B39" s="125" t="str">
        <f t="shared" si="0"/>
        <v>ma</v>
      </c>
      <c r="C39" s="126" t="s">
        <v>203</v>
      </c>
      <c r="D39" s="127">
        <f t="shared" si="1"/>
        <v>43.571428571428569</v>
      </c>
      <c r="E39" s="1060"/>
      <c r="F39" s="1061"/>
      <c r="G39" s="1062"/>
      <c r="H39" s="292"/>
      <c r="I39" s="745"/>
      <c r="J39" s="746" t="str">
        <f t="shared" si="2"/>
        <v/>
      </c>
      <c r="K39" s="368"/>
      <c r="L39" s="368"/>
      <c r="M39" s="368"/>
      <c r="N39" s="311">
        <f t="shared" si="24"/>
        <v>8.11</v>
      </c>
      <c r="O39" s="311">
        <f t="shared" si="25"/>
        <v>4.5</v>
      </c>
      <c r="P39" s="311">
        <f>IF(Stamoplysninger!$H$34="JA",Oktober!DG39,CX39)</f>
        <v>1.9166666666666665</v>
      </c>
      <c r="Q39" s="311">
        <f t="shared" si="26"/>
        <v>1.6933333333333329</v>
      </c>
      <c r="R39" s="751"/>
      <c r="S39" s="315"/>
      <c r="T39" s="316"/>
      <c r="U39" s="316"/>
      <c r="V39" s="422"/>
      <c r="W39" s="400"/>
      <c r="X39" s="619"/>
      <c r="Y39">
        <f t="shared" si="27"/>
        <v>0</v>
      </c>
      <c r="Z39">
        <f t="shared" si="3"/>
        <v>0</v>
      </c>
      <c r="AA39" s="1">
        <f t="shared" si="4"/>
        <v>0</v>
      </c>
      <c r="AB39" s="1">
        <f t="shared" si="5"/>
        <v>0</v>
      </c>
      <c r="AC39" s="1">
        <f t="shared" si="6"/>
        <v>0</v>
      </c>
      <c r="AD39" s="1">
        <f t="shared" si="7"/>
        <v>0</v>
      </c>
      <c r="AE39" s="1">
        <f t="shared" si="8"/>
        <v>0</v>
      </c>
      <c r="AF39" s="1">
        <f>IF(C39="Orlov",7.4*Stamoplysninger!$E$20,0)</f>
        <v>0</v>
      </c>
      <c r="AG39">
        <f>IF(AND(C39="Skema 1",B39="ma"),Arbejdstidsoversigt!$E$77,"")</f>
        <v>8.11</v>
      </c>
      <c r="AH39" t="str">
        <f>IF(AND(C39="Skema 1",B39="ti"),Arbejdstidsoversigt!$E$78,"")</f>
        <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8.11</v>
      </c>
      <c r="BB39" s="224">
        <f t="shared" si="9"/>
        <v>194.64</v>
      </c>
      <c r="BC39" s="1">
        <f t="shared" si="29"/>
        <v>0</v>
      </c>
      <c r="BD39" s="1">
        <f t="shared" si="10"/>
        <v>0</v>
      </c>
      <c r="BE39" s="1">
        <f t="shared" si="11"/>
        <v>0</v>
      </c>
      <c r="BF39" s="1">
        <f t="shared" si="12"/>
        <v>0</v>
      </c>
      <c r="BG39" s="207">
        <f>IF(AND(C39="Skema 1",B39="ma"),Skemaoplysninger!$E$46,"")</f>
        <v>0.1875</v>
      </c>
      <c r="BH39" s="207" t="str">
        <f>IF(AND(C39="Skema 1",B39="ti"),Skemaoplysninger!$G$46,"")</f>
        <v/>
      </c>
      <c r="BI39" s="207" t="str">
        <f>IF(AND(C39="Skema 1",B39="on"),Skemaoplysninger!$I$46,"")</f>
        <v/>
      </c>
      <c r="BJ39" s="207" t="str">
        <f>IF(AND(C39="Skema 1",B39="to"),Skemaoplysninger!$K$46,"")</f>
        <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4.5</v>
      </c>
      <c r="CB39" s="1">
        <f t="shared" si="13"/>
        <v>0</v>
      </c>
      <c r="CC39" s="1">
        <f t="shared" si="14"/>
        <v>0</v>
      </c>
      <c r="CD39" s="207">
        <f>IF(AND(C39="Skema 1",B39="ma"),Skemaoplysninger!$E$47,"")</f>
        <v>7.9861111111111105E-2</v>
      </c>
      <c r="CE39" s="207" t="str">
        <f>IF(AND(C39="Skema 1",B39="ti"),Skemaoplysninger!$G$47,"")</f>
        <v/>
      </c>
      <c r="CF39" s="207" t="str">
        <f>IF(AND(C39="Skema 1",B39="on"),Skemaoplysninger!$I$47,"")</f>
        <v/>
      </c>
      <c r="CG39" s="207" t="str">
        <f>IF(AND(C39="Skema 1",B39="to"),Skemaoplysninger!$K$47,"")</f>
        <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1.9166666666666665</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5"/>
        <v/>
      </c>
      <c r="DL39" t="str">
        <f t="shared" si="15"/>
        <v/>
      </c>
      <c r="DM39" t="str">
        <f t="shared" si="15"/>
        <v/>
      </c>
      <c r="DN39" t="str">
        <f t="shared" si="35"/>
        <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6"/>
        <v>0</v>
      </c>
      <c r="FZ39" s="634">
        <f t="shared" si="17"/>
        <v>0</v>
      </c>
      <c r="GA39">
        <f t="shared" si="18"/>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9"/>
        <v>0</v>
      </c>
      <c r="GL39">
        <f t="shared" si="20"/>
        <v>0</v>
      </c>
      <c r="GM39">
        <f t="shared" si="21"/>
        <v>0</v>
      </c>
      <c r="GN39" s="713">
        <f t="shared" si="22"/>
        <v>0</v>
      </c>
      <c r="GO39">
        <f t="shared" si="37"/>
        <v>0</v>
      </c>
      <c r="GP39" s="647">
        <f t="shared" si="38"/>
        <v>0</v>
      </c>
    </row>
    <row r="40" spans="1:198">
      <c r="A40" s="239">
        <f t="shared" si="23"/>
        <v>27</v>
      </c>
      <c r="B40" s="125" t="str">
        <f t="shared" si="0"/>
        <v>ti</v>
      </c>
      <c r="C40" s="126" t="s">
        <v>203</v>
      </c>
      <c r="D40" s="127" t="str">
        <f t="shared" si="1"/>
        <v/>
      </c>
      <c r="E40" s="1060"/>
      <c r="F40" s="1061"/>
      <c r="G40" s="1062"/>
      <c r="H40" s="292"/>
      <c r="I40" s="745"/>
      <c r="J40" s="746" t="str">
        <f t="shared" si="2"/>
        <v/>
      </c>
      <c r="K40" s="368"/>
      <c r="L40" s="368"/>
      <c r="M40" s="368"/>
      <c r="N40" s="311">
        <f t="shared" si="24"/>
        <v>8.11</v>
      </c>
      <c r="O40" s="311">
        <f t="shared" si="25"/>
        <v>4.5</v>
      </c>
      <c r="P40" s="311">
        <f>IF(Stamoplysninger!$H$34="JA",Oktober!DG40,CX40)</f>
        <v>1.9166666666666665</v>
      </c>
      <c r="Q40" s="311">
        <f t="shared" si="26"/>
        <v>1.6933333333333329</v>
      </c>
      <c r="R40" s="751"/>
      <c r="S40" s="315"/>
      <c r="T40" s="316"/>
      <c r="U40" s="316"/>
      <c r="V40" s="422"/>
      <c r="W40" s="400"/>
      <c r="X40" s="619"/>
      <c r="Y40">
        <f t="shared" si="27"/>
        <v>0</v>
      </c>
      <c r="Z40">
        <f t="shared" si="3"/>
        <v>0</v>
      </c>
      <c r="AA40" s="1">
        <f t="shared" si="4"/>
        <v>0</v>
      </c>
      <c r="AB40" s="1">
        <f t="shared" si="5"/>
        <v>0</v>
      </c>
      <c r="AC40" s="1">
        <f t="shared" si="6"/>
        <v>0</v>
      </c>
      <c r="AD40" s="1">
        <f t="shared" si="7"/>
        <v>0</v>
      </c>
      <c r="AE40" s="1">
        <f t="shared" si="8"/>
        <v>0</v>
      </c>
      <c r="AF40" s="1">
        <f>IF(C40="Orlov",7.4*Stamoplysninger!$E$20,0)</f>
        <v>0</v>
      </c>
      <c r="AG40" t="str">
        <f>IF(AND(C40="Skema 1",B40="ma"),Arbejdstidsoversigt!$E$77,"")</f>
        <v/>
      </c>
      <c r="AH40">
        <f>IF(AND(C40="Skema 1",B40="ti"),Arbejdstidsoversigt!$E$78,"")</f>
        <v>8.11</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8.11</v>
      </c>
      <c r="BB40" s="224">
        <f t="shared" si="9"/>
        <v>194.64</v>
      </c>
      <c r="BC40" s="1">
        <f t="shared" si="29"/>
        <v>0</v>
      </c>
      <c r="BD40" s="1">
        <f t="shared" si="10"/>
        <v>0</v>
      </c>
      <c r="BE40" s="1">
        <f t="shared" si="11"/>
        <v>0</v>
      </c>
      <c r="BF40" s="1">
        <f t="shared" si="12"/>
        <v>0</v>
      </c>
      <c r="BG40" s="207" t="str">
        <f>IF(AND(C40="Skema 1",B40="ma"),Skemaoplysninger!$E$46,"")</f>
        <v/>
      </c>
      <c r="BH40" s="207">
        <f>IF(AND(C40="Skema 1",B40="ti"),Skemaoplysninger!$G$46,"")</f>
        <v>0.1875</v>
      </c>
      <c r="BI40" s="207" t="str">
        <f>IF(AND(C40="Skema 1",B40="on"),Skemaoplysninger!$I$46,"")</f>
        <v/>
      </c>
      <c r="BJ40" s="207" t="str">
        <f>IF(AND(C40="Skema 1",B40="to"),Skemaoplysninger!$K$46,"")</f>
        <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0"/>
        <v>4.5</v>
      </c>
      <c r="CB40" s="1">
        <f t="shared" si="13"/>
        <v>0</v>
      </c>
      <c r="CC40" s="1">
        <f t="shared" si="14"/>
        <v>0</v>
      </c>
      <c r="CD40" s="207" t="str">
        <f>IF(AND(C40="Skema 1",B40="ma"),Skemaoplysninger!$E$47,"")</f>
        <v/>
      </c>
      <c r="CE40" s="207">
        <f>IF(AND(C40="Skema 1",B40="ti"),Skemaoplysninger!$G$47,"")</f>
        <v>7.9861111111111105E-2</v>
      </c>
      <c r="CF40" s="207" t="str">
        <f>IF(AND(C40="Skema 1",B40="on"),Skemaoplysninger!$I$47,"")</f>
        <v/>
      </c>
      <c r="CG40" s="207" t="str">
        <f>IF(AND(C40="Skema 1",B40="to"),Skemaoplysninger!$K$47,"")</f>
        <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1.9166666666666665</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5"/>
        <v/>
      </c>
      <c r="DL40" t="str">
        <f t="shared" si="15"/>
        <v/>
      </c>
      <c r="DM40" t="str">
        <f t="shared" si="15"/>
        <v/>
      </c>
      <c r="DN40" t="str">
        <f t="shared" si="35"/>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6"/>
        <v>0</v>
      </c>
      <c r="FZ40" s="634">
        <f t="shared" si="17"/>
        <v>0</v>
      </c>
      <c r="GA40">
        <f t="shared" si="18"/>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9"/>
        <v>0</v>
      </c>
      <c r="GL40">
        <f t="shared" si="20"/>
        <v>0</v>
      </c>
      <c r="GM40">
        <f t="shared" si="21"/>
        <v>0</v>
      </c>
      <c r="GN40" s="713">
        <f t="shared" si="22"/>
        <v>0</v>
      </c>
      <c r="GO40">
        <f t="shared" si="37"/>
        <v>0</v>
      </c>
      <c r="GP40" s="647">
        <f t="shared" si="38"/>
        <v>0</v>
      </c>
    </row>
    <row r="41" spans="1:198">
      <c r="A41" s="239">
        <f t="shared" si="23"/>
        <v>28</v>
      </c>
      <c r="B41" s="125" t="str">
        <f t="shared" si="0"/>
        <v>on</v>
      </c>
      <c r="C41" s="126" t="s">
        <v>203</v>
      </c>
      <c r="D41" s="127" t="str">
        <f t="shared" si="1"/>
        <v/>
      </c>
      <c r="E41" s="1060"/>
      <c r="F41" s="1061"/>
      <c r="G41" s="1062"/>
      <c r="H41" s="292"/>
      <c r="I41" s="745"/>
      <c r="J41" s="746" t="str">
        <f t="shared" si="2"/>
        <v/>
      </c>
      <c r="K41" s="368"/>
      <c r="L41" s="368"/>
      <c r="M41" s="368"/>
      <c r="N41" s="311">
        <f t="shared" si="24"/>
        <v>8.11</v>
      </c>
      <c r="O41" s="311">
        <f t="shared" si="25"/>
        <v>2.75</v>
      </c>
      <c r="P41" s="311">
        <f>IF(Stamoplysninger!$H$34="JA",Oktober!DG41,CX41)</f>
        <v>1.25</v>
      </c>
      <c r="Q41" s="311">
        <f t="shared" si="26"/>
        <v>4.1099999999999994</v>
      </c>
      <c r="R41" s="751"/>
      <c r="S41" s="315"/>
      <c r="T41" s="316"/>
      <c r="U41" s="316"/>
      <c r="V41" s="422"/>
      <c r="W41" s="400"/>
      <c r="X41" s="619"/>
      <c r="Y41">
        <f t="shared" si="27"/>
        <v>0</v>
      </c>
      <c r="Z41">
        <f t="shared" si="3"/>
        <v>0</v>
      </c>
      <c r="AA41" s="1">
        <f t="shared" si="4"/>
        <v>0</v>
      </c>
      <c r="AB41" s="1">
        <f t="shared" si="5"/>
        <v>0</v>
      </c>
      <c r="AC41" s="1">
        <f t="shared" si="6"/>
        <v>0</v>
      </c>
      <c r="AD41" s="1">
        <f t="shared" si="7"/>
        <v>0</v>
      </c>
      <c r="AE41" s="1">
        <f t="shared" si="8"/>
        <v>0</v>
      </c>
      <c r="AF41" s="1">
        <f>IF(C41="Orlov",7.4*Stamoplysninger!$E$20,0)</f>
        <v>0</v>
      </c>
      <c r="AG41" t="str">
        <f>IF(AND(C41="Skema 1",B41="ma"),Arbejdstidsoversigt!$E$77,"")</f>
        <v/>
      </c>
      <c r="AH41" t="str">
        <f>IF(AND(C41="Skema 1",B41="ti"),Arbejdstidsoversigt!$E$78,"")</f>
        <v/>
      </c>
      <c r="AI41">
        <f>IF(AND(C41="Skema 1",B41="on"),Arbejdstidsoversigt!$E$79,"")</f>
        <v>8.11</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8.11</v>
      </c>
      <c r="BB41" s="224">
        <f t="shared" si="9"/>
        <v>194.64</v>
      </c>
      <c r="BC41" s="1">
        <f t="shared" si="29"/>
        <v>0</v>
      </c>
      <c r="BD41" s="1">
        <f t="shared" si="10"/>
        <v>0</v>
      </c>
      <c r="BE41" s="1">
        <f t="shared" si="11"/>
        <v>0</v>
      </c>
      <c r="BF41" s="1">
        <f t="shared" si="12"/>
        <v>0</v>
      </c>
      <c r="BG41" s="207" t="str">
        <f>IF(AND(C41="Skema 1",B41="ma"),Skemaoplysninger!$E$46,"")</f>
        <v/>
      </c>
      <c r="BH41" s="207" t="str">
        <f>IF(AND(C41="Skema 1",B41="ti"),Skemaoplysninger!$G$46,"")</f>
        <v/>
      </c>
      <c r="BI41" s="207">
        <f>IF(AND(C41="Skema 1",B41="on"),Skemaoplysninger!$I$46,"")</f>
        <v>0.11458333333333333</v>
      </c>
      <c r="BJ41" s="207" t="str">
        <f>IF(AND(C41="Skema 1",B41="to"),Skemaoplysninger!$K$46,"")</f>
        <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0"/>
        <v>2.75</v>
      </c>
      <c r="CB41" s="1">
        <f t="shared" si="13"/>
        <v>0</v>
      </c>
      <c r="CC41" s="1">
        <f t="shared" si="14"/>
        <v>0</v>
      </c>
      <c r="CD41" s="207" t="str">
        <f>IF(AND(C41="Skema 1",B41="ma"),Skemaoplysninger!$E$47,"")</f>
        <v/>
      </c>
      <c r="CE41" s="207" t="str">
        <f>IF(AND(C41="Skema 1",B41="ti"),Skemaoplysninger!$G$47,"")</f>
        <v/>
      </c>
      <c r="CF41" s="207">
        <f>IF(AND(C41="Skema 1",B41="on"),Skemaoplysninger!$I$47,"")</f>
        <v>5.2083333333333329E-2</v>
      </c>
      <c r="CG41" s="207" t="str">
        <f>IF(AND(C41="Skema 1",B41="to"),Skemaoplysninger!$K$47,"")</f>
        <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1.25</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5"/>
        <v/>
      </c>
      <c r="DL41" t="str">
        <f t="shared" si="15"/>
        <v/>
      </c>
      <c r="DM41" t="str">
        <f t="shared" si="15"/>
        <v/>
      </c>
      <c r="DN41" t="str">
        <f t="shared" si="35"/>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6"/>
        <v>0</v>
      </c>
      <c r="FZ41" s="634">
        <f t="shared" si="17"/>
        <v>0</v>
      </c>
      <c r="GA41">
        <f t="shared" si="18"/>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9"/>
        <v>0</v>
      </c>
      <c r="GL41">
        <f t="shared" si="20"/>
        <v>0</v>
      </c>
      <c r="GM41">
        <f t="shared" si="21"/>
        <v>0</v>
      </c>
      <c r="GN41" s="713">
        <f t="shared" si="22"/>
        <v>0</v>
      </c>
      <c r="GO41">
        <f t="shared" si="37"/>
        <v>0</v>
      </c>
      <c r="GP41" s="647">
        <f t="shared" si="38"/>
        <v>0</v>
      </c>
    </row>
    <row r="42" spans="1:198">
      <c r="A42" s="239">
        <f>IF(ISNUMBER(A41),A41+1,1)</f>
        <v>29</v>
      </c>
      <c r="B42" s="125" t="str">
        <f t="shared" si="0"/>
        <v>to</v>
      </c>
      <c r="C42" s="126" t="s">
        <v>203</v>
      </c>
      <c r="D42" s="127" t="str">
        <f t="shared" si="1"/>
        <v/>
      </c>
      <c r="E42" s="1060"/>
      <c r="F42" s="1061"/>
      <c r="G42" s="1062"/>
      <c r="H42" s="292"/>
      <c r="I42" s="745"/>
      <c r="J42" s="746" t="str">
        <f t="shared" si="2"/>
        <v/>
      </c>
      <c r="K42" s="368"/>
      <c r="L42" s="368"/>
      <c r="M42" s="368"/>
      <c r="N42" s="311">
        <f t="shared" si="24"/>
        <v>9</v>
      </c>
      <c r="O42" s="311">
        <f t="shared" si="25"/>
        <v>3.75</v>
      </c>
      <c r="P42" s="311">
        <f>IF(Stamoplysninger!$H$34="JA",Oktober!DG42,CX42)</f>
        <v>1</v>
      </c>
      <c r="Q42" s="311">
        <f t="shared" si="26"/>
        <v>4.25</v>
      </c>
      <c r="R42" s="751"/>
      <c r="S42" s="315"/>
      <c r="T42" s="316"/>
      <c r="U42" s="316"/>
      <c r="V42" s="422"/>
      <c r="W42" s="400"/>
      <c r="X42" s="619"/>
      <c r="Y42">
        <f t="shared" ref="Y42:Z44" si="39">IF(S42="x",V42-N43,0)</f>
        <v>0</v>
      </c>
      <c r="Z42">
        <f t="shared" si="39"/>
        <v>0</v>
      </c>
      <c r="AA42" s="1">
        <f>IF(C42="emnedag",K42,0)</f>
        <v>0</v>
      </c>
      <c r="AB42" s="1">
        <f>IF(C42="fagdag",K42,0)</f>
        <v>0</v>
      </c>
      <c r="AC42" s="1">
        <f>IF(C42="Pæd.dag",K42,0)</f>
        <v>0</v>
      </c>
      <c r="AD42" s="1">
        <f>IF(C42="Ekskursion",K42,0)</f>
        <v>0</v>
      </c>
      <c r="AE42" s="1">
        <f>IF(C42="Lejrskole",K42,0)</f>
        <v>0</v>
      </c>
      <c r="AF42" s="1">
        <f>IF(C42="Orlov",7.4*Stamoplysninger!$E$20,0)</f>
        <v>0</v>
      </c>
      <c r="AG42" t="str">
        <f>IF(AND(C42="Skema 1",B42="ma"),Arbejdstidsoversigt!$E$77,"")</f>
        <v/>
      </c>
      <c r="AH42" t="str">
        <f>IF(AND(C42="Skema 1",B42="ti"),Arbejdstidsoversigt!$E$78,"")</f>
        <v/>
      </c>
      <c r="AI42" t="str">
        <f>IF(AND(C42="Skema 1",B42="on"),Arbejdstidsoversigt!$E$79,"")</f>
        <v/>
      </c>
      <c r="AJ42">
        <f>IF(AND(C42="Skema 1",B42="to"),Arbejdstidsoversigt!$E$80,"")</f>
        <v>9</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SUM(AA42:AZ42)</f>
        <v>9</v>
      </c>
      <c r="BB42" s="224">
        <f>SUM(AG42:AK42)*24</f>
        <v>216</v>
      </c>
      <c r="BC42" s="1">
        <f>IF(C42="Lejrskole",L42,0)</f>
        <v>0</v>
      </c>
      <c r="BD42" s="1">
        <f>IF(C42="Ekskursion",L42,0)</f>
        <v>0</v>
      </c>
      <c r="BE42" s="1">
        <f>IF(C42="fagdag",L42,0)</f>
        <v>0</v>
      </c>
      <c r="BF42" s="1">
        <f>IF(C42="emnedag",L42,0)</f>
        <v>0</v>
      </c>
      <c r="BG42" s="207" t="str">
        <f>IF(AND(C42="Skema 1",B42="ma"),Skemaoplysninger!$E$46,"")</f>
        <v/>
      </c>
      <c r="BH42" s="207" t="str">
        <f>IF(AND(C42="Skema 1",B42="ti"),Skemaoplysninger!$G$46,"")</f>
        <v/>
      </c>
      <c r="BI42" s="207" t="str">
        <f>IF(AND(C42="Skema 1",B42="on"),Skemaoplysninger!$I$46,"")</f>
        <v/>
      </c>
      <c r="BJ42" s="207">
        <f>IF(AND(C42="Skema 1",B42="to"),Skemaoplysninger!$K$46,"")</f>
        <v>0.15625</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SUM(BG42:BZ42)*24+SUM(BC42:BF42)</f>
        <v>3.75</v>
      </c>
      <c r="CB42" s="1">
        <f>IF(C42="fagdag",M42,0)</f>
        <v>0</v>
      </c>
      <c r="CC42" s="1">
        <f>IF(C42="emnedag",M42,0)</f>
        <v>0</v>
      </c>
      <c r="CD42" s="207" t="str">
        <f>IF(AND(C42="Skema 1",B42="ma"),Skemaoplysninger!$E$47,"")</f>
        <v/>
      </c>
      <c r="CE42" s="207" t="str">
        <f>IF(AND(C42="Skema 1",B42="ti"),Skemaoplysninger!$G$47,"")</f>
        <v/>
      </c>
      <c r="CF42" s="207" t="str">
        <f>IF(AND(C42="Skema 1",B42="on"),Skemaoplysninger!$I$47,"")</f>
        <v/>
      </c>
      <c r="CG42" s="207">
        <f>IF(AND(C42="Skema 1",B42="to"),Skemaoplysninger!$K$47,"")</f>
        <v>4.1666666666666664E-2</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1</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SUM(CY42:DF42)</f>
        <v>0</v>
      </c>
      <c r="DH42" t="str">
        <f>IF(AND(E42&gt;0,H42&gt;0),""&amp;E42&amp;" og "&amp;H42&amp;"","")</f>
        <v/>
      </c>
      <c r="DI42">
        <f>IF(H42="",E42,"")</f>
        <v>0</v>
      </c>
      <c r="DJ42">
        <f>IF(E42="",H42,"")</f>
        <v>0</v>
      </c>
      <c r="DK42" t="str">
        <f t="shared" ref="DK42:DM44" si="40">IF(DH42=0,"",DH42)</f>
        <v/>
      </c>
      <c r="DL42" t="str">
        <f t="shared" si="40"/>
        <v/>
      </c>
      <c r="DM42" t="str">
        <f t="shared" si="40"/>
        <v/>
      </c>
      <c r="DN42" t="str">
        <f>DK42&amp;""&amp;DL42&amp;""&amp;DM42</f>
        <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6"/>
        <v>0</v>
      </c>
      <c r="FZ42" s="634">
        <f t="shared" si="17"/>
        <v>0</v>
      </c>
      <c r="GA42">
        <f t="shared" si="18"/>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9"/>
        <v>0</v>
      </c>
      <c r="GL42">
        <f t="shared" si="20"/>
        <v>0</v>
      </c>
      <c r="GM42">
        <f t="shared" si="21"/>
        <v>0</v>
      </c>
      <c r="GN42" s="713">
        <f t="shared" si="22"/>
        <v>0</v>
      </c>
      <c r="GO42">
        <f t="shared" si="37"/>
        <v>0</v>
      </c>
      <c r="GP42" s="647">
        <f t="shared" si="38"/>
        <v>0</v>
      </c>
    </row>
    <row r="43" spans="1:198">
      <c r="A43" s="239">
        <f t="shared" si="23"/>
        <v>30</v>
      </c>
      <c r="B43" s="125" t="str">
        <f t="shared" si="0"/>
        <v>fr</v>
      </c>
      <c r="C43" s="126" t="s">
        <v>203</v>
      </c>
      <c r="D43" s="127" t="str">
        <f t="shared" si="1"/>
        <v/>
      </c>
      <c r="E43" s="1060"/>
      <c r="F43" s="1061"/>
      <c r="G43" s="1062"/>
      <c r="H43" s="292"/>
      <c r="I43" s="745"/>
      <c r="J43" s="746" t="str">
        <f t="shared" si="2"/>
        <v/>
      </c>
      <c r="K43" s="368"/>
      <c r="L43" s="368"/>
      <c r="M43" s="368"/>
      <c r="N43" s="311">
        <f t="shared" si="24"/>
        <v>7.1</v>
      </c>
      <c r="O43" s="311">
        <f t="shared" si="25"/>
        <v>3.75</v>
      </c>
      <c r="P43" s="311">
        <f>IF(Stamoplysninger!$H$34="JA",Oktober!DG43,CX43)</f>
        <v>1</v>
      </c>
      <c r="Q43" s="311">
        <f t="shared" si="26"/>
        <v>2.3499999999999996</v>
      </c>
      <c r="R43" s="751"/>
      <c r="S43" s="315"/>
      <c r="T43" s="316"/>
      <c r="U43" s="428"/>
      <c r="V43" s="422"/>
      <c r="W43" s="400"/>
      <c r="X43" s="619"/>
      <c r="Y43">
        <f t="shared" si="39"/>
        <v>0</v>
      </c>
      <c r="Z43">
        <f t="shared" si="39"/>
        <v>0</v>
      </c>
      <c r="AA43" s="1">
        <f>IF(C43="emnedag",K43,0)</f>
        <v>0</v>
      </c>
      <c r="AB43" s="1">
        <f>IF(C43="fagdag",K43,0)</f>
        <v>0</v>
      </c>
      <c r="AC43" s="1">
        <f>IF(C43="Pæd.dag",K43,0)</f>
        <v>0</v>
      </c>
      <c r="AD43" s="1">
        <f>IF(C43="Ekskursion",K43,0)</f>
        <v>0</v>
      </c>
      <c r="AE43" s="1">
        <f>IF(C43="Lejrskole",K43,0)</f>
        <v>0</v>
      </c>
      <c r="AF43" s="1">
        <f>IF(C43="Orlov",7.4*Stamoplysninger!$E$20,0)</f>
        <v>0</v>
      </c>
      <c r="AG43" t="str">
        <f>IF(AND(C43="Skema 1",B43="ma"),Arbejdstidsoversigt!$E$77,"")</f>
        <v/>
      </c>
      <c r="AH43" t="str">
        <f>IF(AND(C43="Skema 1",B43="ti"),Arbejdstidsoversigt!$E$78,"")</f>
        <v/>
      </c>
      <c r="AI43" t="str">
        <f>IF(AND(C43="Skema 1",B43="on"),Arbejdstidsoversigt!$E$79,"")</f>
        <v/>
      </c>
      <c r="AJ43" t="str">
        <f>IF(AND(C43="Skema 1",B43="to"),Arbejdstidsoversigt!$E$80,"")</f>
        <v/>
      </c>
      <c r="AK43">
        <f>IF(AND(C43="Skema 1",B43="fr"),Arbejdstidsoversigt!$E$81,"")</f>
        <v>7.1</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SUM(AA43:AZ43)</f>
        <v>7.1</v>
      </c>
      <c r="BB43" s="224">
        <f>SUM(AG43:AK43)*24</f>
        <v>170.39999999999998</v>
      </c>
      <c r="BC43" s="1">
        <f>IF(C43="Lejrskole",L43,0)</f>
        <v>0</v>
      </c>
      <c r="BD43" s="1">
        <f>IF(C43="Ekskursion",L43,0)</f>
        <v>0</v>
      </c>
      <c r="BE43" s="1">
        <f>IF(C43="fagdag",L43,0)</f>
        <v>0</v>
      </c>
      <c r="BF43" s="1">
        <f>IF(C43="emnedag",L43,0)</f>
        <v>0</v>
      </c>
      <c r="BG43" s="207" t="str">
        <f>IF(AND(C43="Skema 1",B43="ma"),Skemaoplysninger!$E$46,"")</f>
        <v/>
      </c>
      <c r="BH43" s="207" t="str">
        <f>IF(AND(C43="Skema 1",B43="ti"),Skemaoplysninger!$G$46,"")</f>
        <v/>
      </c>
      <c r="BI43" s="207" t="str">
        <f>IF(AND(C43="Skema 1",B43="on"),Skemaoplysninger!$I$46,"")</f>
        <v/>
      </c>
      <c r="BJ43" s="207" t="str">
        <f>IF(AND(C43="Skema 1",B43="to"),Skemaoplysninger!$K$46,"")</f>
        <v/>
      </c>
      <c r="BK43" s="207">
        <f>IF(AND(C43="Skema 1",B43="fr"),Skemaoplysninger!$M$46,"")</f>
        <v>0.15625</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SUM(BG43:BZ43)*24+SUM(BC43:BF43)</f>
        <v>3.75</v>
      </c>
      <c r="CB43" s="1">
        <f>IF(C43="fagdag",M43,0)</f>
        <v>0</v>
      </c>
      <c r="CC43" s="1">
        <f>IF(C43="emnedag",M43,0)</f>
        <v>0</v>
      </c>
      <c r="CD43" s="207" t="str">
        <f>IF(AND(C43="Skema 1",B43="ma"),Skemaoplysninger!$E$47,"")</f>
        <v/>
      </c>
      <c r="CE43" s="207" t="str">
        <f>IF(AND(C43="Skema 1",B43="ti"),Skemaoplysninger!$G$47,"")</f>
        <v/>
      </c>
      <c r="CF43" s="207" t="str">
        <f>IF(AND(C43="Skema 1",B43="on"),Skemaoplysninger!$I$47,"")</f>
        <v/>
      </c>
      <c r="CG43" s="207" t="str">
        <f>IF(AND(C43="Skema 1",B43="to"),Skemaoplysninger!$K$47,"")</f>
        <v/>
      </c>
      <c r="CH43" s="207">
        <f>IF(AND(C43="Skema 1",B43="fr"),Skemaoplysninger!$M$47,"")</f>
        <v>4.1666666666666664E-2</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1</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SUM(CY43:DF43)</f>
        <v>0</v>
      </c>
      <c r="DH43" t="str">
        <f>IF(AND(E43&gt;0,H43&gt;0),""&amp;E43&amp;" og "&amp;H43&amp;"","")</f>
        <v/>
      </c>
      <c r="DI43">
        <f>IF(H43="",E43,"")</f>
        <v>0</v>
      </c>
      <c r="DJ43">
        <f>IF(E43="",H43,"")</f>
        <v>0</v>
      </c>
      <c r="DK43" t="str">
        <f t="shared" si="40"/>
        <v/>
      </c>
      <c r="DL43" t="str">
        <f t="shared" si="40"/>
        <v/>
      </c>
      <c r="DM43" t="str">
        <f t="shared" si="40"/>
        <v/>
      </c>
      <c r="DN43" t="str">
        <f>DK43&amp;""&amp;DL43&amp;""&amp;DM43</f>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6"/>
        <v>0</v>
      </c>
      <c r="FZ43" s="634">
        <f t="shared" si="17"/>
        <v>0</v>
      </c>
      <c r="GA43">
        <f t="shared" si="18"/>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9"/>
        <v>0</v>
      </c>
      <c r="GL43">
        <f t="shared" si="20"/>
        <v>0</v>
      </c>
      <c r="GM43">
        <f t="shared" si="21"/>
        <v>0</v>
      </c>
      <c r="GN43" s="713">
        <f t="shared" si="22"/>
        <v>0</v>
      </c>
      <c r="GO43">
        <f t="shared" si="37"/>
        <v>0</v>
      </c>
      <c r="GP43" s="647">
        <f t="shared" si="38"/>
        <v>0</v>
      </c>
    </row>
    <row r="44" spans="1:198" ht="17" thickBot="1">
      <c r="A44" s="239">
        <f>IF(ISNUMBER(A43),A43+1,1)</f>
        <v>31</v>
      </c>
      <c r="B44" s="125" t="str">
        <f t="shared" si="0"/>
        <v>lø</v>
      </c>
      <c r="C44" s="126" t="s">
        <v>118</v>
      </c>
      <c r="D44" s="127" t="str">
        <f t="shared" si="1"/>
        <v/>
      </c>
      <c r="E44" s="1123"/>
      <c r="F44" s="1124"/>
      <c r="G44" s="1125"/>
      <c r="H44" s="291"/>
      <c r="I44" s="746" t="str">
        <f>IF(GO44=1,"X","")</f>
        <v/>
      </c>
      <c r="J44" s="746" t="str">
        <f t="shared" si="2"/>
        <v/>
      </c>
      <c r="K44" s="368"/>
      <c r="L44" s="368"/>
      <c r="M44" s="368"/>
      <c r="N44" s="311">
        <f t="shared" si="24"/>
        <v>0</v>
      </c>
      <c r="O44" s="311">
        <f t="shared" si="25"/>
        <v>0</v>
      </c>
      <c r="P44" s="311">
        <f>IF(Stamoplysninger!$H$34="JA",Oktober!DG44,CX44)</f>
        <v>0</v>
      </c>
      <c r="Q44" s="311">
        <f t="shared" si="26"/>
        <v>0</v>
      </c>
      <c r="R44" s="751"/>
      <c r="S44" s="315"/>
      <c r="T44" s="316"/>
      <c r="U44" s="211"/>
      <c r="V44" s="422"/>
      <c r="W44" s="400"/>
      <c r="X44" s="620"/>
      <c r="Y44">
        <f t="shared" si="39"/>
        <v>0</v>
      </c>
      <c r="Z44">
        <f t="shared" si="39"/>
        <v>0</v>
      </c>
      <c r="AA44" s="1">
        <f>IF(C44="emnedag",K44,0)</f>
        <v>0</v>
      </c>
      <c r="AB44" s="1">
        <f>IF(C44="fagdag",K44,0)</f>
        <v>0</v>
      </c>
      <c r="AC44" s="1">
        <f>IF(C44="Pæd.dag",K44,0)</f>
        <v>0</v>
      </c>
      <c r="AD44" s="1">
        <f>IF(C44="Ekskursion",K44,0)</f>
        <v>0</v>
      </c>
      <c r="AE44" s="1">
        <f>IF(C44="Lejrskole",K44,0)</f>
        <v>0</v>
      </c>
      <c r="AF44" s="1">
        <f>IF(C44="Orlov",7.4*Stamoplysninger!$E$20,0)</f>
        <v>0</v>
      </c>
      <c r="AG44" t="str">
        <f>IF(AND(C44="Skema 1",B44="ma"),Arbejdstidsoversigt!$E$77,"")</f>
        <v/>
      </c>
      <c r="AH44" t="str">
        <f>IF(AND(C44="Skema 1",B44="ti"),Arbejdstidsoversigt!$E$78,"")</f>
        <v/>
      </c>
      <c r="AI44" t="str">
        <f>IF(AND(C44="Skema 1",B44="on"),Arbejdstidsoversigt!$E$79,"")</f>
        <v/>
      </c>
      <c r="AJ44" t="str">
        <f>IF(AND(C44="Skema 1",B44="to"),Arbejdstidsoversigt!$E$80,"")</f>
        <v/>
      </c>
      <c r="AK44" t="str">
        <f>IF(AND(C44="Skema 1",B44="fr"),Arbejdstidsoversigt!$E$81,"")</f>
        <v/>
      </c>
      <c r="AL44" t="str">
        <f>IF(AND(C44="Skema 2",B44="ma"),Arbejdstidsoversigt!$E$86,"")</f>
        <v/>
      </c>
      <c r="AM44" t="str">
        <f>IF(AND(C44="Skema 2",B44="ti"),Arbejdstidsoversigt!$E$87,"")</f>
        <v/>
      </c>
      <c r="AN44" t="str">
        <f>IF(AND(C44="Skema 2",B44="on"),Arbejdstidsoversigt!$E$88,"")</f>
        <v/>
      </c>
      <c r="AO44" t="str">
        <f>IF(AND(C44="Skema 2",B44="to"),Arbejdstidsoversigt!$E$89,"")</f>
        <v/>
      </c>
      <c r="AP44" t="str">
        <f>IF(AND(C44="Skema 2",B44="fr"),Arbejdstidsoversigt!$E$90,"")</f>
        <v/>
      </c>
      <c r="AQ44" t="str">
        <f>IF(AND(C44="Skema 3",B44="ma"),Arbejdstidsoversigt!$E$95,"")</f>
        <v/>
      </c>
      <c r="AR44" t="str">
        <f>IF(AND(C44="Skema 3",B44="ti"),Arbejdstidsoversigt!$E$96,"")</f>
        <v/>
      </c>
      <c r="AS44" t="str">
        <f>IF(AND(C44="Skema 3",B44="on"),Arbejdstidsoversigt!$E$97,"")</f>
        <v/>
      </c>
      <c r="AT44" t="str">
        <f>IF(AND(C44="Skema 3",B44="to"),Arbejdstidsoversigt!$E$98,"")</f>
        <v/>
      </c>
      <c r="AU44" t="str">
        <f>IF(AND(C44="Skema 3",B44="fr"),Arbejdstidsoversigt!$E$99,"")</f>
        <v/>
      </c>
      <c r="AV44" t="str">
        <f>IF(AND(C44="Skema 4",B44="ma"),Arbejdstidsoversigt!$E$104,"")</f>
        <v/>
      </c>
      <c r="AW44" t="str">
        <f>IF(AND(C44="Skema 4",B44="ti"),Arbejdstidsoversigt!$E$105,"")</f>
        <v/>
      </c>
      <c r="AX44" t="str">
        <f>IF(AND(C44="Skema 4",B44="on"),Arbejdstidsoversigt!$E$106,"")</f>
        <v/>
      </c>
      <c r="AY44" t="str">
        <f>IF(AND(C44="Skema 4",B44="to"),Arbejdstidsoversigt!$E$107,"")</f>
        <v/>
      </c>
      <c r="AZ44" t="str">
        <f>IF(AND(C44="Skema 4",B44="fr"),Arbejdstidsoversigt!$E$108,"")</f>
        <v/>
      </c>
      <c r="BA44" s="1">
        <f>SUM(AA44:AZ44)</f>
        <v>0</v>
      </c>
      <c r="BB44" s="224">
        <f>SUM(AG44:AK44)*24</f>
        <v>0</v>
      </c>
      <c r="BC44" s="1">
        <f>IF(C44="Lejrskole",L44,0)</f>
        <v>0</v>
      </c>
      <c r="BD44" s="1">
        <f>IF(C44="Ekskursion",L44,0)</f>
        <v>0</v>
      </c>
      <c r="BE44" s="1">
        <f>IF(C44="fagdag",L44,0)</f>
        <v>0</v>
      </c>
      <c r="BF44" s="1">
        <f>IF(C44="emnedag",L44,0)</f>
        <v>0</v>
      </c>
      <c r="BG44" s="207" t="str">
        <f>IF(AND(C44="Skema 1",B44="ma"),Skemaoplysninger!$E$46,"")</f>
        <v/>
      </c>
      <c r="BH44" s="207" t="str">
        <f>IF(AND(C44="Skema 1",B44="ti"),Skemaoplysninger!$G$46,"")</f>
        <v/>
      </c>
      <c r="BI44" s="207" t="str">
        <f>IF(AND(C44="Skema 1",B44="on"),Skemaoplysninger!$I$46,"")</f>
        <v/>
      </c>
      <c r="BJ44" s="207" t="str">
        <f>IF(AND(C44="Skema 1",B44="to"),Skemaoplysninger!$K$46,"")</f>
        <v/>
      </c>
      <c r="BK44" s="207" t="str">
        <f>IF(AND(C44="Skema 1",B44="fr"),Skemaoplysninger!$M$46,"")</f>
        <v/>
      </c>
      <c r="BL44" s="207" t="str">
        <f>IF(AND(C44="Skema 2",B44="ma"),Skemaoplysninger!$S$46,"")</f>
        <v/>
      </c>
      <c r="BM44" s="207" t="str">
        <f>IF(AND(C44="Skema 2",B44="ti"),Skemaoplysninger!$U$46,"")</f>
        <v/>
      </c>
      <c r="BN44" s="207" t="str">
        <f>IF(AND(C44="Skema 2",B44="on"),Skemaoplysninger!$W$46,"")</f>
        <v/>
      </c>
      <c r="BO44" s="207" t="str">
        <f>IF(AND(C44="Skema 2",B44="to"),Skemaoplysninger!$Y$46,"")</f>
        <v/>
      </c>
      <c r="BP44" s="207" t="str">
        <f>IF(AND(C44="Skema 2",B44="fr"),Skemaoplysninger!$AA$46,"")</f>
        <v/>
      </c>
      <c r="BQ44" s="207" t="str">
        <f>IF(AND(C44="Skema 3",B44="ma"),Skemaoplysninger!$AG$46,"")</f>
        <v/>
      </c>
      <c r="BR44" s="207" t="str">
        <f>IF(AND(C44="Skema 3",B44="ti"),Skemaoplysninger!$AI$46,"")</f>
        <v/>
      </c>
      <c r="BS44" s="207" t="str">
        <f>IF(AND(C44="Skema 3",B44="on"),Skemaoplysninger!$AK$46,"")</f>
        <v/>
      </c>
      <c r="BT44" s="207" t="str">
        <f>IF(AND(C44="Skema 3",B44="to"),Skemaoplysninger!$AM$46,"")</f>
        <v/>
      </c>
      <c r="BU44" s="207" t="str">
        <f>IF(AND(C44="Skema 3",B44="fr"),Skemaoplysninger!$AO$46,"")</f>
        <v/>
      </c>
      <c r="BV44" s="207" t="str">
        <f>IF(AND(C44="Skema 4",B44="ma"),Skemaoplysninger!$AU$46,"")</f>
        <v/>
      </c>
      <c r="BW44" s="207" t="str">
        <f>IF(AND(C44="Skema 4",B44="ti"),Skemaoplysninger!$AW$46,"")</f>
        <v/>
      </c>
      <c r="BX44" s="207" t="str">
        <f>IF(AND(C44="Skema 4",B44="on"),Skemaoplysninger!$AY$46,"")</f>
        <v/>
      </c>
      <c r="BY44" s="207" t="str">
        <f>IF(AND(C44="Skema 4",B44="to"),Skemaoplysninger!$BA$46,"")</f>
        <v/>
      </c>
      <c r="BZ44" s="207" t="str">
        <f>IF(AND(C44="Skema 4",B44="fr"),Skemaoplysninger!$BC$46,"")</f>
        <v/>
      </c>
      <c r="CA44" s="1">
        <f>SUM(BG44:BZ44)*24+SUM(BC44:BF44)</f>
        <v>0</v>
      </c>
      <c r="CB44" s="1">
        <f>IF(C44="fagdag",M44,0)</f>
        <v>0</v>
      </c>
      <c r="CC44" s="1">
        <f>IF(C44="emnedag",M44,0)</f>
        <v>0</v>
      </c>
      <c r="CD44" s="207" t="str">
        <f>IF(AND(C44="Skema 1",B44="ma"),Skemaoplysninger!$E$47,"")</f>
        <v/>
      </c>
      <c r="CE44" s="207" t="str">
        <f>IF(AND(C44="Skema 1",B44="ti"),Skemaoplysninger!$G$47,"")</f>
        <v/>
      </c>
      <c r="CF44" s="207" t="str">
        <f>IF(AND(C44="Skema 1",B44="on"),Skemaoplysninger!$I$47,"")</f>
        <v/>
      </c>
      <c r="CG44" s="207" t="str">
        <f>IF(AND(C44="Skema 1",B44="to"),Skemaoplysninger!$K$47,"")</f>
        <v/>
      </c>
      <c r="CH44" s="207" t="str">
        <f>IF(AND(C44="Skema 1",B44="fr"),Skemaoplysninger!$M$47,"")</f>
        <v/>
      </c>
      <c r="CI44" s="207" t="str">
        <f>IF(AND(C44="Skema 2",B44="ma"),Skemaoplysninger!$S$47,"")</f>
        <v/>
      </c>
      <c r="CJ44" s="207" t="str">
        <f>IF(AND(C44="Skema 2",B44="ti"),Skemaoplysninger!$U$47,"")</f>
        <v/>
      </c>
      <c r="CK44" s="207" t="str">
        <f>IF(AND(C44="Skema 2",B44="on"),Skemaoplysninger!$W$47,"")</f>
        <v/>
      </c>
      <c r="CL44" s="207" t="str">
        <f>IF(AND(C44="Skema 2",B44="to"),Skemaoplysninger!$Y$47,"")</f>
        <v/>
      </c>
      <c r="CM44" s="207" t="str">
        <f>IF(AND(C44="Skema 2",B44="fr"),Skemaoplysninger!$AA$47,"")</f>
        <v/>
      </c>
      <c r="CN44" s="207" t="str">
        <f>IF(AND(C44="Skema 3",B44="ma"),Skemaoplysninger!$AG$47,"")</f>
        <v/>
      </c>
      <c r="CO44" s="207" t="str">
        <f>IF(AND(C44="Skema 3",B44="ti"),Skemaoplysninger!$AI$47,"")</f>
        <v/>
      </c>
      <c r="CP44" s="207" t="str">
        <f>IF(AND(C44="Skema 3",B44="on"),Skemaoplysninger!$AK$47,"")</f>
        <v/>
      </c>
      <c r="CQ44" s="207" t="str">
        <f>IF(AND(C44="Skema 3",B44="to"),Skemaoplysninger!$AM$47,"")</f>
        <v/>
      </c>
      <c r="CR44" s="207" t="str">
        <f>IF(AND(C44="Skema 3",B44="fr"),Skemaoplysninger!$AO$47,"")</f>
        <v/>
      </c>
      <c r="CS44" s="207" t="str">
        <f>IF(AND(C44="Skema 4",B44="ma"),Skemaoplysninger!$AU$47,"")</f>
        <v/>
      </c>
      <c r="CT44" s="207" t="str">
        <f>IF(AND(C44="Skema 4",B44="ti"),Skemaoplysninger!$AW$47,"")</f>
        <v/>
      </c>
      <c r="CU44" s="207" t="str">
        <f>IF(AND(C44="Skema 4",B44="on"),Skemaoplysninger!$AY$47,"")</f>
        <v/>
      </c>
      <c r="CV44" s="207" t="str">
        <f>IF(AND(C44="Skema 4",B44="to"),Skemaoplysninger!$BA$47,"")</f>
        <v/>
      </c>
      <c r="CW44" s="207" t="str">
        <f>IF(AND(C44="Skema 4",B44="fr"),Skemaoplysninger!$BC$47,"")</f>
        <v/>
      </c>
      <c r="CX44" s="243">
        <f>IF(Stamoplysninger!$H$34="NEJ",SUM(CD44:CW44)*24+CB44+CC44,0)</f>
        <v>0</v>
      </c>
      <c r="CY44" s="243">
        <f>IF(C44="Skema 1",Stamoplysninger!$H$35/200,0)</f>
        <v>0</v>
      </c>
      <c r="CZ44" s="243">
        <f>IF(C44="Skema 2",Stamoplysninger!$H$35/200,0)</f>
        <v>0</v>
      </c>
      <c r="DA44" s="243">
        <f>IF(C44="Skema 3",Stamoplysninger!$H$35/200,0)</f>
        <v>0</v>
      </c>
      <c r="DB44" s="243">
        <f>IF(C44="Skema 4",Stamoplysninger!$H$35/200,0)</f>
        <v>0</v>
      </c>
      <c r="DC44" s="243">
        <f>IF(C44="fagdag",Stamoplysninger!$H$35/200,0)</f>
        <v>0</v>
      </c>
      <c r="DD44" s="243">
        <f>IF(C44="emnedag",Stamoplysninger!$H$35/200,0)</f>
        <v>0</v>
      </c>
      <c r="DE44" s="243">
        <f>IF(C44="lejrskole",Stamoplysninger!$H$35/200,0)</f>
        <v>0</v>
      </c>
      <c r="DF44" s="243">
        <f>IF(C44="ekskursion",Stamoplysninger!$H$35/200,0)</f>
        <v>0</v>
      </c>
      <c r="DG44" s="243">
        <f>SUM(CY44:DF44)</f>
        <v>0</v>
      </c>
      <c r="DH44" t="str">
        <f>IF(AND(E44&gt;0,H44&gt;0),""&amp;E44&amp;" og "&amp;H44&amp;"","")</f>
        <v/>
      </c>
      <c r="DI44">
        <f>IF(H44="",E44,"")</f>
        <v>0</v>
      </c>
      <c r="DJ44">
        <f>IF(E44="",H44,"")</f>
        <v>0</v>
      </c>
      <c r="DK44" t="str">
        <f t="shared" si="40"/>
        <v/>
      </c>
      <c r="DL44" t="str">
        <f t="shared" si="40"/>
        <v/>
      </c>
      <c r="DM44" t="str">
        <f t="shared" si="40"/>
        <v/>
      </c>
      <c r="DN44" t="str">
        <f>DK44&amp;""&amp;DL44&amp;""&amp;DM44</f>
        <v/>
      </c>
      <c r="DO44" s="628">
        <f>IF(AND(Stamoplysninger!$B$27="Ulempetillæg udbetales med 25% af nettotimelønnen.",H44&gt;0),(R44/4),0)</f>
        <v>0</v>
      </c>
      <c r="DP44">
        <f>IF(AND(AND(Stamoplysninger!$B$27="Ulempetillæg udbetales med 25% af nettotimelønnen.",I44="X",J44="")),K44/4,0)</f>
        <v>0</v>
      </c>
      <c r="DQ44">
        <f>IF(AND(Stamoplysninger!$B$27="Ulempetillæg udbetales med 25% af nettotimelønnen.",U44="X"),(X44/4),0)</f>
        <v>0</v>
      </c>
      <c r="DR44">
        <f>IF(AND(AND(AND(Stamoplysninger!$B$27="Ulempetillæg udbetales med 25% af nettotimelønnen.",S44="X",I44="X",J44=""))),V44/4,0)</f>
        <v>0</v>
      </c>
      <c r="DS44" s="647">
        <f>IF(AND(AND(Stamoplysninger!$B$27="Ulempetillæg udbetales med 25% af nettotimelønnen.",C44="ikke relevant",H44&gt;"")),(R44)/4,0)</f>
        <v>0</v>
      </c>
      <c r="DT44" s="647">
        <f>IF(AND(AND(Stamoplysninger!$B$27="Ulempetillæg udbetales med 25% af nettotimelønnen.",I44="X",C44="Ikke relevant")),K44/4,0)</f>
        <v>0</v>
      </c>
      <c r="DU44" s="647">
        <f>IF(AND(AND(Stamoplysninger!$B$27="Ulempetillæg udbetales med 25% af nettotimelønnen.",C44="ikke relevant",U44="X")),(X44/4),0)</f>
        <v>0</v>
      </c>
      <c r="DV44" s="648">
        <f>IF(AND(AND(AND(Stamoplysninger!$B$27="Ulempetillæg udbetales med 25% af nettotimelønnen.",I44="X",C44="Ikke relevant",U44="X"))),X44/4,0)</f>
        <v>0</v>
      </c>
      <c r="DW44" s="628">
        <f>IF(AND(Stamoplysninger!$B$27="Ulempetillæg afspadseres med 25%(Kræver en aftale imellem ledelsen og den ansatte)",H44&gt;0),R44/4,0)</f>
        <v>0</v>
      </c>
      <c r="DX44">
        <f>IF(AND(AND(Stamoplysninger!$B$27="Ulempetillæg afspadseres med 25%(Kræver en aftale imellem ledelsen og den ansatte)",I44="X",J44="")),K44/4,0)</f>
        <v>0</v>
      </c>
      <c r="DY44">
        <f>IF(AND(Stamoplysninger!$B$27="Ulempetillæg afspadseres med 25%(Kræver en aftale imellem ledelsen og den ansatte)",U44="X"),X44/4,0)</f>
        <v>0</v>
      </c>
      <c r="DZ44">
        <f>IF(AND(AND(AND(Stamoplysninger!$B$27="Ulempetillæg afspadseres med 25%(Kræver en aftale imellem ledelsen og den ansatte)",I44="X",S44="X",J44=""))),V44/4,0)</f>
        <v>0</v>
      </c>
      <c r="EA44" s="647">
        <f>IF(AND(Stamoplysninger!$B$27="Ulempetillæg afspadseres med 25%(Kræver en aftale imellem ledelsen og den ansatte)",C44="ikke relevant"),(R44)/4,0)</f>
        <v>0</v>
      </c>
      <c r="EB44" s="647">
        <f>IF(AND(AND(Stamoplysninger!$B$27="Ulempetillæg afspadseres med 25%(Kræver en aftale imellem ledelsen og den ansatte)",I44="X",C44="Ikke relevant")),K44/4,0)</f>
        <v>0</v>
      </c>
      <c r="EC44" s="647">
        <f>IF(AND(AND(Stamoplysninger!$B$27="Ulempetillæg afspadseres med 25%(Kræver en aftale imellem ledelsen og den ansatte)",U44="X",C44="Ikke relevant")),X44/4,0)</f>
        <v>0</v>
      </c>
      <c r="ED44" s="647">
        <f>IF(AND(AND(AND(Stamoplysninger!$B$27="Ulempetillæg afspadseres med 25%(Kræver en aftale imellem ledelsen og den ansatte)",I44="X",C44="Ikke relevant",S44="X"))),V44/4,0)</f>
        <v>0</v>
      </c>
      <c r="EE44" s="277">
        <f>IF(AND(AND(Stamoplysninger!$B$31="Weekendtimer og weekendtillæg afspadseres.",I44="X",J44="")),K44*1.5,0)</f>
        <v>0</v>
      </c>
      <c r="EF44" s="245">
        <f>IF(AND(AND(AND(Stamoplysninger!$B$31="Weekendtimer og weekendtillæg afspadseres.",I44="X",S44="X",J44=""))),V44*1.5,0)</f>
        <v>0</v>
      </c>
      <c r="EG44" s="650">
        <f>IF(AND(AND(Stamoplysninger!$B$31="Weekendtimer og weekendtillæg afspadseres.",I44="X",C44="ikke relevant")),K44*1.5,0)</f>
        <v>0</v>
      </c>
      <c r="EH44" s="651">
        <f>IF(AND(AND(AND(Stamoplysninger!$B$31="Weekendtimer og weekendtillæg afspadseres.",I44="X",C44="ikke relevant",S44="X"))),(V44*1.5),0)</f>
        <v>0</v>
      </c>
      <c r="EI44" s="277">
        <f>IF(AND(AND(Stamoplysninger!$B$31="Weekendtimer og weekendtillæg afspadseres.",I44="X",J44="X")),K44,0)</f>
        <v>0</v>
      </c>
      <c r="EJ44" s="718">
        <f>IF(AND(AND(AND(Stamoplysninger!$B$31="Weekendtimer og weekendtillæg afspadseres.",I44="X",S44="X",J44="X"))),V44,0)</f>
        <v>0</v>
      </c>
      <c r="EK44" s="650">
        <f>IF(AND(AND(Stamoplysninger!$B$31="Weekendtimer og weekendtillæg afspadseres.",M44="X",G44="ikke relevant")),O44*1.5,0)</f>
        <v>0</v>
      </c>
      <c r="EL44" s="651">
        <f>IF(AND(AND(AND(Stamoplysninger!$B$31="Weekendtimer og weekendtillæg afspadseres.",M44="X",G44="ikke relevant",W44="X"))),(Z44*1.5),0)</f>
        <v>0</v>
      </c>
      <c r="EM44" s="277">
        <f>IF(AND(AND(Stamoplysninger!$B$31="Weekendtimer og weekendtillæg udbetales.",I44="X",J44="")),K44*1.5,0)</f>
        <v>0</v>
      </c>
      <c r="EN44" s="245">
        <f>IF(AND(AND(AND(Stamoplysninger!$B$31="Weekendtimer og weekendtillæg udbetales.",I44="X",S44="X",J44=""))),V44*1.5,0)</f>
        <v>0</v>
      </c>
      <c r="EO44" s="650">
        <f>IF(AND(AND(Stamoplysninger!$B$31="Weekendtimer og weekendtillæg udbetales.",I44="X",C44="ikke relevant")),K44*1.5,0)</f>
        <v>0</v>
      </c>
      <c r="EP44" s="651">
        <f>IF(AND(AND(AND(Stamoplysninger!$B$31="Weekendtimer og weekendtillæg udbetales.",I44="X",C44="ikke relevant",S44="X"))),(V44*1.5),0)</f>
        <v>0</v>
      </c>
      <c r="EQ44" s="277">
        <f>IF(AND(AND(Stamoplysninger!$B$31="Weekendtimer og weekendtillæg udbetales.",I44="X",J44="X")),K44,0)</f>
        <v>0</v>
      </c>
      <c r="ER44" s="718">
        <f>IF(AND(AND(AND(Stamoplysninger!$B$31="Weekendtimer og weekendtillæg udbetales.",I44="X",S44="X",J44="x"))),V44,0)</f>
        <v>0</v>
      </c>
      <c r="ES44" s="650">
        <f>IF(AND(AND(Stamoplysninger!$B$31="Weekendtimer og weekendtillæg udbetales.",M44="X",G44="ikke relevant")),O44*1.5,0)</f>
        <v>0</v>
      </c>
      <c r="ET44" s="651">
        <f>IF(AND(AND(AND(Stamoplysninger!$B$31="Weekendtimer og weekendtillæg udbetales.",M44="X",G44="ikke relevant",W44="X"))),(Z44*1.5),0)</f>
        <v>0</v>
      </c>
      <c r="EU44" s="277">
        <f>IF(AND(AND(Stamoplysninger!$B$31="Der er indgået lokalaftale omkring weekendtimer.(Kræver aftale med TR/FSL) Weekendtillæg afspadseres.",I44="X",J44="")),K44*0.5,0)</f>
        <v>0</v>
      </c>
      <c r="EV44" s="245">
        <f>IF(AND(AND(AND(Stamoplysninger!$B$31="Der er indgået lokalaftale omkring weekendtimer.(Kræver aftale med TR/FSL) Weekendtillæg afspadseres.",I44="X",S44="X",J44=""))),V44*0.5,0)</f>
        <v>0</v>
      </c>
      <c r="EW44" s="650">
        <f>IF(AND(AND(Stamoplysninger!$B$31="Der er indgået lokalaftale omkring weekendtimer.(Kræver aftale med TR/FSL) Weekendtillæg afspadseres.",I44="X",C44="ikke relevant")),K44*0.5,0)</f>
        <v>0</v>
      </c>
      <c r="EX44" s="651">
        <f>IF(AND(AND(AND(Stamoplysninger!$B$31="Der er indgået lokalaftale omkring weekendtimer.(Kræver aftale med TR/FSL) Weekendtillæg afspadseres.",I44="X",C44="ikke relevant",S44="X"))),(V44*0.5),0)</f>
        <v>0</v>
      </c>
      <c r="EY44" s="277">
        <f>IF(AND(AND(Stamoplysninger!$B$31="Der er indgået lokalaftale omkring weekendtimer(Kræver aftale med TR/FSL). Weekendtillæg udbetales.",I44="X",J44="")),K44*0.5,0)</f>
        <v>0</v>
      </c>
      <c r="EZ44" s="245">
        <f>IF(AND(AND(AND(Stamoplysninger!$B$31="Der er indgået lokalaftale omkring weekendtimer(Kræver aftale med TR/FSL). Weekendtillæg udbetales.",I44="X",S44="X",J44=""))),V44*0.5,0)</f>
        <v>0</v>
      </c>
      <c r="FA44" s="650">
        <f>IF(AND(AND(Stamoplysninger!$B$31="Der er indgået lokalaftale omkring weekendtimer(Kræver aftale med TR/FSL). Weekendtillæg udbetales.",I44="X",C44="ikke relevant")),K44*0.5,0)</f>
        <v>0</v>
      </c>
      <c r="FB44" s="651">
        <f>IF(AND(AND(AND(Stamoplysninger!$B$31="Der er indgået lokalaftale omkring weekendtimer(Kræver aftale med TR/FSL). Weekendtillæg udbetales.",I44="X",C44="ikke relevant",S44="X"))),(V44*0.5),0)</f>
        <v>0</v>
      </c>
      <c r="FC44" s="277">
        <f>IF(AND(Stamoplysninger!$B$31="Der er indgået lokalaftale omkring weekendtillæg(Kræver aftale med TR/FSL). Weekendtimerne afspadseres.",I44="X"),K44,0)</f>
        <v>0</v>
      </c>
      <c r="FD44" s="245">
        <f>IF(AND(AND(Stamoplysninger!$B$31="Der er indgået lokalaftale omkring weekendtillæg(Kræver aftale med TR/FSL). Weekendtimerne afspadseres.",I44="X",S44="X")),V44,0)</f>
        <v>0</v>
      </c>
      <c r="FE44" s="650">
        <f>IF(AND(AND(Stamoplysninger!$B$31="Der er indgået lokalaftale omkring weekendtillæg(Kræver aftale med TR/FSL). Weekendtimerne afspadseres..",I44="X",C44="ikke relevant")),K44,0)</f>
        <v>0</v>
      </c>
      <c r="FF44" s="651">
        <f>IF(AND(AND(AND(Stamoplysninger!$B$31="Der er indgået lokalaftale omkring weekendtillæg(Kræver aftale med TR/FSL). Weekendtimerne afspadseres.",I44="X",C44="ikke relevant",S44="X"))),(V44),0)</f>
        <v>0</v>
      </c>
      <c r="FG44" s="277">
        <f>IF(AND(Stamoplysninger!$B$31="Der er indgået lokalaftale omkring weekendtillæg(Kræver aftale med TR/FSL). Weekendtimerne udbetales.",I44="X"),K44,0)</f>
        <v>0</v>
      </c>
      <c r="FH44" s="245">
        <f>IF(AND(AND(Stamoplysninger!$B$31="Der er indgået lokalaftale omkring weekendtillæg(Kræver aftale med TR/FSL). Weekendtimerne udbetales.",I44="X",S44="X")),V44,0)</f>
        <v>0</v>
      </c>
      <c r="FI44" s="650">
        <f>IF(AND(AND(Stamoplysninger!$B$31="Der er indgået lokalaftale omkring weekendtillæg(Kræver aftale med TR/FSL). Weekendtimerne udbetales.",I44="X",C44="ikke relevant")),K44,0)</f>
        <v>0</v>
      </c>
      <c r="FJ44" s="651">
        <f>IF(AND(AND(AND(Stamoplysninger!$B$31="Der er indgået lokalaftale omkring weekendtillæg(Kræver aftale med TR/FSL). Weekendtimerne udbetales.",I44="X",C44="ikke relevant",S44="X"))),(V44),0)</f>
        <v>0</v>
      </c>
      <c r="FK44" s="277">
        <f>IF(AND(AND(Stamoplysninger!$B$31="Weekendtimer og weekendtillæg afspadseres.",I44="X",J44="")),K44,0)</f>
        <v>0</v>
      </c>
      <c r="FL44" s="245">
        <f>IF(AND(Stamoplysninger!$B$31="Weekendtimer og weekendtillæg afspadseres.",Y44="X"),(AA44+AL44)/2,0)</f>
        <v>0</v>
      </c>
      <c r="FM44" s="650">
        <f>IF(AND(AND(Stamoplysninger!$B$31="Weekendtimer og weekendtillæg afspadseres.",I44="X",C44="ikke relevant")),K44,0)</f>
        <v>0</v>
      </c>
      <c r="FN44" s="651">
        <f>IF(AND(AND(Stamoplysninger!$B$31="Weekendtimer og weekendtillæg afspadseres.",Y44="X",S44="ikke relevant")),(AA44+AL44)/2,0)</f>
        <v>0</v>
      </c>
      <c r="FO44" s="277">
        <f>IF(AND(AND(Stamoplysninger!$B$31="Weekendtimer og weekendtillæg afspadseres.",I44="X",J44="X")),K44,0)</f>
        <v>0</v>
      </c>
      <c r="FP44" s="245">
        <f>IF(AND(Stamoplysninger!$B$31="Weekendtimer og weekendtillæg afspadseres.",AC44="X"),(AE44+AP44)/2,0)</f>
        <v>0</v>
      </c>
      <c r="FQ44" s="650">
        <f>IF(AND(AND(Stamoplysninger!$B$31="Weekendtimer og weekendtillæg afspadseres.",M44="X",G44="ikke relevant")),O44,0)</f>
        <v>0</v>
      </c>
      <c r="FR44" s="651">
        <f>IF(AND(AND(Stamoplysninger!$B$31="Weekendtimer og weekendtillæg afspadseres.",AC44="X",W44="ikke relevant")),(AE44+AP44)/2,0)</f>
        <v>0</v>
      </c>
      <c r="FS44" s="277">
        <f>IF(AND(Stamoplysninger!$B$31="Der er indgået lokalaftale omkring weekendtillæg(Kræver aftale med TR/FSL). Weekendtimerne afspadseres.",I44="X"),K44,0)</f>
        <v>0</v>
      </c>
      <c r="FT44" s="650">
        <f>IF(AND(AND(Stamoplysninger!$B$31="Der er indgået lokalaftale omkring weekendtillæg(Kræver aftale med TR/FSL). Weekendtimerne afspadseres.",I44="X",C44="ikke relevant")),K44,0)</f>
        <v>0</v>
      </c>
      <c r="FU44" s="277">
        <f>IF(AND(Stamoplysninger!$B$31="Weekendtimer og weekendtillæg udbetales.",I44="X"),K44,0)</f>
        <v>0</v>
      </c>
      <c r="FV44" s="245">
        <f>IF(AND(Stamoplysninger!$B$31="Weekendtimer og weekendtillæg udbetales.",AA44="X"),(AC44+AN44)/2,0)</f>
        <v>0</v>
      </c>
      <c r="FW44" s="650">
        <f>IF(AND(AND(Stamoplysninger!$B$31="Weekendtimer og weekendtillæg udbetales.",I44="X",C44="ikke relevant")),K44,0)</f>
        <v>0</v>
      </c>
      <c r="FX44" s="664">
        <f>IF(AND(AND(Stamoplysninger!$B$31="Weekendtimer og weekendtillæg udbetales.",AA44="X",U44="ikke relevant")),(AC44+AN44)/2,0)</f>
        <v>0</v>
      </c>
      <c r="FY44" s="277">
        <f t="shared" si="16"/>
        <v>0</v>
      </c>
      <c r="FZ44" s="634">
        <f t="shared" si="17"/>
        <v>0</v>
      </c>
      <c r="GA44">
        <f t="shared" si="18"/>
        <v>0</v>
      </c>
      <c r="GB44" s="277">
        <f>IF(AND(Stamoplysninger!$B$31="Der er indgået lokalaftale omkring weekendtimer.(Kræver aftale med TR/FSL) Weekendtillæg afspadseres.",I44="X"),K44,0)</f>
        <v>0</v>
      </c>
      <c r="GC44" s="650">
        <f>IF(AND(AND(Stamoplysninger!$B$31="Der er indgået lokalaftale omkring weekendtimer.(Kræver aftale med TR/FSL) Weekendtillæg afspadseres.",I44="X",C44="ikke relevant")),K44,0)</f>
        <v>0</v>
      </c>
      <c r="GD44" s="277">
        <f>IF(AND(Stamoplysninger!$B$31="Der er indgået lokalaftale omkring weekendtimer(Kræver aftale med TR/FSL). Weekendtillæg udbetales.",I44="X"),K44,0)</f>
        <v>0</v>
      </c>
      <c r="GE44" s="650">
        <f>IF(AND(AND(Stamoplysninger!$B$31="Der er indgået lokalaftale omkring weekendtimer(Kræver aftale med TR/FSL). Weekendtillæg udbetales.",I44="X",C44="ikke relevant")),K44,0)</f>
        <v>0</v>
      </c>
      <c r="GF44" s="277">
        <f>IF(AND(Stamoplysninger!$B$31="Der er indgået lokalaftale omkring weekendtillæg(Kræver aftale med TR/FSL). Weekendtimerne udbetales.",I44="X"),K44,0)</f>
        <v>0</v>
      </c>
      <c r="GG44" s="650">
        <f>IF(AND(AND(Stamoplysninger!$B$31="Der er indgået lokalaftale omkring weekendtillæg(Kræver aftale med TR/FSL). Weekendtimerne udbetales.",I44="X",C44="ikke relevant")),K44,0)</f>
        <v>0</v>
      </c>
      <c r="GH44" s="277">
        <f>IF(AND(Stamoplysninger!$B$31="Der er indgået lokalaftale omkring weekendtimer og weekendtillæg.(Kræver aftale med TR/FSL).",I44="X"),K44,0)</f>
        <v>0</v>
      </c>
      <c r="GI44" s="650">
        <f>IF(AND(AND(Stamoplysninger!$B$31="Der er indgået lokalaftale omkring weekendtimer og weekendtillæg.(Kræver aftale med TR/FSL).",I44="X",C44="ikke relevant")),K44,0)</f>
        <v>0</v>
      </c>
      <c r="GJ44">
        <f t="shared" si="36"/>
        <v>0</v>
      </c>
      <c r="GK44">
        <f t="shared" si="19"/>
        <v>0</v>
      </c>
      <c r="GL44">
        <f t="shared" si="20"/>
        <v>0</v>
      </c>
      <c r="GM44">
        <f t="shared" si="21"/>
        <v>0</v>
      </c>
      <c r="GN44" s="713">
        <f t="shared" si="22"/>
        <v>0</v>
      </c>
      <c r="GO44">
        <f t="shared" si="37"/>
        <v>0</v>
      </c>
      <c r="GP44" s="647">
        <f t="shared" si="38"/>
        <v>0</v>
      </c>
    </row>
    <row r="45" spans="1:198" ht="17" thickBot="1">
      <c r="A45" s="1100" t="s">
        <v>257</v>
      </c>
      <c r="B45" s="1101"/>
      <c r="C45" s="1101"/>
      <c r="D45" s="1101"/>
      <c r="E45" s="1101"/>
      <c r="F45" s="1101"/>
      <c r="G45" s="1101"/>
      <c r="H45" s="1101"/>
      <c r="I45" s="1102"/>
      <c r="J45" s="306"/>
      <c r="K45" s="314"/>
      <c r="L45" s="314"/>
      <c r="M45" s="314"/>
      <c r="N45" s="314">
        <f>SUM(N14:N44)</f>
        <v>126.96</v>
      </c>
      <c r="O45" s="314">
        <f>SUM(O14:O44)</f>
        <v>65.5</v>
      </c>
      <c r="P45" s="314">
        <f>SUM(P14:P44)</f>
        <v>21.166666666666664</v>
      </c>
      <c r="Q45" s="314">
        <f>SUM(Q14:Q44)</f>
        <v>40.293333333333329</v>
      </c>
      <c r="R45" s="750">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IF(H44&gt;0,R44,0)</f>
        <v>0</v>
      </c>
      <c r="S45" s="419"/>
      <c r="T45" s="420"/>
      <c r="U45" s="420"/>
      <c r="V45"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IF(S44="x",V44,0)</f>
        <v>0</v>
      </c>
      <c r="W45" s="420">
        <f>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IF(T44="x",W44,0)</f>
        <v>0</v>
      </c>
      <c r="X45" s="421">
        <f>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IF(U44="x",X44,0)</f>
        <v>0</v>
      </c>
      <c r="Y45" s="208">
        <f>SUM(Y14:Y44)</f>
        <v>0</v>
      </c>
      <c r="Z45" s="386">
        <f>Z14+Z15+Z16+Z17+Z18+Z19+Z20+Z21+Z22+Z23+Z24+Z25+Z26+Z27+Z28+Z29+Z30+Z31+Z32+Z33+Z34+Z35+Z36+Z37+Z38+Z39+Z40+Z41+Z42+Z43+Z44</f>
        <v>0</v>
      </c>
      <c r="AA45" s="229">
        <f t="shared" ref="AA45:AF45" si="41">SUM(AA14:AA44)</f>
        <v>30</v>
      </c>
      <c r="AB45" s="229">
        <f t="shared" si="41"/>
        <v>0</v>
      </c>
      <c r="AC45" s="229">
        <f t="shared" si="41"/>
        <v>0</v>
      </c>
      <c r="AD45" s="229">
        <f t="shared" si="41"/>
        <v>0</v>
      </c>
      <c r="AE45" s="229">
        <f t="shared" si="41"/>
        <v>0</v>
      </c>
      <c r="AF45" s="229">
        <f t="shared" si="41"/>
        <v>0</v>
      </c>
      <c r="BA45" s="1">
        <f>SUM(BA14:BA44)</f>
        <v>126.96</v>
      </c>
      <c r="BB45" s="109"/>
      <c r="BC45" s="229">
        <f>SUM(BC14:BC44)</f>
        <v>0</v>
      </c>
      <c r="BD45" s="229">
        <f>SUM(BD14:BD44)</f>
        <v>0</v>
      </c>
      <c r="BE45" s="229">
        <f>SUM(BE14:BE44)</f>
        <v>0</v>
      </c>
      <c r="BF45" s="229">
        <f>SUM(BF14:BF44)</f>
        <v>19.5</v>
      </c>
      <c r="CA45" s="229">
        <f>SUM(CA14:CA44)</f>
        <v>65.5</v>
      </c>
      <c r="CB45" s="229">
        <f>SUM(CB14:CB44)</f>
        <v>0</v>
      </c>
      <c r="CC45" s="229">
        <f>SUM(CC14:CC44)</f>
        <v>5</v>
      </c>
      <c r="CX45" s="243"/>
      <c r="CY45" s="243">
        <f>SUM(CY14:CY44)</f>
        <v>0</v>
      </c>
      <c r="CZ45" s="243">
        <f>SUM(CZ14:CZ44)</f>
        <v>0</v>
      </c>
      <c r="DA45" s="243">
        <f t="shared" ref="DA45:DG45" si="42">SUM(DA14:DA44)</f>
        <v>0</v>
      </c>
      <c r="DB45" s="243">
        <f t="shared" si="42"/>
        <v>0</v>
      </c>
      <c r="DC45" s="243">
        <f t="shared" si="42"/>
        <v>0</v>
      </c>
      <c r="DD45" s="243">
        <f t="shared" si="42"/>
        <v>0</v>
      </c>
      <c r="DE45" s="243">
        <f t="shared" si="42"/>
        <v>0</v>
      </c>
      <c r="DF45" s="243">
        <f t="shared" si="42"/>
        <v>0</v>
      </c>
      <c r="DG45" s="243">
        <f t="shared" si="42"/>
        <v>0</v>
      </c>
      <c r="DO45" s="645">
        <f>SUM(DO14:DO44)</f>
        <v>0</v>
      </c>
      <c r="DP45" s="646">
        <f t="shared" ref="DP45:GI45" si="43">SUM(DP14:DP44)</f>
        <v>0</v>
      </c>
      <c r="DQ45" s="646">
        <f t="shared" si="43"/>
        <v>0</v>
      </c>
      <c r="DR45" s="646">
        <f t="shared" si="43"/>
        <v>0</v>
      </c>
      <c r="DS45" s="649">
        <f t="shared" si="43"/>
        <v>0</v>
      </c>
      <c r="DT45" s="649">
        <f t="shared" si="43"/>
        <v>0</v>
      </c>
      <c r="DU45" s="646">
        <f t="shared" si="43"/>
        <v>0</v>
      </c>
      <c r="DV45" s="649">
        <f t="shared" si="43"/>
        <v>0</v>
      </c>
      <c r="DW45" s="646">
        <f t="shared" si="43"/>
        <v>0</v>
      </c>
      <c r="DX45" s="646">
        <f t="shared" si="43"/>
        <v>0</v>
      </c>
      <c r="DY45" s="646">
        <f t="shared" si="43"/>
        <v>0</v>
      </c>
      <c r="DZ45" s="646">
        <f t="shared" si="43"/>
        <v>0</v>
      </c>
      <c r="EA45" s="649">
        <f t="shared" si="43"/>
        <v>0</v>
      </c>
      <c r="EB45" s="649">
        <f t="shared" si="43"/>
        <v>0</v>
      </c>
      <c r="EC45" s="649">
        <f t="shared" si="43"/>
        <v>0</v>
      </c>
      <c r="ED45" s="649">
        <f t="shared" si="43"/>
        <v>0</v>
      </c>
      <c r="EE45" s="646">
        <f t="shared" si="43"/>
        <v>0</v>
      </c>
      <c r="EF45" s="646">
        <f t="shared" si="43"/>
        <v>0</v>
      </c>
      <c r="EG45" s="649">
        <f t="shared" si="43"/>
        <v>0</v>
      </c>
      <c r="EH45" s="649">
        <f t="shared" si="43"/>
        <v>0</v>
      </c>
      <c r="EI45" s="646">
        <f t="shared" si="43"/>
        <v>0</v>
      </c>
      <c r="EJ45" s="646">
        <f t="shared" si="43"/>
        <v>0</v>
      </c>
      <c r="EK45" s="649">
        <f t="shared" si="43"/>
        <v>0</v>
      </c>
      <c r="EL45" s="649">
        <f t="shared" si="43"/>
        <v>0</v>
      </c>
      <c r="EM45" s="646">
        <f t="shared" si="43"/>
        <v>0</v>
      </c>
      <c r="EN45" s="646">
        <f t="shared" si="43"/>
        <v>0</v>
      </c>
      <c r="EO45" s="649">
        <f t="shared" si="43"/>
        <v>0</v>
      </c>
      <c r="EP45" s="652">
        <f t="shared" si="43"/>
        <v>0</v>
      </c>
      <c r="EQ45" s="646">
        <f t="shared" si="43"/>
        <v>0</v>
      </c>
      <c r="ER45" s="646">
        <f t="shared" si="43"/>
        <v>0</v>
      </c>
      <c r="ES45" s="649">
        <f t="shared" si="43"/>
        <v>0</v>
      </c>
      <c r="ET45" s="652">
        <f t="shared" si="43"/>
        <v>0</v>
      </c>
      <c r="EU45" s="646">
        <f t="shared" si="43"/>
        <v>0</v>
      </c>
      <c r="EV45" s="646">
        <f t="shared" si="43"/>
        <v>0</v>
      </c>
      <c r="EW45" s="649">
        <f t="shared" si="43"/>
        <v>0</v>
      </c>
      <c r="EX45" s="652">
        <f t="shared" si="43"/>
        <v>0</v>
      </c>
      <c r="EY45" s="646">
        <f t="shared" si="43"/>
        <v>0</v>
      </c>
      <c r="EZ45" s="646">
        <f t="shared" si="43"/>
        <v>0</v>
      </c>
      <c r="FA45" s="649">
        <f t="shared" si="43"/>
        <v>0</v>
      </c>
      <c r="FB45" s="652">
        <f t="shared" si="43"/>
        <v>0</v>
      </c>
      <c r="FC45" s="646">
        <f t="shared" si="43"/>
        <v>0</v>
      </c>
      <c r="FD45" s="646">
        <f t="shared" si="43"/>
        <v>0</v>
      </c>
      <c r="FE45" s="649">
        <f t="shared" si="43"/>
        <v>0</v>
      </c>
      <c r="FF45" s="652">
        <f t="shared" si="43"/>
        <v>0</v>
      </c>
      <c r="FG45" s="646">
        <f t="shared" si="43"/>
        <v>0</v>
      </c>
      <c r="FH45" s="646">
        <f t="shared" si="43"/>
        <v>0</v>
      </c>
      <c r="FI45" s="649">
        <f t="shared" si="43"/>
        <v>0</v>
      </c>
      <c r="FJ45" s="652">
        <f t="shared" si="43"/>
        <v>0</v>
      </c>
      <c r="FK45" s="661">
        <f t="shared" si="43"/>
        <v>0</v>
      </c>
      <c r="FL45" s="646">
        <f t="shared" si="43"/>
        <v>0</v>
      </c>
      <c r="FM45" s="661">
        <f t="shared" si="43"/>
        <v>0</v>
      </c>
      <c r="FN45" s="649">
        <f t="shared" si="43"/>
        <v>0</v>
      </c>
      <c r="FO45" s="661">
        <f t="shared" si="43"/>
        <v>0</v>
      </c>
      <c r="FP45" s="646">
        <f t="shared" si="43"/>
        <v>0</v>
      </c>
      <c r="FQ45" s="661">
        <f t="shared" si="43"/>
        <v>0</v>
      </c>
      <c r="FR45" s="649">
        <f t="shared" si="43"/>
        <v>0</v>
      </c>
      <c r="FS45" s="661">
        <f t="shared" si="43"/>
        <v>0</v>
      </c>
      <c r="FT45" s="661">
        <f t="shared" si="43"/>
        <v>0</v>
      </c>
      <c r="FU45" s="661">
        <f t="shared" si="43"/>
        <v>0</v>
      </c>
      <c r="FV45" s="646">
        <f t="shared" si="43"/>
        <v>0</v>
      </c>
      <c r="FW45" s="661">
        <f t="shared" si="43"/>
        <v>0</v>
      </c>
      <c r="FX45" s="652">
        <f t="shared" si="43"/>
        <v>0</v>
      </c>
      <c r="FY45" s="665">
        <f t="shared" si="43"/>
        <v>0</v>
      </c>
      <c r="FZ45" s="666">
        <f t="shared" si="43"/>
        <v>0</v>
      </c>
      <c r="GA45" s="666">
        <f t="shared" si="43"/>
        <v>0</v>
      </c>
      <c r="GB45" s="665">
        <f>SUM(GB14:GB44)</f>
        <v>0</v>
      </c>
      <c r="GC45" s="666">
        <f t="shared" si="43"/>
        <v>0</v>
      </c>
      <c r="GD45" s="665">
        <f t="shared" si="43"/>
        <v>0</v>
      </c>
      <c r="GE45" s="666">
        <f t="shared" si="43"/>
        <v>0</v>
      </c>
      <c r="GF45" s="661">
        <f t="shared" si="43"/>
        <v>0</v>
      </c>
      <c r="GG45" s="661">
        <f t="shared" si="43"/>
        <v>0</v>
      </c>
      <c r="GH45" s="661">
        <f t="shared" si="43"/>
        <v>0</v>
      </c>
      <c r="GI45" s="661">
        <f t="shared" si="43"/>
        <v>0</v>
      </c>
      <c r="GP45" s="647">
        <f>SUM(GP14:GP44)</f>
        <v>0</v>
      </c>
    </row>
    <row r="46" spans="1:198" ht="26" thickBot="1">
      <c r="A46" s="227"/>
      <c r="B46" s="227"/>
      <c r="C46" s="227"/>
      <c r="D46" s="227"/>
      <c r="E46" s="227"/>
      <c r="F46" s="227"/>
      <c r="G46" s="227"/>
      <c r="H46" s="227"/>
      <c r="I46" s="227"/>
      <c r="J46" s="227"/>
      <c r="K46" s="233"/>
      <c r="L46" s="233"/>
      <c r="M46" s="233"/>
      <c r="N46" s="233"/>
      <c r="O46" s="233"/>
      <c r="P46" s="233"/>
      <c r="Q46" s="233"/>
      <c r="R46" s="233"/>
      <c r="S46" s="433"/>
      <c r="T46" s="433"/>
      <c r="U46" s="433"/>
      <c r="V46" s="433"/>
      <c r="W46" s="433"/>
      <c r="X46" s="433"/>
      <c r="Y46" s="229"/>
      <c r="Z46" s="208"/>
      <c r="AA46" s="208"/>
      <c r="AB46" s="229"/>
      <c r="AC46" s="229"/>
      <c r="AD46" s="229"/>
      <c r="BA46" s="229"/>
      <c r="BB46" s="229"/>
      <c r="BC46" s="229"/>
      <c r="BD46" s="229"/>
      <c r="BE46" s="109"/>
      <c r="BZ46" s="229"/>
      <c r="CA46" s="229"/>
      <c r="CB46" s="109"/>
      <c r="CV46" s="242"/>
      <c r="CW46" s="242"/>
      <c r="CY46"/>
      <c r="CZ46"/>
      <c r="DO46" s="728"/>
      <c r="DP46" s="728"/>
      <c r="DQ46" s="728"/>
      <c r="DR46" s="728"/>
      <c r="DS46" s="728"/>
      <c r="DT46" s="728"/>
      <c r="DU46" s="728"/>
      <c r="DV46" s="728"/>
      <c r="DW46" s="729"/>
      <c r="DX46" s="729"/>
      <c r="DY46" s="729"/>
      <c r="DZ46" s="729"/>
      <c r="EA46" s="729"/>
      <c r="EB46" s="729"/>
      <c r="EC46" s="729"/>
      <c r="ED46" s="729"/>
      <c r="EE46" s="732"/>
      <c r="EF46" s="732"/>
      <c r="EG46" s="732"/>
      <c r="EH46" s="732"/>
      <c r="EI46" s="732"/>
      <c r="EJ46" s="732"/>
      <c r="EM46" s="734"/>
      <c r="EN46" s="734"/>
      <c r="EO46" s="734"/>
      <c r="EP46" s="734"/>
      <c r="EQ46" s="734"/>
      <c r="ER46" s="734"/>
      <c r="EU46" s="736"/>
      <c r="EV46" s="736"/>
      <c r="EW46" s="736"/>
      <c r="EX46" s="736"/>
      <c r="EY46" s="738"/>
      <c r="EZ46" s="738"/>
      <c r="FA46" s="738"/>
      <c r="FB46" s="738"/>
      <c r="FC46" s="740"/>
      <c r="FD46" s="740"/>
      <c r="FE46" s="740"/>
      <c r="FF46" s="740"/>
      <c r="FG46" s="742"/>
      <c r="FH46" s="742"/>
      <c r="FI46" s="742"/>
      <c r="FJ46" s="742"/>
      <c r="FK46" s="726"/>
      <c r="FM46" s="744"/>
      <c r="FO46" s="726"/>
      <c r="FS46" s="726"/>
      <c r="FT46" s="744"/>
      <c r="FU46" s="726"/>
      <c r="FW46" s="744"/>
      <c r="GA46" s="744"/>
      <c r="GB46" s="726"/>
      <c r="GC46" s="744"/>
      <c r="GD46" s="726"/>
      <c r="GE46" s="744"/>
      <c r="GF46" s="726"/>
      <c r="GG46" s="744"/>
      <c r="GH46" s="726"/>
      <c r="GI46" s="744"/>
      <c r="GP46" s="743" t="s">
        <v>663</v>
      </c>
    </row>
    <row r="47" spans="1:198" ht="70" customHeight="1">
      <c r="A47" s="1086" t="str">
        <f>"Arbejdstid for "&amp;A12&amp;" måned:"</f>
        <v>Arbejdstid for Oktober måned:</v>
      </c>
      <c r="B47" s="1087"/>
      <c r="C47" s="1087"/>
      <c r="D47" s="1087"/>
      <c r="E47" s="1087"/>
      <c r="F47" s="1087"/>
      <c r="G47" s="1087"/>
      <c r="H47" s="321" t="s">
        <v>252</v>
      </c>
      <c r="I47" s="1087" t="s">
        <v>218</v>
      </c>
      <c r="J47" s="1088"/>
      <c r="K47" s="1089"/>
      <c r="L47" s="256"/>
      <c r="M47" s="1134" t="str">
        <f>"Ulempetimer og weekendtimer i "&amp;A10&amp;""</f>
        <v>Ulempetimer og weekendtimer i Oktober måneds kalender for: Beate Simonsen. Måneden vedr. normperioden:  - .</v>
      </c>
      <c r="N47" s="1117"/>
      <c r="O47" s="1117"/>
      <c r="P47" s="1117"/>
      <c r="Q47" s="1117"/>
      <c r="R47" s="1117"/>
      <c r="S47" s="1117"/>
      <c r="T47" s="1117"/>
      <c r="U47" s="1117"/>
      <c r="V47" s="1117"/>
      <c r="W47" s="1117"/>
      <c r="X47" s="1118"/>
      <c r="Y47" s="233"/>
      <c r="Z47" s="233"/>
      <c r="AD47" s="87"/>
      <c r="AE47" s="87"/>
      <c r="BM47" s="1"/>
      <c r="CJ47" s="1"/>
      <c r="CU47" s="242"/>
      <c r="CV47" s="242"/>
      <c r="CY47"/>
      <c r="CZ47"/>
    </row>
    <row r="48" spans="1:198">
      <c r="A48" s="1090" t="str">
        <f>August!A49</f>
        <v>Arbejdstid eks. lørdage og søndage</v>
      </c>
      <c r="B48" s="1091"/>
      <c r="C48" s="1091"/>
      <c r="D48" s="1091"/>
      <c r="E48" s="1091"/>
      <c r="F48" s="1091"/>
      <c r="G48" s="1091"/>
      <c r="H48" s="250">
        <f>D83</f>
        <v>22</v>
      </c>
      <c r="I48" s="1103">
        <f>IF(Stamoplysninger!$E$17="Ja",1924/Arbejdstidsoversigt!$K$14*Stamoplysninger!$E$20*$H$48,H48*7.4*Stamoplysninger!$E$20)</f>
        <v>162.80000000000001</v>
      </c>
      <c r="J48" s="1104"/>
      <c r="K48" s="1105"/>
      <c r="L48" s="252"/>
      <c r="M48" s="1135" t="s">
        <v>480</v>
      </c>
      <c r="N48" s="1136"/>
      <c r="O48" s="1136"/>
      <c r="P48" s="1136"/>
      <c r="Q48" s="1136"/>
      <c r="R48" s="1136"/>
      <c r="S48" s="1136"/>
      <c r="T48" s="1136"/>
      <c r="U48" s="1137"/>
      <c r="V48" s="1138">
        <f>P70+P74+P77+P79</f>
        <v>0</v>
      </c>
      <c r="W48" s="1139"/>
      <c r="X48" s="1140"/>
      <c r="Y48" s="233"/>
      <c r="Z48" s="233"/>
      <c r="AD48" s="87"/>
      <c r="AE48" s="87"/>
      <c r="BM48" s="1"/>
      <c r="CJ48" s="1"/>
      <c r="CU48" s="242"/>
      <c r="CV48" s="242"/>
      <c r="CY48"/>
      <c r="CZ48"/>
    </row>
    <row r="49" spans="1:110">
      <c r="A49" s="1090" t="str">
        <f>"Ferie "&amp;A12&amp;" måned"</f>
        <v>Ferie Oktober måned</v>
      </c>
      <c r="B49" s="1091"/>
      <c r="C49" s="1091"/>
      <c r="D49" s="1091"/>
      <c r="E49" s="1091"/>
      <c r="F49" s="1091"/>
      <c r="G49" s="1091"/>
      <c r="H49" s="251">
        <f>IF(D78&gt;0,$D$78,"0")</f>
        <v>5</v>
      </c>
      <c r="I49" s="1092">
        <f>H49*7.4*Stamoplysninger!$E$20</f>
        <v>37</v>
      </c>
      <c r="J49" s="1093"/>
      <c r="K49" s="1094"/>
      <c r="L49" s="252"/>
      <c r="M49" s="1233" t="s">
        <v>256</v>
      </c>
      <c r="N49" s="1234"/>
      <c r="O49" s="1234"/>
      <c r="P49" s="1234"/>
      <c r="Q49" s="1234"/>
      <c r="R49" s="1234"/>
      <c r="S49" s="1234"/>
      <c r="T49" s="1234"/>
      <c r="U49" s="1234"/>
      <c r="V49" s="1144">
        <f>Q71+Q73+Q76+Q78</f>
        <v>0</v>
      </c>
      <c r="W49" s="1145"/>
      <c r="X49" s="1146"/>
      <c r="Y49" s="233"/>
      <c r="Z49" s="233"/>
      <c r="AD49" s="87"/>
      <c r="AE49" s="87"/>
      <c r="BM49" s="1"/>
      <c r="CJ49" s="1"/>
      <c r="CU49" s="242"/>
      <c r="CV49" s="242"/>
      <c r="CY49"/>
      <c r="CZ49"/>
    </row>
    <row r="50" spans="1:110">
      <c r="A50" s="1090" t="str">
        <f>"Søgnehelligdage i "&amp;A12&amp;" måned"</f>
        <v>Søgnehelligdage i Oktober måned</v>
      </c>
      <c r="B50" s="1091"/>
      <c r="C50" s="1091"/>
      <c r="D50" s="1091"/>
      <c r="E50" s="1091"/>
      <c r="F50" s="1091"/>
      <c r="G50" s="1091"/>
      <c r="H50" s="251">
        <f>IF(D77&gt;0,D77,0)</f>
        <v>0</v>
      </c>
      <c r="I50" s="1092">
        <f>H50*7.4*Stamoplysninger!$E$20</f>
        <v>0</v>
      </c>
      <c r="J50" s="1093"/>
      <c r="K50" s="1094"/>
      <c r="L50" s="253"/>
      <c r="M50" s="1147" t="s">
        <v>292</v>
      </c>
      <c r="N50" s="1148"/>
      <c r="O50" s="1148"/>
      <c r="P50" s="1148"/>
      <c r="Q50" s="1148"/>
      <c r="R50" s="1148"/>
      <c r="S50" s="1148"/>
      <c r="T50" s="1148"/>
      <c r="U50" s="1148"/>
      <c r="V50" s="1231">
        <f>September!V57</f>
        <v>0</v>
      </c>
      <c r="W50" s="1231"/>
      <c r="X50" s="1232"/>
      <c r="Y50" s="233"/>
      <c r="Z50" s="233"/>
      <c r="AD50" s="87"/>
      <c r="AE50" s="87"/>
      <c r="BM50" s="1"/>
      <c r="CJ50" s="1"/>
      <c r="CU50" s="242"/>
      <c r="CV50" s="242"/>
      <c r="CY50"/>
      <c r="CZ50"/>
    </row>
    <row r="51" spans="1:110">
      <c r="A51" s="1090" t="str">
        <f>"Nettoarbejdstid ialt i "&amp;A12&amp;" måned"</f>
        <v>Nettoarbejdstid ialt i Oktober måned</v>
      </c>
      <c r="B51" s="1091"/>
      <c r="C51" s="1091"/>
      <c r="D51" s="1091"/>
      <c r="E51" s="1091"/>
      <c r="F51" s="1091"/>
      <c r="G51" s="1091"/>
      <c r="H51" s="254">
        <f>H48-H49-H50</f>
        <v>17</v>
      </c>
      <c r="I51" s="1092">
        <f>I48-I49-I50</f>
        <v>125.80000000000001</v>
      </c>
      <c r="J51" s="1093"/>
      <c r="K51" s="1094"/>
      <c r="L51" s="253"/>
      <c r="M51" s="1261" t="s">
        <v>298</v>
      </c>
      <c r="N51" s="1262"/>
      <c r="O51" s="1262"/>
      <c r="P51" s="1262"/>
      <c r="Q51" s="1262"/>
      <c r="R51" s="1262"/>
      <c r="S51" s="1262"/>
      <c r="T51" s="1262"/>
      <c r="U51" s="1262"/>
      <c r="V51" s="1256">
        <f>V49+V50</f>
        <v>0</v>
      </c>
      <c r="W51" s="1256"/>
      <c r="X51" s="1257"/>
      <c r="Y51" s="233"/>
      <c r="Z51" s="233"/>
      <c r="AD51" s="87"/>
      <c r="AE51" s="87"/>
      <c r="BM51" s="1"/>
      <c r="CJ51" s="1"/>
      <c r="CU51" s="242"/>
      <c r="CV51" s="242"/>
      <c r="CY51"/>
      <c r="CZ51"/>
    </row>
    <row r="52" spans="1:110">
      <c r="A52" s="1106" t="str">
        <f>"Planlagt arbejdstid efter ovennstående "&amp;A12&amp;" måned kalender"</f>
        <v>Planlagt arbejdstid efter ovennstående Oktober måned kalender</v>
      </c>
      <c r="B52" s="1107"/>
      <c r="C52" s="1107"/>
      <c r="D52" s="1107"/>
      <c r="E52" s="1107"/>
      <c r="F52" s="1107"/>
      <c r="G52" s="1107"/>
      <c r="H52" s="461">
        <f>D69+D70+D71+D72+D73+D74+D75</f>
        <v>17</v>
      </c>
      <c r="I52" s="1108">
        <f>N45+R45+V111</f>
        <v>126.96</v>
      </c>
      <c r="J52" s="1109"/>
      <c r="K52" s="1110"/>
      <c r="L52" s="375"/>
      <c r="M52" s="1258" t="s">
        <v>290</v>
      </c>
      <c r="N52" s="1259"/>
      <c r="O52" s="1259"/>
      <c r="P52" s="1259"/>
      <c r="Q52" s="1259"/>
      <c r="R52" s="1259"/>
      <c r="S52" s="1259"/>
      <c r="T52" s="1259"/>
      <c r="U52" s="1259"/>
      <c r="V52" s="1259"/>
      <c r="W52" s="1259"/>
      <c r="X52" s="1260"/>
      <c r="Y52" s="233"/>
      <c r="Z52" s="233"/>
      <c r="AD52" s="87"/>
      <c r="AE52" s="87"/>
      <c r="BM52" s="1"/>
      <c r="CJ52" s="1"/>
      <c r="CU52" s="242"/>
      <c r="CV52" s="242"/>
      <c r="CY52"/>
      <c r="CZ52"/>
    </row>
    <row r="53" spans="1:110">
      <c r="A53" s="1114" t="s">
        <v>671</v>
      </c>
      <c r="B53" s="1115"/>
      <c r="C53" s="1115"/>
      <c r="D53" s="1115"/>
      <c r="E53" s="1115"/>
      <c r="F53" s="1115"/>
      <c r="G53" s="1115"/>
      <c r="H53" s="1116"/>
      <c r="I53" s="1111">
        <f>(FK45+FO45+FS45+FU45+GB45+GD45+GF45+GH45)*-1+FM45+FT45+FW45+GC45+GE45+GG45+GI45+GA45</f>
        <v>0</v>
      </c>
      <c r="J53" s="1112"/>
      <c r="K53" s="1113"/>
      <c r="L53" s="376"/>
      <c r="M53" s="1263" t="s">
        <v>450</v>
      </c>
      <c r="N53" s="1264"/>
      <c r="O53" s="1264"/>
      <c r="P53" s="1264"/>
      <c r="Q53" s="1264"/>
      <c r="R53" s="1264"/>
      <c r="S53" s="1264"/>
      <c r="T53" s="1264"/>
      <c r="U53" s="1264"/>
      <c r="V53" s="1250" t="s">
        <v>218</v>
      </c>
      <c r="W53" s="1250"/>
      <c r="X53" s="1251"/>
      <c r="Y53" s="233"/>
      <c r="Z53" s="233"/>
      <c r="AD53" s="87"/>
      <c r="AE53" s="87"/>
      <c r="BM53" s="1"/>
      <c r="CJ53" s="1"/>
      <c r="CU53" s="242"/>
      <c r="CV53" s="242"/>
      <c r="CY53"/>
      <c r="CZ53"/>
    </row>
    <row r="54" spans="1:110">
      <c r="A54" s="1128" t="str">
        <f>"Arbejde særligt planlagt for "&amp;A12&amp;" måned efter fanen skemaoplysninger"</f>
        <v>Arbejde særligt planlagt for Oktober måned efter fanen skemaoplysninger</v>
      </c>
      <c r="B54" s="1129"/>
      <c r="C54" s="1129"/>
      <c r="D54" s="1129"/>
      <c r="E54" s="1129"/>
      <c r="F54" s="1129"/>
      <c r="G54" s="1129"/>
      <c r="H54" s="1130"/>
      <c r="I54" s="1109">
        <f>IF(I52&gt;0,Skemaoplysninger!M107,0)</f>
        <v>0</v>
      </c>
      <c r="J54" s="1126"/>
      <c r="K54" s="1127"/>
      <c r="L54" s="235"/>
      <c r="M54" s="1265"/>
      <c r="N54" s="1266"/>
      <c r="O54" s="1266"/>
      <c r="P54" s="1266"/>
      <c r="Q54" s="1266"/>
      <c r="R54" s="1266"/>
      <c r="S54" s="1266"/>
      <c r="T54" s="1266"/>
      <c r="U54" s="1267"/>
      <c r="V54" s="1170"/>
      <c r="W54" s="1170"/>
      <c r="X54" s="1171"/>
      <c r="Y54"/>
      <c r="Z54" s="233"/>
      <c r="AA54" s="233"/>
      <c r="AG54" s="87"/>
      <c r="AH54" s="87"/>
      <c r="BA54" s="233"/>
      <c r="BO54" s="1"/>
      <c r="CL54" s="1"/>
      <c r="CV54" s="242"/>
      <c r="CW54" s="242"/>
      <c r="CY54"/>
      <c r="CZ54"/>
    </row>
    <row r="55" spans="1:110">
      <c r="A55" s="1095" t="s">
        <v>439</v>
      </c>
      <c r="B55" s="1096"/>
      <c r="C55" s="1096"/>
      <c r="D55" s="1096"/>
      <c r="E55" s="1096"/>
      <c r="F55" s="1096"/>
      <c r="G55" s="1096"/>
      <c r="H55" s="1096"/>
      <c r="I55" s="1097">
        <f>V45+X45+R111-GP45+T111</f>
        <v>0</v>
      </c>
      <c r="J55" s="1098"/>
      <c r="K55" s="1099"/>
      <c r="L55" s="235"/>
      <c r="M55" s="1229"/>
      <c r="N55" s="1230"/>
      <c r="O55" s="1230"/>
      <c r="P55" s="1230"/>
      <c r="Q55" s="1230"/>
      <c r="R55" s="1230"/>
      <c r="S55" s="1230"/>
      <c r="T55" s="1230"/>
      <c r="U55" s="1230"/>
      <c r="V55" s="1039"/>
      <c r="W55" s="1040"/>
      <c r="X55" s="1041"/>
      <c r="Y55"/>
      <c r="Z55" s="233"/>
      <c r="AA55" s="233"/>
      <c r="AE55" s="87"/>
      <c r="AF55" s="241"/>
      <c r="AG55" s="87"/>
      <c r="BN55" s="1"/>
      <c r="CK55" s="1"/>
      <c r="CV55" s="242"/>
      <c r="CW55" s="242"/>
      <c r="CY55"/>
      <c r="CZ55"/>
    </row>
    <row r="56" spans="1:110" ht="17" thickBot="1">
      <c r="A56" s="255" t="str">
        <f>"Faktisk arbejdstid ialt i "&amp;A12&amp;" måned"</f>
        <v>Faktisk arbejdstid ialt i Oktober måned</v>
      </c>
      <c r="B56" s="307"/>
      <c r="C56" s="308"/>
      <c r="D56" s="308"/>
      <c r="E56" s="308"/>
      <c r="F56" s="308"/>
      <c r="G56" s="308"/>
      <c r="H56" s="309"/>
      <c r="I56" s="1131">
        <f>I52+I55+I54+I53</f>
        <v>126.96</v>
      </c>
      <c r="J56" s="1132"/>
      <c r="K56" s="1133"/>
      <c r="L56" s="235"/>
      <c r="M56" s="1229"/>
      <c r="N56" s="1230"/>
      <c r="O56" s="1230"/>
      <c r="P56" s="1230"/>
      <c r="Q56" s="1230"/>
      <c r="R56" s="1230"/>
      <c r="S56" s="1230"/>
      <c r="T56" s="1230"/>
      <c r="U56" s="1230"/>
      <c r="V56" s="1039"/>
      <c r="W56" s="1040"/>
      <c r="X56" s="1041"/>
      <c r="Y56" s="233"/>
      <c r="Z56" s="233"/>
      <c r="AA56" s="211"/>
      <c r="AB56" s="241"/>
      <c r="AC56" s="241"/>
      <c r="AD56" s="241"/>
      <c r="AE56" s="233"/>
      <c r="AF56" s="241"/>
      <c r="AH56" s="233"/>
      <c r="AI56" s="233"/>
      <c r="AM56" s="87"/>
      <c r="AN56" s="87"/>
      <c r="BU56" s="1"/>
      <c r="CR56" s="1"/>
      <c r="CY56"/>
      <c r="CZ56"/>
      <c r="DC56" s="242"/>
      <c r="DD56" s="242"/>
    </row>
    <row r="57" spans="1:110" ht="17" thickBot="1">
      <c r="A57" s="249"/>
      <c r="B57" s="249"/>
      <c r="C57" s="249"/>
      <c r="D57" s="249"/>
      <c r="E57" s="249"/>
      <c r="F57" s="249"/>
      <c r="G57" s="249"/>
      <c r="H57" s="249"/>
      <c r="I57" s="507"/>
      <c r="J57" s="507"/>
      <c r="K57" s="507"/>
      <c r="L57" s="485"/>
      <c r="M57" s="1229"/>
      <c r="N57" s="1230"/>
      <c r="O57" s="1230"/>
      <c r="P57" s="1230"/>
      <c r="Q57" s="1230"/>
      <c r="R57" s="1230"/>
      <c r="S57" s="1230"/>
      <c r="T57" s="1230"/>
      <c r="U57" s="1230"/>
      <c r="V57" s="1039"/>
      <c r="W57" s="1040"/>
      <c r="X57" s="1041"/>
      <c r="Y57" s="233"/>
      <c r="Z57" s="233"/>
      <c r="AA57" s="233"/>
      <c r="AB57" s="233"/>
      <c r="AC57" s="211"/>
      <c r="AD57" s="241"/>
      <c r="AE57" s="241"/>
      <c r="AF57" s="241"/>
      <c r="AG57" s="241"/>
      <c r="AH57" s="233"/>
      <c r="AJ57" s="233"/>
      <c r="AK57" s="233"/>
      <c r="AO57" s="87"/>
      <c r="AP57" s="87"/>
      <c r="BW57" s="1"/>
      <c r="CT57" s="1"/>
      <c r="CY57"/>
      <c r="CZ57"/>
      <c r="DE57" s="242"/>
      <c r="DF57" s="242"/>
    </row>
    <row r="58" spans="1:110" ht="25" thickBot="1">
      <c r="A58" s="1086" t="s">
        <v>463</v>
      </c>
      <c r="B58" s="1087"/>
      <c r="C58" s="1087"/>
      <c r="D58" s="1087"/>
      <c r="E58" s="1087"/>
      <c r="F58" s="1087"/>
      <c r="G58" s="1087"/>
      <c r="H58" s="681" t="s">
        <v>608</v>
      </c>
      <c r="I58" s="1276" t="s">
        <v>462</v>
      </c>
      <c r="J58" s="1276"/>
      <c r="K58" s="1277"/>
      <c r="L58" s="485"/>
      <c r="M58" s="1244" t="s">
        <v>291</v>
      </c>
      <c r="N58" s="1245"/>
      <c r="O58" s="1245"/>
      <c r="P58" s="1245"/>
      <c r="Q58" s="1245"/>
      <c r="R58" s="1245"/>
      <c r="S58" s="1245"/>
      <c r="T58" s="1245"/>
      <c r="U58" s="1246"/>
      <c r="V58" s="1247">
        <f>V51-SUM(V54:X57)</f>
        <v>0</v>
      </c>
      <c r="W58" s="1248"/>
      <c r="X58" s="1249"/>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121"/>
      <c r="B59" s="1122"/>
      <c r="C59" s="1122"/>
      <c r="D59" s="1122"/>
      <c r="E59" s="1122"/>
      <c r="F59" s="1122"/>
      <c r="G59" s="1122"/>
      <c r="H59" s="589">
        <f>September!H66</f>
        <v>0</v>
      </c>
      <c r="I59" s="1278">
        <f>September!I66</f>
        <v>0</v>
      </c>
      <c r="J59" s="1279"/>
      <c r="K59" s="1280"/>
      <c r="L59" s="485"/>
      <c r="M59" s="233"/>
      <c r="N59" s="233"/>
      <c r="O59" s="233"/>
      <c r="P59" s="233"/>
      <c r="Q59" s="211"/>
      <c r="R59" s="241"/>
      <c r="S59" s="241"/>
      <c r="T59" s="241"/>
      <c r="U59" s="241"/>
      <c r="V59" s="233"/>
      <c r="X59" s="233"/>
      <c r="Y59" s="233"/>
      <c r="Z59"/>
      <c r="AC59" s="87"/>
      <c r="AD59" s="87"/>
      <c r="BK59" s="1"/>
      <c r="CH59" s="1"/>
      <c r="CS59" s="242"/>
      <c r="CT59" s="242"/>
      <c r="CY59"/>
      <c r="CZ59"/>
    </row>
    <row r="60" spans="1:110" ht="16" customHeight="1">
      <c r="A60" s="1235" t="s">
        <v>466</v>
      </c>
      <c r="B60" s="1236"/>
      <c r="C60" s="1236"/>
      <c r="D60" s="1236"/>
      <c r="E60" s="1236"/>
      <c r="F60" s="1236"/>
      <c r="G60" s="1237"/>
      <c r="H60" s="587"/>
      <c r="I60" s="1238"/>
      <c r="J60" s="1239"/>
      <c r="K60" s="1240"/>
      <c r="L60" s="485"/>
      <c r="M60" s="233"/>
      <c r="N60" s="233"/>
      <c r="O60" s="233"/>
      <c r="P60" s="233"/>
      <c r="Q60" s="211"/>
      <c r="R60" s="241"/>
      <c r="S60" s="241"/>
      <c r="T60" s="241"/>
      <c r="U60" s="241"/>
      <c r="V60" s="233"/>
      <c r="X60" s="233"/>
      <c r="Y60" s="233"/>
      <c r="Z60"/>
      <c r="AC60" s="87"/>
      <c r="AD60" s="87"/>
      <c r="BK60" s="1"/>
      <c r="CH60" s="1"/>
      <c r="CS60" s="242"/>
      <c r="CT60" s="242"/>
      <c r="CY60"/>
      <c r="CZ60"/>
    </row>
    <row r="61" spans="1:110" ht="37" customHeight="1">
      <c r="A61" s="1033" t="s">
        <v>609</v>
      </c>
      <c r="B61" s="1034"/>
      <c r="C61" s="1034"/>
      <c r="D61" s="1034"/>
      <c r="E61" s="1034"/>
      <c r="F61" s="1034"/>
      <c r="G61" s="1034"/>
      <c r="H61" s="1034"/>
      <c r="I61" s="1034"/>
      <c r="J61" s="1034"/>
      <c r="K61" s="1035"/>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ht="35" customHeight="1">
      <c r="A62" s="1079" t="s">
        <v>610</v>
      </c>
      <c r="B62" s="1080"/>
      <c r="C62" s="1052" t="s">
        <v>492</v>
      </c>
      <c r="D62" s="1053"/>
      <c r="E62" s="1081" t="s">
        <v>493</v>
      </c>
      <c r="F62" s="1034"/>
      <c r="G62" s="1082"/>
      <c r="H62" s="1083" t="s">
        <v>464</v>
      </c>
      <c r="I62" s="1083"/>
      <c r="J62" s="1083"/>
      <c r="K62" s="1084"/>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050"/>
      <c r="B63" s="1051"/>
      <c r="C63" s="1026"/>
      <c r="D63" s="1025"/>
      <c r="E63" s="1021"/>
      <c r="F63" s="1022"/>
      <c r="G63" s="1023"/>
      <c r="H63" s="588"/>
      <c r="I63" s="1019"/>
      <c r="J63" s="1019"/>
      <c r="K63" s="1020"/>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1024"/>
      <c r="B64" s="1025"/>
      <c r="C64" s="1026"/>
      <c r="D64" s="1025"/>
      <c r="E64" s="1021"/>
      <c r="F64" s="1022"/>
      <c r="G64" s="1023"/>
      <c r="H64" s="588"/>
      <c r="I64" s="1019"/>
      <c r="J64" s="1019"/>
      <c r="K64" s="1020"/>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1">
      <c r="A65" s="1024"/>
      <c r="B65" s="1025"/>
      <c r="C65" s="1026"/>
      <c r="D65" s="1025"/>
      <c r="E65" s="1021"/>
      <c r="F65" s="1022"/>
      <c r="G65" s="1023"/>
      <c r="H65" s="588"/>
      <c r="I65" s="1019"/>
      <c r="J65" s="1019"/>
      <c r="K65" s="1020"/>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1">
      <c r="A66" s="1024"/>
      <c r="B66" s="1025"/>
      <c r="C66" s="1026"/>
      <c r="D66" s="1025"/>
      <c r="E66" s="1021"/>
      <c r="F66" s="1022"/>
      <c r="G66" s="1023"/>
      <c r="H66" s="588"/>
      <c r="I66" s="1019"/>
      <c r="J66" s="1019"/>
      <c r="K66" s="1020"/>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1" ht="18" customHeight="1" thickBot="1">
      <c r="A67" s="1054" t="s">
        <v>465</v>
      </c>
      <c r="B67" s="1055"/>
      <c r="C67" s="1056"/>
      <c r="D67" s="1056"/>
      <c r="E67" s="1056"/>
      <c r="F67" s="1056"/>
      <c r="G67" s="1056"/>
      <c r="H67" s="590">
        <f>H60+H59-SUM(H63:H66)</f>
        <v>0</v>
      </c>
      <c r="I67" s="1063">
        <f>I59+I60-SUM(I63:K66)</f>
        <v>0</v>
      </c>
      <c r="J67" s="1064"/>
      <c r="K67" s="1065"/>
      <c r="L67" s="485"/>
      <c r="M67" s="508"/>
      <c r="N67" s="508"/>
      <c r="O67" s="508"/>
      <c r="P67" s="508"/>
      <c r="Q67" s="509"/>
      <c r="R67" s="510"/>
      <c r="S67" s="510"/>
      <c r="T67" s="510"/>
      <c r="U67" s="510"/>
      <c r="V67" s="508"/>
      <c r="W67" s="511"/>
      <c r="X67" s="508"/>
      <c r="Y67" s="233"/>
      <c r="Z67" s="233"/>
      <c r="AA67" s="233"/>
      <c r="AB67" s="233"/>
      <c r="AC67" s="211"/>
      <c r="AD67" s="241"/>
      <c r="AE67" s="241"/>
      <c r="AF67" s="241"/>
      <c r="AG67" s="241"/>
      <c r="AH67" s="233"/>
      <c r="AJ67" s="233"/>
      <c r="AK67" s="233"/>
      <c r="AO67" s="87"/>
      <c r="AP67" s="87"/>
      <c r="BW67" s="1"/>
      <c r="CT67" s="1"/>
      <c r="CY67"/>
      <c r="CZ67"/>
      <c r="DE67" s="242"/>
      <c r="DF67" s="242"/>
    </row>
    <row r="68" spans="1:111" hidden="1">
      <c r="A68" s="481"/>
      <c r="B68" s="481"/>
      <c r="C68" s="481"/>
      <c r="D68" s="481"/>
      <c r="E68" s="481"/>
      <c r="F68" s="481"/>
      <c r="G68" s="481"/>
      <c r="H68" s="437"/>
      <c r="I68" s="491"/>
      <c r="J68" s="491"/>
      <c r="K68" s="481"/>
      <c r="L68" s="635"/>
      <c r="M68" s="635"/>
      <c r="N68" s="635"/>
      <c r="O68" s="635"/>
      <c r="P68" s="635"/>
      <c r="Q68" s="509"/>
      <c r="R68" s="510"/>
      <c r="S68" s="510"/>
      <c r="T68" s="510"/>
      <c r="U68" s="510"/>
      <c r="V68" s="508" t="s">
        <v>538</v>
      </c>
      <c r="W68" s="511"/>
      <c r="X68" s="508"/>
      <c r="Y68"/>
      <c r="Z68"/>
      <c r="AA68" s="87"/>
      <c r="AB68" s="87"/>
      <c r="BI68" s="1"/>
      <c r="CF68" s="1"/>
      <c r="CQ68" s="242"/>
      <c r="CR68" s="242"/>
      <c r="CY68"/>
      <c r="CZ68"/>
    </row>
    <row r="69" spans="1:111" hidden="1">
      <c r="A69" s="491" t="s">
        <v>203</v>
      </c>
      <c r="B69" s="491"/>
      <c r="C69" s="491"/>
      <c r="D69" s="491">
        <f>COUNTIF([0]!Oktober,"Skema 1")</f>
        <v>12</v>
      </c>
      <c r="E69" s="492"/>
      <c r="F69" s="491" t="s">
        <v>183</v>
      </c>
      <c r="G69" s="491">
        <f>COUNTIFS($B$14:$B$44,"ma",[0]!Oktober,"Skema 1")</f>
        <v>2</v>
      </c>
      <c r="H69" s="120"/>
      <c r="I69" s="496"/>
      <c r="J69" s="635"/>
      <c r="K69" s="635"/>
      <c r="L69" s="496"/>
      <c r="M69" s="636"/>
      <c r="N69" s="635"/>
      <c r="O69" s="636"/>
      <c r="P69" s="654" t="s">
        <v>551</v>
      </c>
      <c r="Q69" s="656" t="s">
        <v>562</v>
      </c>
      <c r="R69" s="225"/>
      <c r="S69" s="225"/>
      <c r="T69" s="225"/>
      <c r="U69" s="225"/>
      <c r="V69" s="225"/>
      <c r="W69" s="115"/>
      <c r="X69" s="115"/>
      <c r="Y69"/>
      <c r="Z69"/>
      <c r="AA69" s="87"/>
      <c r="AB69" s="87"/>
      <c r="BI69" s="1"/>
      <c r="CF69" s="1"/>
      <c r="CQ69" s="242"/>
      <c r="CR69" s="242"/>
      <c r="CY69"/>
      <c r="CZ69"/>
    </row>
    <row r="70" spans="1:111" hidden="1">
      <c r="A70" s="1085" t="s">
        <v>204</v>
      </c>
      <c r="B70" s="1085"/>
      <c r="C70" s="1085"/>
      <c r="D70" s="491">
        <f>COUNTIF([0]!Oktober,"Skema 2")</f>
        <v>0</v>
      </c>
      <c r="E70" s="492"/>
      <c r="F70" s="491" t="s">
        <v>184</v>
      </c>
      <c r="G70" s="491">
        <f>COUNTIFS($B$14:$B$44,"ti",[0]!Oktober,"Skema 1")</f>
        <v>2</v>
      </c>
      <c r="H70" s="120"/>
      <c r="I70" s="496" t="s">
        <v>552</v>
      </c>
      <c r="J70" s="635"/>
      <c r="K70" s="496"/>
      <c r="L70" s="638"/>
      <c r="M70" s="636"/>
      <c r="N70" s="636"/>
      <c r="O70" s="639"/>
      <c r="P70" s="654">
        <f>IF(Stamoplysninger!$B$27="Ulempetillæg udbetales med 25% af nettotimelønnen.",SUM(DO45:DR45)-SUM(DS45:DV45),0)</f>
        <v>0</v>
      </c>
      <c r="Q70" s="656"/>
      <c r="R70" s="730"/>
      <c r="S70" s="225"/>
      <c r="T70" s="225"/>
      <c r="U70" s="225"/>
      <c r="V70" s="225"/>
      <c r="W70" s="115"/>
      <c r="X70" s="115"/>
      <c r="Y70"/>
      <c r="Z70"/>
      <c r="AA70" s="87"/>
      <c r="AB70" s="87"/>
      <c r="BI70" s="1"/>
      <c r="CF70" s="1"/>
      <c r="CQ70" s="242"/>
      <c r="CR70" s="242"/>
      <c r="CY70"/>
      <c r="CZ70"/>
    </row>
    <row r="71" spans="1:111" hidden="1">
      <c r="A71" s="1085" t="s">
        <v>205</v>
      </c>
      <c r="B71" s="1085"/>
      <c r="C71" s="1085"/>
      <c r="D71" s="491">
        <f>COUNTIF([0]!Oktober,"Skema 3")</f>
        <v>0</v>
      </c>
      <c r="E71" s="492"/>
      <c r="F71" s="491" t="s">
        <v>185</v>
      </c>
      <c r="G71" s="491">
        <f>COUNTIFS($B$14:$B$44,"on",[0]!Oktober,"Skema 1")</f>
        <v>2</v>
      </c>
      <c r="H71" s="483"/>
      <c r="I71" s="653" t="s">
        <v>553</v>
      </c>
      <c r="J71" s="635"/>
      <c r="K71" s="496"/>
      <c r="L71" s="638"/>
      <c r="M71" s="636"/>
      <c r="N71" s="636"/>
      <c r="O71" s="636"/>
      <c r="P71" s="654"/>
      <c r="Q71" s="656">
        <f>IF(Stamoplysninger!$B$27="Ulempetillæg afspadseres med 25%(Kræver en aftale imellem ledelsen og den ansatte)",DW45+DX45+DY45+DZ45-EA45-EB45-EC45-ED45,0)</f>
        <v>0</v>
      </c>
      <c r="R71" s="731"/>
      <c r="S71" s="225"/>
      <c r="T71" s="225"/>
      <c r="U71" s="225"/>
      <c r="V71" s="225"/>
      <c r="W71" s="115"/>
      <c r="X71" s="115"/>
      <c r="Y71"/>
      <c r="Z71"/>
      <c r="AA71" s="87"/>
      <c r="AB71" s="87"/>
      <c r="BI71" s="1"/>
      <c r="CF71" s="1"/>
      <c r="CQ71" s="242"/>
      <c r="CR71" s="242"/>
      <c r="CY71"/>
      <c r="CZ71"/>
    </row>
    <row r="72" spans="1:111" hidden="1">
      <c r="A72" s="1085" t="s">
        <v>206</v>
      </c>
      <c r="B72" s="1085"/>
      <c r="C72" s="1085"/>
      <c r="D72" s="491">
        <f>COUNTIF([0]!Oktober,"Skema 4")</f>
        <v>0</v>
      </c>
      <c r="E72" s="492"/>
      <c r="F72" s="491" t="s">
        <v>187</v>
      </c>
      <c r="G72" s="491">
        <f>COUNTIFS($B$14:$B$44,"to",[0]!Oktober,"Skema 1")</f>
        <v>3</v>
      </c>
      <c r="H72" s="483"/>
      <c r="I72" s="653" t="s">
        <v>554</v>
      </c>
      <c r="J72" s="635"/>
      <c r="K72" s="496"/>
      <c r="L72" s="638"/>
      <c r="M72" s="641"/>
      <c r="N72" s="641"/>
      <c r="O72" s="4"/>
      <c r="P72" s="654"/>
      <c r="Q72" s="656"/>
      <c r="R72" s="225"/>
      <c r="S72" s="225"/>
      <c r="T72" s="225"/>
      <c r="U72" s="225"/>
      <c r="V72" s="225"/>
      <c r="W72" s="115"/>
      <c r="X72" s="115"/>
      <c r="Y72" s="233"/>
      <c r="Z72" s="233"/>
      <c r="AA72" s="233"/>
      <c r="AB72" s="233"/>
      <c r="AC72" s="233"/>
      <c r="AD72" s="211"/>
      <c r="AE72" s="241"/>
      <c r="AF72" s="211"/>
      <c r="AG72" s="241"/>
      <c r="AH72" s="241"/>
      <c r="AI72" s="233"/>
      <c r="AK72" s="233"/>
      <c r="AL72" s="233"/>
      <c r="AP72" s="87"/>
      <c r="AQ72" s="87"/>
      <c r="BX72" s="1"/>
      <c r="CU72" s="1"/>
      <c r="CY72"/>
      <c r="CZ72"/>
      <c r="DF72" s="242"/>
      <c r="DG72" s="242"/>
    </row>
    <row r="73" spans="1:111" hidden="1">
      <c r="A73" s="491" t="s">
        <v>111</v>
      </c>
      <c r="B73" s="491"/>
      <c r="C73" s="491"/>
      <c r="D73" s="491">
        <f>COUNTIF([0]!Oktober,"Fagdag")+COUNTIF([0]!Oktober,"emnedag")</f>
        <v>5</v>
      </c>
      <c r="E73" s="492"/>
      <c r="F73" s="491" t="s">
        <v>186</v>
      </c>
      <c r="G73" s="491">
        <f>COUNTIFS($B$14:$B$44,"fr",[0]!Oktober,"Skema 1")</f>
        <v>3</v>
      </c>
      <c r="H73" s="483"/>
      <c r="I73" s="638" t="s">
        <v>555</v>
      </c>
      <c r="J73" s="635"/>
      <c r="K73" s="496"/>
      <c r="L73" s="638"/>
      <c r="M73" s="641"/>
      <c r="N73" s="641"/>
      <c r="O73" s="4"/>
      <c r="P73" s="654"/>
      <c r="Q73" s="656">
        <f>IF(Stamoplysninger!$B$31="Weekendtimer og weekendtillæg afspadseres.",EE45+EF45-EG45-EH45+EI45+EJ45,0)</f>
        <v>0</v>
      </c>
      <c r="R73" s="733"/>
      <c r="S73" s="225"/>
      <c r="T73" s="225"/>
      <c r="U73" s="225"/>
      <c r="V73" s="225"/>
      <c r="W73" s="115"/>
      <c r="X73" s="115"/>
      <c r="Y73" s="233"/>
      <c r="Z73" s="233"/>
      <c r="AA73" s="233"/>
      <c r="AB73" s="233"/>
      <c r="AC73" s="233"/>
      <c r="AD73" s="211"/>
      <c r="AE73" s="241"/>
      <c r="AF73" s="211"/>
      <c r="AG73" s="241"/>
      <c r="AH73" s="241"/>
      <c r="AI73" s="233"/>
      <c r="AK73" s="233"/>
      <c r="AL73" s="233"/>
      <c r="AP73" s="87"/>
      <c r="AQ73" s="87"/>
      <c r="BX73" s="1"/>
      <c r="CU73" s="1"/>
      <c r="CY73"/>
      <c r="CZ73"/>
      <c r="DF73" s="242"/>
      <c r="DG73" s="242"/>
    </row>
    <row r="74" spans="1:111" hidden="1">
      <c r="A74" s="493" t="s">
        <v>110</v>
      </c>
      <c r="B74" s="491"/>
      <c r="C74" s="491"/>
      <c r="D74" s="491">
        <f>COUNTIF([0]!Oktober,"Lejrskole")+COUNTIF([0]!Oktober,"Ekskursion")</f>
        <v>0</v>
      </c>
      <c r="E74" s="492"/>
      <c r="F74" s="491"/>
      <c r="G74" s="491"/>
      <c r="H74" s="483"/>
      <c r="I74" s="638" t="s">
        <v>556</v>
      </c>
      <c r="J74" s="638"/>
      <c r="K74" s="638"/>
      <c r="L74" s="638"/>
      <c r="M74" s="642"/>
      <c r="N74" s="642"/>
      <c r="O74" s="4"/>
      <c r="P74" s="655">
        <f>IF(Stamoplysninger!$B$31="Weekendtimer og weekendtillæg udbetales.",EM45+EN45-EO45-EP45+EQ45+ER45,0)</f>
        <v>0</v>
      </c>
      <c r="Q74" s="656"/>
      <c r="R74" s="735"/>
      <c r="S74" s="225"/>
      <c r="T74" s="225"/>
      <c r="U74" s="225"/>
      <c r="V74" s="225"/>
      <c r="W74" s="115"/>
      <c r="X74" s="115"/>
      <c r="Y74" s="233"/>
      <c r="Z74" s="233"/>
      <c r="AA74" s="233"/>
      <c r="AB74" s="233"/>
      <c r="AC74" s="233"/>
      <c r="AD74" s="211"/>
      <c r="AE74" s="241"/>
      <c r="AF74" s="211"/>
      <c r="AG74" s="241"/>
      <c r="AH74" s="241"/>
      <c r="AI74" s="233"/>
      <c r="AK74" s="233"/>
      <c r="AL74" s="233"/>
      <c r="AP74" s="87"/>
      <c r="AQ74" s="87"/>
      <c r="BX74" s="1"/>
      <c r="CU74" s="1"/>
      <c r="CY74"/>
      <c r="CZ74"/>
      <c r="DF74" s="242"/>
      <c r="DG74" s="242"/>
    </row>
    <row r="75" spans="1:111" hidden="1">
      <c r="A75" s="491" t="s">
        <v>109</v>
      </c>
      <c r="B75" s="491"/>
      <c r="C75" s="491"/>
      <c r="D75" s="491">
        <f>COUNTIF([0]!Oktober,"Pæd.dag")</f>
        <v>0</v>
      </c>
      <c r="E75" s="492"/>
      <c r="F75" s="491" t="s">
        <v>188</v>
      </c>
      <c r="G75" s="491">
        <f>COUNTIFS($B$14:$B$44,"ma",[0]!Oktober,"Skema 2")</f>
        <v>0</v>
      </c>
      <c r="H75" s="483"/>
      <c r="I75" s="638" t="s">
        <v>557</v>
      </c>
      <c r="J75" s="638"/>
      <c r="K75" s="638"/>
      <c r="L75" s="638"/>
      <c r="M75" s="642"/>
      <c r="N75" s="642"/>
      <c r="O75" s="4"/>
      <c r="P75" s="654"/>
      <c r="Q75" s="656"/>
      <c r="R75" s="225"/>
      <c r="S75" s="225"/>
      <c r="T75" s="225"/>
      <c r="U75" s="225"/>
      <c r="V75" s="225"/>
      <c r="W75" s="115"/>
      <c r="X75" s="115"/>
      <c r="Y75" s="233"/>
      <c r="Z75" s="233"/>
      <c r="AA75" s="233"/>
      <c r="AB75" s="233"/>
      <c r="AC75" s="233"/>
      <c r="AD75" s="211"/>
      <c r="AE75" s="241"/>
      <c r="AG75" s="241"/>
      <c r="AH75" s="241"/>
      <c r="AI75" s="233"/>
      <c r="AK75" s="233"/>
      <c r="AL75" s="233"/>
      <c r="AP75" s="87"/>
      <c r="AQ75" s="87"/>
      <c r="BX75" s="1"/>
      <c r="CU75" s="1"/>
      <c r="CY75"/>
      <c r="CZ75"/>
      <c r="DF75" s="242"/>
      <c r="DG75" s="242"/>
    </row>
    <row r="76" spans="1:111" hidden="1">
      <c r="A76" s="491" t="s">
        <v>118</v>
      </c>
      <c r="B76" s="491"/>
      <c r="C76" s="491"/>
      <c r="D76" s="491">
        <f>COUNTIF([0]!Oktober,"Weekend")</f>
        <v>9</v>
      </c>
      <c r="E76" s="492"/>
      <c r="F76" s="491" t="s">
        <v>189</v>
      </c>
      <c r="G76" s="491">
        <f>COUNTIFS($B$14:$B$44,"ti",[0]!Oktober,"Skema 2")</f>
        <v>0</v>
      </c>
      <c r="H76" s="483"/>
      <c r="I76" s="638" t="s">
        <v>558</v>
      </c>
      <c r="J76" s="638"/>
      <c r="K76" s="638"/>
      <c r="L76" s="638"/>
      <c r="M76" s="643"/>
      <c r="N76" s="643"/>
      <c r="O76" s="4"/>
      <c r="P76" s="654"/>
      <c r="Q76" s="657">
        <f>IF(Stamoplysninger!$B$31="Der er indgået lokalaftale omkring weekendtimer.(Kræver aftale med TR/FSL) Weekendtillæg afspadseres.",EU45+EV45-EW45-EX45,0)</f>
        <v>0</v>
      </c>
      <c r="R76" s="737"/>
      <c r="S76" s="225"/>
      <c r="T76" s="225"/>
      <c r="U76" s="225"/>
      <c r="V76" s="225"/>
      <c r="W76" s="115"/>
      <c r="X76" s="115"/>
      <c r="Y76"/>
      <c r="Z76"/>
      <c r="AO76" s="1"/>
      <c r="BL76" s="1"/>
      <c r="BW76" s="242"/>
      <c r="BX76" s="242"/>
      <c r="CY76"/>
      <c r="CZ76"/>
    </row>
    <row r="77" spans="1:111" hidden="1">
      <c r="A77" s="491" t="s">
        <v>125</v>
      </c>
      <c r="B77" s="491"/>
      <c r="C77" s="491"/>
      <c r="D77" s="491">
        <f>COUNTIF([0]!Oktober,"SH-dag")</f>
        <v>0</v>
      </c>
      <c r="E77" s="492"/>
      <c r="F77" s="491" t="s">
        <v>190</v>
      </c>
      <c r="G77" s="491">
        <f>COUNTIFS($B$14:$B$44,"on",[0]!Oktober,"Skema 2")</f>
        <v>0</v>
      </c>
      <c r="H77" s="483"/>
      <c r="I77" s="638" t="s">
        <v>559</v>
      </c>
      <c r="J77" s="638"/>
      <c r="K77" s="638"/>
      <c r="L77" s="638"/>
      <c r="M77" s="643"/>
      <c r="N77" s="643"/>
      <c r="O77" s="4"/>
      <c r="P77" s="654">
        <f>IF(Stamoplysninger!$B$31="Der er indgået lokalaftale omkring weekendtimer(Kræver aftale med TR/FSL). Weekendtillæg udbetales.",EY45+EZ45-FA45-FB45,0)</f>
        <v>0</v>
      </c>
      <c r="Q77" s="656"/>
      <c r="R77" s="739"/>
      <c r="S77" s="225"/>
      <c r="T77" s="225"/>
      <c r="U77" s="225"/>
      <c r="V77" s="225"/>
      <c r="W77" s="115"/>
      <c r="X77" s="115"/>
      <c r="Y77"/>
      <c r="Z77"/>
      <c r="AO77" s="1"/>
      <c r="BL77" s="1"/>
      <c r="BW77" s="242"/>
      <c r="BX77" s="242"/>
      <c r="CY77"/>
      <c r="CZ77"/>
    </row>
    <row r="78" spans="1:111" hidden="1">
      <c r="A78" s="491" t="s">
        <v>108</v>
      </c>
      <c r="B78" s="491"/>
      <c r="C78" s="491"/>
      <c r="D78" s="491">
        <f>COUNTIF([0]!Oktober,"Feriedag")</f>
        <v>5</v>
      </c>
      <c r="E78" s="492"/>
      <c r="F78" s="491" t="s">
        <v>191</v>
      </c>
      <c r="G78" s="491">
        <f>COUNTIFS($B$14:$B$44,"to",[0]!Oktober,"Skema 2")</f>
        <v>0</v>
      </c>
      <c r="H78" s="483"/>
      <c r="I78" s="638" t="s">
        <v>560</v>
      </c>
      <c r="J78" s="638"/>
      <c r="K78" s="638"/>
      <c r="L78" s="638"/>
      <c r="M78" s="643"/>
      <c r="N78" s="643"/>
      <c r="O78" s="4"/>
      <c r="P78" s="654"/>
      <c r="Q78" s="610">
        <f>IF(Stamoplysninger!$B$31="Der er indgået lokalaftale omkring weekendtillæg(Kræver aftale med TR/FSL). Weekendtimerne afspadseres.",FC45+FD45-FE45-FF45,0)</f>
        <v>0</v>
      </c>
      <c r="R78" s="741"/>
      <c r="S78" s="38"/>
      <c r="T78" s="38"/>
      <c r="Y78"/>
      <c r="Z78"/>
      <c r="AO78" s="1"/>
      <c r="BL78" s="1"/>
      <c r="BW78" s="242"/>
      <c r="BX78" s="242"/>
      <c r="CY78"/>
      <c r="CZ78"/>
    </row>
    <row r="79" spans="1:111" hidden="1">
      <c r="A79" s="491" t="s">
        <v>175</v>
      </c>
      <c r="B79" s="491"/>
      <c r="C79" s="491"/>
      <c r="D79" s="491">
        <f>COUNTIF([0]!Oktober,"Nul-dag")</f>
        <v>0</v>
      </c>
      <c r="E79" s="492"/>
      <c r="F79" s="491" t="s">
        <v>192</v>
      </c>
      <c r="G79" s="491">
        <f>COUNTIFS($B$14:$B$44,"fr",[0]!Oktober,"Skema 2")</f>
        <v>0</v>
      </c>
      <c r="H79" s="483"/>
      <c r="I79" s="638" t="s">
        <v>561</v>
      </c>
      <c r="J79" s="638"/>
      <c r="K79" s="638"/>
      <c r="L79" s="638"/>
      <c r="M79" s="643"/>
      <c r="N79" s="643"/>
      <c r="O79" s="4"/>
      <c r="P79" s="654">
        <f>IF(Stamoplysninger!$B$31="Der er indgået lokalaftale omkring weekendtillæg(Kræver aftale med TR/FSL). Weekendtimerne udbetales.",FG45+FH45-FI45-FJ45,0)</f>
        <v>0</v>
      </c>
      <c r="Q79" s="610"/>
      <c r="R79" s="742"/>
      <c r="V79" t="s">
        <v>612</v>
      </c>
      <c r="Y79"/>
      <c r="Z79"/>
      <c r="AO79" s="1"/>
      <c r="BL79" s="1"/>
      <c r="BW79" s="242"/>
      <c r="BX79" s="242"/>
      <c r="CY79"/>
      <c r="CZ79"/>
    </row>
    <row r="80" spans="1:111" hidden="1">
      <c r="A80" s="488" t="s">
        <v>406</v>
      </c>
      <c r="B80" s="491"/>
      <c r="C80" s="491"/>
      <c r="D80" s="491">
        <f>COUNTIF([0]!Oktober,"Orlov")</f>
        <v>0</v>
      </c>
      <c r="E80" s="492"/>
      <c r="F80" s="494"/>
      <c r="G80" s="494"/>
      <c r="H80" s="489"/>
      <c r="I80" s="638" t="s">
        <v>567</v>
      </c>
      <c r="J80" s="638"/>
      <c r="K80" s="638"/>
      <c r="L80" s="638"/>
      <c r="M80" s="644"/>
      <c r="N80" s="644"/>
      <c r="O80" s="4"/>
      <c r="P80" s="637"/>
      <c r="R80" s="727">
        <f>IF(AND(C14="ikke relevant",S14="X"),V14*-1,0)</f>
        <v>0</v>
      </c>
      <c r="T80" s="727">
        <f>IF(AND(C14="ikke relevant",U14="X"),X14*-1,0)</f>
        <v>0</v>
      </c>
      <c r="V80">
        <f>IF(AND(C14="ikke relevant",H14&gt;""),R14*-1,0)</f>
        <v>0</v>
      </c>
      <c r="Y80"/>
      <c r="Z80"/>
      <c r="AO80" s="1"/>
      <c r="BL80" s="1"/>
      <c r="BW80" s="242"/>
      <c r="BX80" s="242"/>
      <c r="CY80"/>
      <c r="CZ80"/>
    </row>
    <row r="81" spans="1:104" hidden="1">
      <c r="A81" s="491" t="s">
        <v>158</v>
      </c>
      <c r="B81" s="491"/>
      <c r="C81" s="491"/>
      <c r="D81" s="491">
        <f>COUNTIF([0]!Oktober,"Ikke relevant")</f>
        <v>0</v>
      </c>
      <c r="E81" s="492"/>
      <c r="F81" s="491" t="s">
        <v>193</v>
      </c>
      <c r="G81" s="491">
        <f>COUNTIFS($B$14:$B$44,"ma",[0]!Oktober,"Skema 3")</f>
        <v>0</v>
      </c>
      <c r="H81" s="483"/>
      <c r="I81" s="638"/>
      <c r="J81" s="638"/>
      <c r="K81" s="638"/>
      <c r="L81" s="496"/>
      <c r="M81" s="644"/>
      <c r="N81" s="644"/>
      <c r="O81" s="4"/>
      <c r="P81" s="637"/>
      <c r="R81" s="727">
        <f t="shared" ref="R81:R109" si="44">IF(AND(C15="ikke relevant",S15="X"),V15*-1,0)</f>
        <v>0</v>
      </c>
      <c r="T81" s="727">
        <f t="shared" ref="T81:T110" si="45">IF(AND(C15="ikke relevant",U15="X"),X15*-1,0)</f>
        <v>0</v>
      </c>
      <c r="V81">
        <f t="shared" ref="V81:V110" si="46">IF(AND(C15="ikke relevant",H15&gt;""),R15*-1,0)</f>
        <v>0</v>
      </c>
      <c r="Y81"/>
      <c r="Z81"/>
      <c r="AO81" s="1"/>
      <c r="BL81" s="1"/>
      <c r="BW81" s="242"/>
      <c r="BX81" s="242"/>
      <c r="CY81"/>
      <c r="CZ81"/>
    </row>
    <row r="82" spans="1:104" hidden="1">
      <c r="A82" s="491" t="s">
        <v>107</v>
      </c>
      <c r="B82" s="491"/>
      <c r="C82" s="491"/>
      <c r="D82" s="491">
        <f>SUM(D69:D81)</f>
        <v>31</v>
      </c>
      <c r="E82" s="491"/>
      <c r="F82" s="491" t="s">
        <v>194</v>
      </c>
      <c r="G82" s="491">
        <f>COUNTIFS($B$14:$B$44,"ti",[0]!Oktober,"Skema 3")</f>
        <v>0</v>
      </c>
      <c r="H82" s="483"/>
      <c r="I82" s="638"/>
      <c r="J82" s="638"/>
      <c r="K82" s="638"/>
      <c r="L82" s="496"/>
      <c r="M82" s="644"/>
      <c r="N82" s="644"/>
      <c r="O82" s="4"/>
      <c r="P82" s="637"/>
      <c r="R82" s="727">
        <f t="shared" si="44"/>
        <v>0</v>
      </c>
      <c r="T82" s="727">
        <f t="shared" si="45"/>
        <v>0</v>
      </c>
      <c r="V82">
        <f t="shared" si="46"/>
        <v>0</v>
      </c>
      <c r="Y82"/>
      <c r="Z82"/>
      <c r="AO82" s="1"/>
      <c r="BL82" s="1"/>
      <c r="BW82" s="242"/>
      <c r="BX82" s="242"/>
      <c r="CY82"/>
      <c r="CZ82"/>
    </row>
    <row r="83" spans="1:104" hidden="1">
      <c r="A83" s="491" t="s">
        <v>236</v>
      </c>
      <c r="B83" s="491"/>
      <c r="C83" s="491"/>
      <c r="D83" s="491">
        <f>D82-D76-A92-D81</f>
        <v>22</v>
      </c>
      <c r="E83" s="495"/>
      <c r="F83" s="491" t="s">
        <v>195</v>
      </c>
      <c r="G83" s="491">
        <f>COUNTIFS($B$14:$B$44,"on",[0]!Oktober,"Skema 3")</f>
        <v>0</v>
      </c>
      <c r="H83" s="483"/>
      <c r="I83" s="638"/>
      <c r="J83" s="638"/>
      <c r="K83" s="638"/>
      <c r="L83" s="496"/>
      <c r="M83" s="644"/>
      <c r="N83" s="644"/>
      <c r="O83" s="4"/>
      <c r="P83" s="637"/>
      <c r="R83" s="727">
        <f t="shared" si="44"/>
        <v>0</v>
      </c>
      <c r="T83" s="727">
        <f t="shared" si="45"/>
        <v>0</v>
      </c>
      <c r="V83">
        <f t="shared" si="46"/>
        <v>0</v>
      </c>
      <c r="Y83"/>
      <c r="Z83"/>
      <c r="AO83" s="1"/>
      <c r="BL83" s="1"/>
      <c r="BW83" s="242"/>
      <c r="BX83" s="242"/>
      <c r="CY83"/>
      <c r="CZ83"/>
    </row>
    <row r="84" spans="1:104" hidden="1">
      <c r="A84" s="491"/>
      <c r="B84" s="491"/>
      <c r="C84" s="491"/>
      <c r="D84" s="491"/>
      <c r="E84" s="491"/>
      <c r="F84" s="491" t="s">
        <v>196</v>
      </c>
      <c r="G84" s="491">
        <f>COUNTIFS($B$14:$B$44,"to",[0]!Oktober,"Skema 3")</f>
        <v>0</v>
      </c>
      <c r="H84" s="483"/>
      <c r="I84" s="640"/>
      <c r="J84" s="638"/>
      <c r="K84" s="638"/>
      <c r="L84" s="496"/>
      <c r="M84" s="636"/>
      <c r="N84" s="636"/>
      <c r="O84" s="4"/>
      <c r="P84" s="637"/>
      <c r="R84" s="727">
        <f t="shared" si="44"/>
        <v>0</v>
      </c>
      <c r="T84" s="727">
        <f t="shared" si="45"/>
        <v>0</v>
      </c>
      <c r="V84">
        <f t="shared" si="46"/>
        <v>0</v>
      </c>
      <c r="Y84"/>
      <c r="Z84"/>
      <c r="AO84" s="1"/>
      <c r="BL84" s="1"/>
      <c r="BW84" s="242"/>
      <c r="BX84" s="242"/>
      <c r="CY84"/>
      <c r="CZ84"/>
    </row>
    <row r="85" spans="1:104" hidden="1">
      <c r="A85" s="491"/>
      <c r="B85" s="491"/>
      <c r="C85" s="491"/>
      <c r="D85" s="491"/>
      <c r="E85" s="491"/>
      <c r="F85" s="491" t="s">
        <v>197</v>
      </c>
      <c r="G85" s="491">
        <f>COUNTIFS($B$14:$B$44,"fr",[0]!Oktober,"Skema 3")</f>
        <v>0</v>
      </c>
      <c r="H85" s="483"/>
      <c r="I85" s="491"/>
      <c r="J85" s="496"/>
      <c r="K85" s="496"/>
      <c r="L85" s="496"/>
      <c r="M85" s="4"/>
      <c r="N85" s="4"/>
      <c r="O85" s="4"/>
      <c r="P85" s="4"/>
      <c r="R85" s="727">
        <f t="shared" si="44"/>
        <v>0</v>
      </c>
      <c r="T85" s="727">
        <f t="shared" si="45"/>
        <v>0</v>
      </c>
      <c r="V85">
        <f t="shared" si="46"/>
        <v>0</v>
      </c>
      <c r="Y85"/>
      <c r="Z85"/>
      <c r="AO85" s="1"/>
      <c r="BL85" s="1"/>
      <c r="BW85" s="242"/>
      <c r="BX85" s="242"/>
      <c r="CY85"/>
      <c r="CZ85"/>
    </row>
    <row r="86" spans="1:104" hidden="1">
      <c r="A86" s="491" t="s">
        <v>289</v>
      </c>
      <c r="B86" s="491"/>
      <c r="C86" s="491"/>
      <c r="D86" s="491"/>
      <c r="E86" s="491"/>
      <c r="F86" s="491"/>
      <c r="G86" s="491"/>
      <c r="H86" s="483"/>
      <c r="I86" s="491"/>
      <c r="J86" s="496"/>
      <c r="K86" s="496"/>
      <c r="L86" s="496"/>
      <c r="M86" s="4"/>
      <c r="N86" s="4"/>
      <c r="O86" s="4"/>
      <c r="P86" s="4"/>
      <c r="R86" s="727">
        <f t="shared" si="44"/>
        <v>0</v>
      </c>
      <c r="T86" s="727">
        <f t="shared" si="45"/>
        <v>0</v>
      </c>
      <c r="V86">
        <f t="shared" si="46"/>
        <v>0</v>
      </c>
      <c r="Y86"/>
      <c r="Z86"/>
      <c r="AO86" s="1"/>
      <c r="BL86" s="1"/>
      <c r="BW86" s="242"/>
      <c r="BX86" s="242"/>
      <c r="CY86"/>
      <c r="CZ86"/>
    </row>
    <row r="87" spans="1:104" hidden="1">
      <c r="A87" s="491">
        <f>COUNTIF(C16:C17,"Skema 1")+COUNTIF(C16:C17,"Skema 2")+COUNTIF(C16:C17,"Skema 3")+COUNTIF(C16:C17,"Skema 4")+COUNTIF(C16:C17,"Fagdag")+COUNTIF(C16:C17,"Emnedag")+COUNTIF(C16:C17,"Lejrskole")+COUNTIF(C16:C17,"Ekskursion")+COUNTIF(C16:C17,"Pæd.dag")</f>
        <v>0</v>
      </c>
      <c r="B87" s="491"/>
      <c r="C87" s="491"/>
      <c r="D87" s="491"/>
      <c r="E87" s="491"/>
      <c r="F87" s="491" t="s">
        <v>198</v>
      </c>
      <c r="G87" s="491">
        <f>COUNTIFS($B$14:$B$44,"ma",[0]!Oktober,"Skema 4")</f>
        <v>0</v>
      </c>
      <c r="H87" s="483"/>
      <c r="I87" s="491"/>
      <c r="J87" s="496"/>
      <c r="K87" s="496"/>
      <c r="L87" s="496"/>
      <c r="M87" s="4"/>
      <c r="N87" s="4"/>
      <c r="O87" s="4"/>
      <c r="P87" s="4"/>
      <c r="R87" s="727">
        <f t="shared" si="44"/>
        <v>0</v>
      </c>
      <c r="T87" s="727">
        <f t="shared" si="45"/>
        <v>0</v>
      </c>
      <c r="V87">
        <f t="shared" si="46"/>
        <v>0</v>
      </c>
      <c r="Y87"/>
      <c r="Z87"/>
      <c r="AO87" s="1"/>
      <c r="BL87" s="1"/>
      <c r="BW87" s="242"/>
      <c r="BX87" s="242"/>
      <c r="CY87"/>
      <c r="CZ87"/>
    </row>
    <row r="88" spans="1:104" hidden="1">
      <c r="A88" s="491">
        <f>COUNTIF(C23:C24,"Skema 1")+COUNTIF(C23:C24,"Skema 2")+COUNTIF(C23:C24,"Skema 3")+COUNTIF(C23:C24,"Skema 4")+COUNTIF(C23:C24,"Fagdag")+COUNTIF(C23:C24,"Emnedag")+COUNTIF(C23:C24,"Lejrskole")+COUNTIF(C23:C24,"Ekskursion")+COUNTIF(C23:C24,"Pæd.dag")</f>
        <v>0</v>
      </c>
      <c r="B88" s="491"/>
      <c r="C88" s="491"/>
      <c r="D88" s="491"/>
      <c r="E88" s="491"/>
      <c r="F88" s="491" t="s">
        <v>199</v>
      </c>
      <c r="G88" s="491">
        <f>COUNTIFS($B$14:$B$44,"ti",[0]!Oktober,"Skema 4")</f>
        <v>0</v>
      </c>
      <c r="H88" s="483"/>
      <c r="I88" s="491"/>
      <c r="J88" s="496"/>
      <c r="K88" s="496"/>
      <c r="L88" s="496"/>
      <c r="M88" s="4"/>
      <c r="N88" s="4"/>
      <c r="O88" s="4"/>
      <c r="P88" s="4"/>
      <c r="R88" s="727">
        <f t="shared" si="44"/>
        <v>0</v>
      </c>
      <c r="T88" s="727">
        <f t="shared" si="45"/>
        <v>0</v>
      </c>
      <c r="V88">
        <f t="shared" si="46"/>
        <v>0</v>
      </c>
      <c r="Y88"/>
      <c r="Z88"/>
      <c r="AO88" s="1"/>
      <c r="BL88" s="1"/>
      <c r="BW88" s="242"/>
      <c r="BX88" s="242"/>
      <c r="CY88"/>
      <c r="CZ88"/>
    </row>
    <row r="89" spans="1:104" hidden="1">
      <c r="A89" s="491">
        <f>COUNTIF(C30:C31,"Skema 1")+COUNTIF(C30:C31,"Skema 2")+COUNTIF(C30:C31,"Skema 3")+COUNTIF(C30:C31,"Skema 4")+COUNTIF(C30:C31,"Fagdag")+COUNTIF(C30:C31,"Emnedag")+COUNTIF(C30:C31,"Lejrskole")+COUNTIF(C30:C31,"Ekskursion")+COUNTIF(C30:C31,"Pæd.dag")</f>
        <v>0</v>
      </c>
      <c r="B89" s="491"/>
      <c r="C89" s="491"/>
      <c r="D89" s="491"/>
      <c r="E89" s="491"/>
      <c r="F89" s="491" t="s">
        <v>200</v>
      </c>
      <c r="G89" s="491">
        <f>COUNTIFS($B$14:$B$44,"on",[0]!Oktober,"Skema 4")</f>
        <v>0</v>
      </c>
      <c r="H89" s="483"/>
      <c r="I89" s="491"/>
      <c r="J89" s="496"/>
      <c r="K89" s="496"/>
      <c r="L89" s="496"/>
      <c r="M89" s="4"/>
      <c r="N89" s="4"/>
      <c r="O89" s="4"/>
      <c r="P89" s="4"/>
      <c r="R89" s="727">
        <f t="shared" si="44"/>
        <v>0</v>
      </c>
      <c r="T89" s="727">
        <f t="shared" si="45"/>
        <v>0</v>
      </c>
      <c r="V89">
        <f t="shared" si="46"/>
        <v>0</v>
      </c>
      <c r="Y89"/>
      <c r="Z89"/>
      <c r="AO89" s="1"/>
      <c r="BL89" s="1"/>
      <c r="BW89" s="242"/>
      <c r="BX89" s="242"/>
      <c r="CY89"/>
      <c r="CZ89"/>
    </row>
    <row r="90" spans="1:104" hidden="1">
      <c r="A90" s="491">
        <f>COUNTIF(C37:C38,"Skema 1")+COUNTIF(C37:C38,"Skema 2")+COUNTIF(C37:C38,"Skema 3")+COUNTIF(C37:C38,"Skema 4")+COUNTIF(C37:C38,"Fagdag")+COUNTIF(C37:C38,"Emnedag")+COUNTIF(C37:C38,"Lejrskole")+COUNTIF(C37:C38,"Ekskursion")+COUNTIF(C37:C38,"Pæd.dag")</f>
        <v>0</v>
      </c>
      <c r="B90" s="491"/>
      <c r="C90" s="491"/>
      <c r="D90" s="491"/>
      <c r="E90" s="491"/>
      <c r="F90" s="491" t="s">
        <v>201</v>
      </c>
      <c r="G90" s="491">
        <f>COUNTIFS($B$14:$B$44,"to",[0]!Oktober,"Skema 4")</f>
        <v>0</v>
      </c>
      <c r="H90" s="483"/>
      <c r="I90" s="491"/>
      <c r="J90" s="496"/>
      <c r="K90" s="496"/>
      <c r="L90" s="496"/>
      <c r="M90" s="4"/>
      <c r="N90" s="4"/>
      <c r="O90" s="4"/>
      <c r="P90" s="4"/>
      <c r="R90" s="727">
        <f t="shared" si="44"/>
        <v>0</v>
      </c>
      <c r="T90" s="727">
        <f t="shared" si="45"/>
        <v>0</v>
      </c>
      <c r="V90">
        <f t="shared" si="46"/>
        <v>0</v>
      </c>
      <c r="Y90"/>
      <c r="Z90"/>
      <c r="AO90" s="1">
        <f>SUM(N90:AN90)</f>
        <v>0</v>
      </c>
      <c r="BL90" s="1">
        <f>SUM(AI90:BK90)</f>
        <v>0</v>
      </c>
      <c r="BW90" s="242"/>
      <c r="BX90" s="242"/>
      <c r="CY90"/>
      <c r="CZ90"/>
    </row>
    <row r="91" spans="1:104" hidden="1">
      <c r="A91" s="491">
        <f>COUNTIF(C44,"Skema 1")+COUNTIF(C44,"Skema 2")+COUNTIF(C44,"Skema 3")+COUNTIF(C44,"Skema 4")+COUNTIF(C44,"Fagdag")+COUNTIF(C44,"Emnedag")+COUNTIF(C44,"Lejrskole")+COUNTIF(C44,"Ekskursion")+COUNTIF(C44,"Pæd.dag")</f>
        <v>0</v>
      </c>
      <c r="B91" s="491"/>
      <c r="C91" s="491"/>
      <c r="D91" s="491"/>
      <c r="E91" s="491"/>
      <c r="F91" s="491" t="s">
        <v>202</v>
      </c>
      <c r="G91" s="491">
        <f>COUNTIFS($B$14:$B$44,"fr",[0]!Oktober,"Skema 4")</f>
        <v>0</v>
      </c>
      <c r="H91" s="483"/>
      <c r="I91" s="483"/>
      <c r="J91" s="486"/>
      <c r="K91" s="486"/>
      <c r="L91" s="38"/>
      <c r="R91" s="727">
        <f t="shared" si="44"/>
        <v>0</v>
      </c>
      <c r="T91" s="727">
        <f t="shared" si="45"/>
        <v>0</v>
      </c>
      <c r="V91">
        <f t="shared" si="46"/>
        <v>0</v>
      </c>
      <c r="Y91"/>
      <c r="Z91"/>
      <c r="AO91" s="1">
        <f>SUM(N91:AN91)</f>
        <v>0</v>
      </c>
      <c r="BL91" s="1">
        <f>SUM(AI91:BK91)</f>
        <v>0</v>
      </c>
      <c r="BW91" s="242"/>
      <c r="BX91" s="242"/>
      <c r="CY91"/>
      <c r="CZ91"/>
    </row>
    <row r="92" spans="1:104" hidden="1">
      <c r="A92" s="491">
        <f>SUM(A87:A91)</f>
        <v>0</v>
      </c>
      <c r="B92" s="491"/>
      <c r="C92" s="491"/>
      <c r="D92" s="491"/>
      <c r="E92" s="491"/>
      <c r="F92" s="491"/>
      <c r="G92" s="504">
        <f>SUM(G69:G91)</f>
        <v>12</v>
      </c>
      <c r="H92" s="486"/>
      <c r="I92" s="483"/>
      <c r="J92" s="486"/>
      <c r="K92" s="486"/>
      <c r="L92" s="38"/>
      <c r="R92" s="727">
        <f t="shared" si="44"/>
        <v>0</v>
      </c>
      <c r="T92" s="727">
        <f t="shared" si="45"/>
        <v>0</v>
      </c>
      <c r="V92">
        <f t="shared" si="46"/>
        <v>0</v>
      </c>
      <c r="Y92"/>
      <c r="Z92"/>
      <c r="AO92" s="1">
        <f>SUM(N92:AN92)</f>
        <v>0</v>
      </c>
      <c r="BL92" s="1">
        <f>SUM(AI92:BK92)</f>
        <v>0</v>
      </c>
      <c r="BW92" s="242"/>
      <c r="BX92" s="242"/>
      <c r="CY92"/>
      <c r="CZ92"/>
    </row>
    <row r="93" spans="1:104" hidden="1">
      <c r="A93" s="496"/>
      <c r="B93" s="496"/>
      <c r="C93" s="496"/>
      <c r="D93" s="496"/>
      <c r="E93" s="491"/>
      <c r="F93" s="491"/>
      <c r="G93" s="491"/>
      <c r="H93" s="38"/>
      <c r="I93" s="486"/>
      <c r="J93" s="486"/>
      <c r="K93" s="486"/>
      <c r="L93" s="38"/>
      <c r="R93" s="727">
        <f t="shared" si="44"/>
        <v>0</v>
      </c>
      <c r="T93" s="727">
        <f t="shared" si="45"/>
        <v>0</v>
      </c>
      <c r="V93">
        <f t="shared" si="46"/>
        <v>0</v>
      </c>
      <c r="Y93"/>
      <c r="Z93"/>
      <c r="AO93" s="1">
        <f>SUM(N93:AN93)</f>
        <v>0</v>
      </c>
      <c r="BL93" s="1">
        <f>SUM(AI93:BK93)</f>
        <v>0</v>
      </c>
      <c r="BW93" s="242"/>
      <c r="BX93" s="242"/>
      <c r="CY93"/>
      <c r="CZ93"/>
    </row>
    <row r="94" spans="1:104" hidden="1">
      <c r="A94" s="496"/>
      <c r="B94" s="496"/>
      <c r="C94" s="496"/>
      <c r="D94" s="496"/>
      <c r="E94" s="491"/>
      <c r="F94" s="491"/>
      <c r="G94" s="491"/>
      <c r="H94" s="38"/>
      <c r="I94" s="38"/>
      <c r="J94" s="486"/>
      <c r="K94" s="486"/>
      <c r="L94" s="38"/>
      <c r="R94" s="727">
        <f t="shared" si="44"/>
        <v>0</v>
      </c>
      <c r="T94" s="727">
        <f t="shared" si="45"/>
        <v>0</v>
      </c>
      <c r="V94">
        <f t="shared" si="46"/>
        <v>0</v>
      </c>
      <c r="Y94"/>
      <c r="Z94"/>
      <c r="BW94" s="242"/>
      <c r="BX94" s="242"/>
      <c r="CY94"/>
      <c r="CZ94"/>
    </row>
    <row r="95" spans="1:104" hidden="1">
      <c r="A95" s="496"/>
      <c r="B95" s="496"/>
      <c r="C95" s="496"/>
      <c r="D95" s="496"/>
      <c r="E95" s="491"/>
      <c r="F95" s="491"/>
      <c r="G95" s="491"/>
      <c r="H95" s="38"/>
      <c r="I95" s="38"/>
      <c r="J95" s="38"/>
      <c r="K95" s="38"/>
      <c r="L95" s="38"/>
      <c r="R95" s="727">
        <f t="shared" si="44"/>
        <v>0</v>
      </c>
      <c r="T95" s="727">
        <f t="shared" si="45"/>
        <v>0</v>
      </c>
      <c r="V95">
        <f t="shared" si="46"/>
        <v>0</v>
      </c>
      <c r="Y95"/>
      <c r="Z95"/>
      <c r="BW95" s="242"/>
      <c r="BX95" s="242"/>
      <c r="CY95"/>
      <c r="CZ95"/>
    </row>
    <row r="96" spans="1:104" hidden="1">
      <c r="A96" s="496"/>
      <c r="B96" s="496"/>
      <c r="C96" s="496"/>
      <c r="D96" s="496"/>
      <c r="E96" s="491"/>
      <c r="F96" s="491"/>
      <c r="G96" s="491"/>
      <c r="H96" s="38"/>
      <c r="I96" s="38"/>
      <c r="J96" s="38"/>
      <c r="K96" s="38"/>
      <c r="L96" s="38"/>
      <c r="R96" s="727">
        <f t="shared" si="44"/>
        <v>0</v>
      </c>
      <c r="T96" s="727">
        <f t="shared" si="45"/>
        <v>0</v>
      </c>
      <c r="V96">
        <f t="shared" si="46"/>
        <v>0</v>
      </c>
      <c r="Y96"/>
      <c r="Z96"/>
      <c r="BW96" s="242"/>
      <c r="BX96" s="242"/>
      <c r="CY96"/>
      <c r="CZ96"/>
    </row>
    <row r="97" spans="1:111" hidden="1">
      <c r="A97" s="496"/>
      <c r="B97" s="496"/>
      <c r="C97" s="496"/>
      <c r="D97" s="496"/>
      <c r="E97" s="483"/>
      <c r="F97" s="483"/>
      <c r="G97" s="483"/>
      <c r="I97" s="38"/>
      <c r="J97" s="38"/>
      <c r="K97" s="38"/>
      <c r="L97" s="38"/>
      <c r="R97" s="727">
        <f t="shared" si="44"/>
        <v>0</v>
      </c>
      <c r="T97" s="727">
        <f t="shared" si="45"/>
        <v>0</v>
      </c>
      <c r="V97">
        <f t="shared" si="46"/>
        <v>0</v>
      </c>
      <c r="Y97"/>
      <c r="Z97"/>
      <c r="BW97" s="242"/>
      <c r="BX97" s="242"/>
      <c r="CY97"/>
      <c r="CZ97"/>
    </row>
    <row r="98" spans="1:111" hidden="1">
      <c r="A98" s="486"/>
      <c r="B98" s="486"/>
      <c r="C98" s="486"/>
      <c r="D98" s="486"/>
      <c r="E98" s="483"/>
      <c r="F98" s="483"/>
      <c r="G98" s="483"/>
      <c r="I98" s="38"/>
      <c r="J98" s="38"/>
      <c r="K98" s="38"/>
      <c r="L98" s="38"/>
      <c r="R98" s="727">
        <f t="shared" si="44"/>
        <v>0</v>
      </c>
      <c r="T98" s="727">
        <f t="shared" si="45"/>
        <v>0</v>
      </c>
      <c r="V98">
        <f t="shared" si="46"/>
        <v>0</v>
      </c>
      <c r="Y98"/>
      <c r="Z98"/>
      <c r="AF98" s="226"/>
      <c r="BW98" s="242"/>
      <c r="BX98" s="242"/>
      <c r="CY98"/>
      <c r="CZ98"/>
    </row>
    <row r="99" spans="1:111" hidden="1">
      <c r="A99" s="486"/>
      <c r="B99" s="486"/>
      <c r="C99" s="486"/>
      <c r="D99" s="486"/>
      <c r="E99" s="483"/>
      <c r="F99" s="483"/>
      <c r="G99" s="483"/>
      <c r="I99" s="38"/>
      <c r="J99" s="38"/>
      <c r="K99" s="38"/>
      <c r="L99" s="38"/>
      <c r="R99" s="727">
        <f t="shared" si="44"/>
        <v>0</v>
      </c>
      <c r="T99" s="727">
        <f t="shared" si="45"/>
        <v>0</v>
      </c>
      <c r="V99">
        <f t="shared" si="46"/>
        <v>0</v>
      </c>
      <c r="Y99"/>
      <c r="Z99"/>
      <c r="AD99" s="4"/>
      <c r="AE99" s="226"/>
      <c r="AF99" s="226"/>
      <c r="AG99" s="226"/>
      <c r="AH99" s="226"/>
      <c r="CY99"/>
      <c r="CZ99"/>
      <c r="DF99" s="242"/>
      <c r="DG99" s="242"/>
    </row>
    <row r="100" spans="1:111" hidden="1">
      <c r="A100" s="486"/>
      <c r="B100" s="486"/>
      <c r="C100" s="486"/>
      <c r="D100" s="486"/>
      <c r="E100" s="483"/>
      <c r="F100" s="483"/>
      <c r="G100" s="483"/>
      <c r="I100" s="38"/>
      <c r="J100" s="38"/>
      <c r="K100" s="38"/>
      <c r="L100" s="38"/>
      <c r="R100" s="727">
        <f t="shared" si="44"/>
        <v>0</v>
      </c>
      <c r="T100" s="727">
        <f t="shared" si="45"/>
        <v>0</v>
      </c>
      <c r="V100">
        <f t="shared" si="46"/>
        <v>0</v>
      </c>
      <c r="Y100"/>
      <c r="Z100"/>
      <c r="AD100" s="4"/>
      <c r="AE100" s="226"/>
      <c r="AG100" s="226"/>
      <c r="AH100" s="226"/>
      <c r="CY100"/>
      <c r="CZ100"/>
      <c r="DF100" s="242"/>
      <c r="DG100" s="242"/>
    </row>
    <row r="101" spans="1:111" hidden="1">
      <c r="A101" s="432"/>
      <c r="B101" s="432"/>
      <c r="C101" s="432"/>
      <c r="D101" s="432"/>
      <c r="E101" s="115"/>
      <c r="F101" s="115"/>
      <c r="G101" s="115"/>
      <c r="I101" s="38"/>
      <c r="J101" s="38"/>
      <c r="K101" s="38"/>
      <c r="L101" s="38"/>
      <c r="R101" s="727">
        <f t="shared" si="44"/>
        <v>0</v>
      </c>
      <c r="T101" s="727">
        <f t="shared" si="45"/>
        <v>0</v>
      </c>
      <c r="V101">
        <f t="shared" si="46"/>
        <v>0</v>
      </c>
    </row>
    <row r="102" spans="1:111" hidden="1">
      <c r="A102" s="432"/>
      <c r="B102" s="432"/>
      <c r="C102" s="432"/>
      <c r="D102" s="432"/>
      <c r="E102" s="115"/>
      <c r="F102" s="115"/>
      <c r="G102" s="115"/>
      <c r="I102" s="38"/>
      <c r="J102" s="38"/>
      <c r="K102" s="38"/>
      <c r="L102" s="38"/>
      <c r="R102" s="727">
        <f t="shared" si="44"/>
        <v>0</v>
      </c>
      <c r="T102" s="727">
        <f t="shared" si="45"/>
        <v>0</v>
      </c>
      <c r="V102">
        <f t="shared" si="46"/>
        <v>0</v>
      </c>
    </row>
    <row r="103" spans="1:111" hidden="1">
      <c r="A103" s="432"/>
      <c r="B103" s="432"/>
      <c r="C103" s="432"/>
      <c r="D103" s="432"/>
      <c r="E103" s="432"/>
      <c r="F103" s="432"/>
      <c r="G103" s="432"/>
      <c r="I103" s="38"/>
      <c r="J103" s="38"/>
      <c r="K103" s="38"/>
      <c r="L103" s="38"/>
      <c r="R103" s="727">
        <f t="shared" si="44"/>
        <v>0</v>
      </c>
      <c r="T103" s="727">
        <f t="shared" si="45"/>
        <v>0</v>
      </c>
      <c r="V103">
        <f t="shared" si="46"/>
        <v>0</v>
      </c>
    </row>
    <row r="104" spans="1:111" hidden="1">
      <c r="A104" s="432"/>
      <c r="B104" s="432"/>
      <c r="C104" s="432"/>
      <c r="D104" s="432"/>
      <c r="E104" s="432"/>
      <c r="F104" s="432"/>
      <c r="G104" s="432"/>
      <c r="I104" s="38"/>
      <c r="J104" s="38"/>
      <c r="K104" s="38"/>
      <c r="L104" s="38"/>
      <c r="R104" s="727">
        <f t="shared" si="44"/>
        <v>0</v>
      </c>
      <c r="T104" s="727">
        <f t="shared" si="45"/>
        <v>0</v>
      </c>
      <c r="V104">
        <f t="shared" si="46"/>
        <v>0</v>
      </c>
    </row>
    <row r="105" spans="1:111" hidden="1">
      <c r="A105" s="432"/>
      <c r="B105" s="432"/>
      <c r="C105" s="432"/>
      <c r="D105" s="432"/>
      <c r="E105" s="432"/>
      <c r="F105" s="432"/>
      <c r="G105" s="432"/>
      <c r="I105" s="38"/>
      <c r="J105" s="38"/>
      <c r="K105" s="38"/>
      <c r="L105" s="432"/>
      <c r="R105" s="727">
        <f t="shared" si="44"/>
        <v>0</v>
      </c>
      <c r="T105" s="727">
        <f t="shared" si="45"/>
        <v>0</v>
      </c>
      <c r="V105">
        <f t="shared" si="46"/>
        <v>0</v>
      </c>
    </row>
    <row r="106" spans="1:111" hidden="1">
      <c r="A106" s="432"/>
      <c r="B106" s="432"/>
      <c r="C106" s="432"/>
      <c r="D106" s="432"/>
      <c r="I106" s="38"/>
      <c r="J106" s="38"/>
      <c r="K106" s="38"/>
      <c r="L106" s="432"/>
      <c r="R106" s="727">
        <f t="shared" si="44"/>
        <v>0</v>
      </c>
      <c r="T106" s="727">
        <f t="shared" si="45"/>
        <v>0</v>
      </c>
      <c r="V106">
        <f t="shared" si="46"/>
        <v>0</v>
      </c>
    </row>
    <row r="107" spans="1:111" hidden="1">
      <c r="I107" s="38"/>
      <c r="J107" s="38"/>
      <c r="K107" s="38"/>
      <c r="L107" s="432"/>
      <c r="R107" s="727">
        <f t="shared" si="44"/>
        <v>0</v>
      </c>
      <c r="T107" s="727">
        <f t="shared" si="45"/>
        <v>0</v>
      </c>
      <c r="V107">
        <f t="shared" si="46"/>
        <v>0</v>
      </c>
    </row>
    <row r="108" spans="1:111" hidden="1">
      <c r="I108" s="432"/>
      <c r="J108" s="38"/>
      <c r="K108" s="38"/>
      <c r="L108" s="432"/>
      <c r="R108" s="727">
        <f t="shared" si="44"/>
        <v>0</v>
      </c>
      <c r="T108" s="727">
        <f t="shared" si="45"/>
        <v>0</v>
      </c>
      <c r="V108">
        <f t="shared" si="46"/>
        <v>0</v>
      </c>
    </row>
    <row r="109" spans="1:111" hidden="1">
      <c r="I109" s="432"/>
      <c r="J109" s="432"/>
      <c r="K109" s="432"/>
      <c r="L109" s="432"/>
      <c r="R109" s="727">
        <f t="shared" si="44"/>
        <v>0</v>
      </c>
      <c r="T109" s="727">
        <f t="shared" si="45"/>
        <v>0</v>
      </c>
      <c r="V109">
        <f t="shared" si="46"/>
        <v>0</v>
      </c>
    </row>
    <row r="110" spans="1:111" ht="17" hidden="1" thickBot="1">
      <c r="I110" s="432"/>
      <c r="J110" s="432"/>
      <c r="K110" s="432"/>
      <c r="L110" s="432"/>
      <c r="R110" s="727">
        <f>IF(AND(C44="ikke relevant",S44="X"),V44*-1,0)</f>
        <v>0</v>
      </c>
      <c r="T110" s="727">
        <f t="shared" si="45"/>
        <v>0</v>
      </c>
      <c r="V110">
        <f t="shared" si="46"/>
        <v>0</v>
      </c>
    </row>
    <row r="111" spans="1:111" ht="17" hidden="1" thickBot="1">
      <c r="I111" s="432"/>
      <c r="J111" s="432"/>
      <c r="K111" s="432"/>
      <c r="L111" s="432"/>
      <c r="P111" t="s">
        <v>664</v>
      </c>
      <c r="R111" s="669">
        <f>SUM(R80:R110)</f>
        <v>0</v>
      </c>
      <c r="S111" s="669">
        <f>SUM(S80:S110)</f>
        <v>0</v>
      </c>
      <c r="T111" s="669">
        <f>SUM(T80:T110)</f>
        <v>0</v>
      </c>
      <c r="V111">
        <f>SUM(V80:V110)</f>
        <v>0</v>
      </c>
    </row>
    <row r="112" spans="1:111" hidden="1">
      <c r="I112" s="432"/>
      <c r="J112" s="432"/>
      <c r="K112" s="432"/>
      <c r="L112" s="432"/>
      <c r="R112" s="1030" t="s">
        <v>666</v>
      </c>
      <c r="T112" s="1030" t="s">
        <v>667</v>
      </c>
    </row>
    <row r="113" spans="18:20" hidden="1">
      <c r="R113" s="884"/>
      <c r="T113" s="884"/>
    </row>
    <row r="114" spans="18:20" hidden="1">
      <c r="R114" s="884"/>
      <c r="T114" s="884"/>
    </row>
    <row r="115" spans="18:20" hidden="1">
      <c r="R115" s="884"/>
      <c r="T115" s="884"/>
    </row>
    <row r="116" spans="18:20" hidden="1"/>
    <row r="117" spans="18:20" hidden="1"/>
    <row r="118" spans="18:20" hidden="1"/>
    <row r="119" spans="18:20" hidden="1"/>
    <row r="120" spans="18:20" hidden="1"/>
    <row r="121" spans="18:20" hidden="1"/>
    <row r="122" spans="18:20" hidden="1"/>
  </sheetData>
  <sheetProtection sheet="1" objects="1" scenarios="1"/>
  <mergeCells count="199">
    <mergeCell ref="C7:D7"/>
    <mergeCell ref="E7:F7"/>
    <mergeCell ref="G7:H7"/>
    <mergeCell ref="A3:H3"/>
    <mergeCell ref="A4:B4"/>
    <mergeCell ref="C4:D4"/>
    <mergeCell ref="E4:F4"/>
    <mergeCell ref="G4:H4"/>
    <mergeCell ref="FI8:GC8"/>
    <mergeCell ref="FI9:FL9"/>
    <mergeCell ref="FO9:FR9"/>
    <mergeCell ref="DO11:DV11"/>
    <mergeCell ref="FO11:FR11"/>
    <mergeCell ref="FS11:FT11"/>
    <mergeCell ref="GB11:GC11"/>
    <mergeCell ref="S10:X10"/>
    <mergeCell ref="FC10:FF10"/>
    <mergeCell ref="FG10:FJ10"/>
    <mergeCell ref="FK10:FX10"/>
    <mergeCell ref="DW11:ED11"/>
    <mergeCell ref="EE11:EH11"/>
    <mergeCell ref="EI11:EL11"/>
    <mergeCell ref="EM11:EP11"/>
    <mergeCell ref="EQ11:ET11"/>
    <mergeCell ref="EU11:EX11"/>
    <mergeCell ref="EY11:FB11"/>
    <mergeCell ref="FC11:FF11"/>
    <mergeCell ref="FG11:FJ11"/>
    <mergeCell ref="FK11:FN11"/>
    <mergeCell ref="FU11:FX11"/>
    <mergeCell ref="BQ11:BU11"/>
    <mergeCell ref="BV11:BZ11"/>
    <mergeCell ref="CD11:CH11"/>
    <mergeCell ref="M51:U51"/>
    <mergeCell ref="V51:X51"/>
    <mergeCell ref="M52:X52"/>
    <mergeCell ref="M53:U53"/>
    <mergeCell ref="V53:X53"/>
    <mergeCell ref="M54:U54"/>
    <mergeCell ref="V54:X54"/>
    <mergeCell ref="CI11:CM11"/>
    <mergeCell ref="CN11:CR11"/>
    <mergeCell ref="AL11:AP11"/>
    <mergeCell ref="AQ11:AU11"/>
    <mergeCell ref="AV11:AZ11"/>
    <mergeCell ref="BC11:BF11"/>
    <mergeCell ref="BG11:BK11"/>
    <mergeCell ref="BL11:BP11"/>
    <mergeCell ref="V50:X50"/>
    <mergeCell ref="A54:H54"/>
    <mergeCell ref="M56:U56"/>
    <mergeCell ref="V56:X56"/>
    <mergeCell ref="M57:U57"/>
    <mergeCell ref="V57:X57"/>
    <mergeCell ref="A58:G59"/>
    <mergeCell ref="I58:K58"/>
    <mergeCell ref="M58:U58"/>
    <mergeCell ref="V58:X58"/>
    <mergeCell ref="I59:K59"/>
    <mergeCell ref="I54:K54"/>
    <mergeCell ref="A55:H55"/>
    <mergeCell ref="I55:K55"/>
    <mergeCell ref="M55:U55"/>
    <mergeCell ref="V55:X55"/>
    <mergeCell ref="A72:C72"/>
    <mergeCell ref="A70:C70"/>
    <mergeCell ref="A71:C71"/>
    <mergeCell ref="I56:K56"/>
    <mergeCell ref="A60:G60"/>
    <mergeCell ref="A61:K61"/>
    <mergeCell ref="A62:B62"/>
    <mergeCell ref="C62:D62"/>
    <mergeCell ref="E62:G62"/>
    <mergeCell ref="H62:K62"/>
    <mergeCell ref="A63:B63"/>
    <mergeCell ref="C63:D63"/>
    <mergeCell ref="E63:G63"/>
    <mergeCell ref="I63:K63"/>
    <mergeCell ref="A64:B64"/>
    <mergeCell ref="A67:G67"/>
    <mergeCell ref="I67:K67"/>
    <mergeCell ref="A66:B66"/>
    <mergeCell ref="C66:D66"/>
    <mergeCell ref="E66:G66"/>
    <mergeCell ref="I66:K66"/>
    <mergeCell ref="A65:B65"/>
    <mergeCell ref="C65:D65"/>
    <mergeCell ref="E65:G65"/>
    <mergeCell ref="E40:G40"/>
    <mergeCell ref="A52:G52"/>
    <mergeCell ref="I52:K52"/>
    <mergeCell ref="A49:G49"/>
    <mergeCell ref="I49:K49"/>
    <mergeCell ref="A50:G50"/>
    <mergeCell ref="I50:K50"/>
    <mergeCell ref="A53:H53"/>
    <mergeCell ref="I53:K53"/>
    <mergeCell ref="A47:G47"/>
    <mergeCell ref="I47:K47"/>
    <mergeCell ref="A48:G48"/>
    <mergeCell ref="I48:K48"/>
    <mergeCell ref="A51:G51"/>
    <mergeCell ref="I51:K51"/>
    <mergeCell ref="B2:E2"/>
    <mergeCell ref="E9:G9"/>
    <mergeCell ref="K9:L9"/>
    <mergeCell ref="A10:R10"/>
    <mergeCell ref="P11:P12"/>
    <mergeCell ref="Q11:Q12"/>
    <mergeCell ref="R11:R12"/>
    <mergeCell ref="A9:D9"/>
    <mergeCell ref="A8:X8"/>
    <mergeCell ref="S11:X11"/>
    <mergeCell ref="E11:G13"/>
    <mergeCell ref="K11:L11"/>
    <mergeCell ref="N11:N12"/>
    <mergeCell ref="O11:O12"/>
    <mergeCell ref="I4:J4"/>
    <mergeCell ref="A5:B5"/>
    <mergeCell ref="C5:D5"/>
    <mergeCell ref="E5:F5"/>
    <mergeCell ref="G5:H5"/>
    <mergeCell ref="A6:B6"/>
    <mergeCell ref="C6:D6"/>
    <mergeCell ref="E6:F6"/>
    <mergeCell ref="G6:H6"/>
    <mergeCell ref="A7:B7"/>
    <mergeCell ref="E16:G16"/>
    <mergeCell ref="S13:U13"/>
    <mergeCell ref="E22:G22"/>
    <mergeCell ref="E23:G23"/>
    <mergeCell ref="E24:G24"/>
    <mergeCell ref="I60:K60"/>
    <mergeCell ref="C64:D64"/>
    <mergeCell ref="E64:G64"/>
    <mergeCell ref="I64:K64"/>
    <mergeCell ref="A12:D13"/>
    <mergeCell ref="M50:U50"/>
    <mergeCell ref="E25:G25"/>
    <mergeCell ref="E26:G26"/>
    <mergeCell ref="E27:G27"/>
    <mergeCell ref="E41:G41"/>
    <mergeCell ref="E42:G42"/>
    <mergeCell ref="E43:G43"/>
    <mergeCell ref="E44:G44"/>
    <mergeCell ref="A45:I45"/>
    <mergeCell ref="E34:G34"/>
    <mergeCell ref="E35:G35"/>
    <mergeCell ref="E36:G36"/>
    <mergeCell ref="E38:G38"/>
    <mergeCell ref="E39:G39"/>
    <mergeCell ref="I65:K65"/>
    <mergeCell ref="AG11:AK11"/>
    <mergeCell ref="V13:X13"/>
    <mergeCell ref="E17:G17"/>
    <mergeCell ref="E18:G18"/>
    <mergeCell ref="E19:G19"/>
    <mergeCell ref="E20:G20"/>
    <mergeCell ref="E21:G21"/>
    <mergeCell ref="K13:R13"/>
    <mergeCell ref="AA11:AE11"/>
    <mergeCell ref="E28:G28"/>
    <mergeCell ref="E29:G29"/>
    <mergeCell ref="E30:G30"/>
    <mergeCell ref="E31:G31"/>
    <mergeCell ref="E32:G32"/>
    <mergeCell ref="E33:G33"/>
    <mergeCell ref="E37:G37"/>
    <mergeCell ref="H12:H13"/>
    <mergeCell ref="E14:G14"/>
    <mergeCell ref="E15:G15"/>
    <mergeCell ref="I11:I13"/>
    <mergeCell ref="J11:J13"/>
    <mergeCell ref="M49:U49"/>
    <mergeCell ref="V49:X49"/>
    <mergeCell ref="R112:R115"/>
    <mergeCell ref="T112:T115"/>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DA11:DE11"/>
    <mergeCell ref="CS11:CW11"/>
    <mergeCell ref="M47:X47"/>
    <mergeCell ref="M48:U48"/>
    <mergeCell ref="V48:X48"/>
    <mergeCell ref="FQ13:FR13"/>
    <mergeCell ref="DS13:DV13"/>
    <mergeCell ref="FY11:FZ11"/>
  </mergeCells>
  <phoneticPr fontId="5" type="noConversion"/>
  <conditionalFormatting sqref="A14:H44">
    <cfRule type="expression" dxfId="784" priority="62" stopIfTrue="1">
      <formula>OR($C14="skoledag")</formula>
    </cfRule>
    <cfRule type="expression" dxfId="783" priority="56">
      <formula>OR($C14="ekskursion")</formula>
    </cfRule>
    <cfRule type="expression" dxfId="782" priority="48">
      <formula>OR($C14="Skema 1")</formula>
    </cfRule>
    <cfRule type="expression" dxfId="781" priority="49">
      <formula>OR($C14="skema 2")</formula>
    </cfRule>
    <cfRule type="expression" dxfId="780" priority="50">
      <formula>OR($C14="Skema 3")</formula>
    </cfRule>
    <cfRule type="expression" dxfId="779" priority="51">
      <formula>OR($C14="Skema 4")</formula>
    </cfRule>
    <cfRule type="expression" dxfId="778" priority="52">
      <formula>OR($C14="Ikke relevant")</formula>
    </cfRule>
    <cfRule type="expression" dxfId="777" priority="53">
      <formula>OR($C14="pæd.dag")</formula>
    </cfRule>
    <cfRule type="expression" dxfId="776" priority="54">
      <formula>OR($C14="nul-dag")</formula>
    </cfRule>
    <cfRule type="expression" dxfId="775" priority="55">
      <formula>OR($C14="SH-dag")</formula>
    </cfRule>
    <cfRule type="expression" dxfId="774" priority="61">
      <formula>OR($C14="weekend")</formula>
    </cfRule>
    <cfRule type="expression" dxfId="773" priority="60">
      <formula>OR($C14="feriedag")</formula>
    </cfRule>
    <cfRule type="expression" dxfId="772" priority="59">
      <formula>OR($C14="fagdag")</formula>
    </cfRule>
    <cfRule type="expression" dxfId="771" priority="58">
      <formula>OR($C14="emnedag")</formula>
    </cfRule>
    <cfRule type="expression" dxfId="770" priority="7">
      <formula>OR($C14="Orlov")</formula>
    </cfRule>
    <cfRule type="expression" dxfId="769" priority="57">
      <formula>OR($C14="lejrskole")</formula>
    </cfRule>
  </conditionalFormatting>
  <conditionalFormatting sqref="E25">
    <cfRule type="expression" dxfId="768" priority="69">
      <formula>OR($D24="fagdag")</formula>
    </cfRule>
    <cfRule type="expression" dxfId="767" priority="66">
      <formula>OR($D24="ekskursion")</formula>
    </cfRule>
    <cfRule type="expression" dxfId="766" priority="65">
      <formula>OR($D24="SH-dag")</formula>
    </cfRule>
    <cfRule type="expression" dxfId="765" priority="64">
      <formula>OR($D24="nul-dag")</formula>
    </cfRule>
    <cfRule type="expression" dxfId="764" priority="67">
      <formula>OR($D24="lejrskole")</formula>
    </cfRule>
    <cfRule type="expression" dxfId="763" priority="68">
      <formula>OR($D24="emnedag")</formula>
    </cfRule>
    <cfRule type="expression" dxfId="762" priority="70">
      <formula>OR($D24="feriedag")</formula>
    </cfRule>
    <cfRule type="expression" dxfId="761" priority="71">
      <formula>OR($D24="weekend")</formula>
    </cfRule>
    <cfRule type="expression" dxfId="760" priority="72" stopIfTrue="1">
      <formula>OR($D24="skoledag")</formula>
    </cfRule>
    <cfRule type="expression" dxfId="759" priority="73">
      <formula>OR($D24="Ikke relevant")</formula>
    </cfRule>
    <cfRule type="expression" dxfId="758" priority="63">
      <formula>OR($D24="pæd.dag")</formula>
    </cfRule>
  </conditionalFormatting>
  <conditionalFormatting sqref="H63:H66">
    <cfRule type="expression" dxfId="757" priority="1">
      <formula>OR($A63&gt;0,)</formula>
    </cfRule>
  </conditionalFormatting>
  <conditionalFormatting sqref="I63:I66">
    <cfRule type="expression" dxfId="756" priority="2">
      <formula>OR($C63&gt;0,)</formula>
    </cfRule>
  </conditionalFormatting>
  <conditionalFormatting sqref="K14:K44">
    <cfRule type="expression" dxfId="755" priority="45">
      <formula>OR($C14="Pæd.dag",)</formula>
    </cfRule>
  </conditionalFormatting>
  <conditionalFormatting sqref="K14:L44">
    <cfRule type="expression" dxfId="754" priority="47">
      <formula>OR($C14="Ekskursion",)</formula>
    </cfRule>
    <cfRule type="expression" dxfId="753" priority="46">
      <formula>OR($C14="Lejrskole",)</formula>
    </cfRule>
  </conditionalFormatting>
  <conditionalFormatting sqref="K14:M44">
    <cfRule type="expression" dxfId="752" priority="44">
      <formula>OR($C14="emnedag",)</formula>
    </cfRule>
    <cfRule type="expression" dxfId="751" priority="43">
      <formula>OR($C14="fagdag",)</formula>
    </cfRule>
  </conditionalFormatting>
  <conditionalFormatting sqref="R14:R44">
    <cfRule type="expression" dxfId="750" priority="74">
      <formula>OR($H14&gt;"0",)</formula>
    </cfRule>
  </conditionalFormatting>
  <conditionalFormatting sqref="V14:V44">
    <cfRule type="expression" dxfId="749" priority="10">
      <formula>OR($S14="X",)</formula>
    </cfRule>
  </conditionalFormatting>
  <conditionalFormatting sqref="V54:X57">
    <cfRule type="expression" dxfId="748" priority="3">
      <formula>OR($M54&gt;0,)</formula>
    </cfRule>
  </conditionalFormatting>
  <conditionalFormatting sqref="W14:W44">
    <cfRule type="expression" dxfId="747" priority="9">
      <formula>OR($T14="X",)</formula>
    </cfRule>
  </conditionalFormatting>
  <conditionalFormatting sqref="X14:X44">
    <cfRule type="expression" dxfId="746" priority="8">
      <formula>OR($U14="X",)</formula>
    </cfRule>
  </conditionalFormatting>
  <dataValidations count="1">
    <dataValidation type="list" allowBlank="1" showInputMessage="1" showErrorMessage="1" sqref="S14:T44 U14:U42 A63:D66" xr:uid="{ECCDBE0B-63A5-D941-A839-278727B57393}">
      <formula1>$W$1:$W$2</formula1>
    </dataValidation>
  </dataValidations>
  <hyperlinks>
    <hyperlink ref="E4:F4" location="Arbejdstidsoversigt!A19" display="Arbejdstids-oversigt" xr:uid="{EE033BFE-65A2-A04D-94BB-76D4D40D09CC}"/>
    <hyperlink ref="G4:H4" location="Opgørelse!B12" display="Opgørelse" xr:uid="{40A2816D-A86B-CC44-BA05-8A6005635401}"/>
    <hyperlink ref="A5:B5" location="August!A12" display="August" xr:uid="{06C677AA-CAF9-BB4B-9817-A2AC61721DF6}"/>
    <hyperlink ref="C5:D5" location="September!A8" display="September" xr:uid="{A96A1DEE-6A8B-6745-B1DC-B54F4AE146CD}"/>
    <hyperlink ref="E5:F5" location="Oktober!A8" display="Oktober" xr:uid="{3B3EA0E4-2396-F74B-A4B6-510C13CBF454}"/>
    <hyperlink ref="G5:H5" location="November!A8" display="November" xr:uid="{16471476-D3B2-5A42-A55C-D6FEBACD7260}"/>
    <hyperlink ref="A6:B6" location="December!A8" display="December" xr:uid="{243650B1-FBF7-8840-9D85-824D51CB3A8E}"/>
    <hyperlink ref="C6:D6" location="Januar!A8" display="Januar" xr:uid="{DD9E05AE-7C50-6541-AD18-E076B40A5319}"/>
    <hyperlink ref="E6:F6" location="Februar!A8" display="Februar" xr:uid="{B1C4132D-081D-094E-9766-60426EBF5ECE}"/>
    <hyperlink ref="A7:B7" location="April!A8" display="April" xr:uid="{C1C62ECC-1D0E-1140-97FB-6747440B1F17}"/>
    <hyperlink ref="C7:D7" location="Maj!A8" display="Maj" xr:uid="{1C76A607-846F-A24F-81BA-8BD83A52DC62}"/>
    <hyperlink ref="E7:F7" location="Juni!A8" display="Juni" xr:uid="{19CFB274-E24E-8C4D-8BB5-8B5707B06373}"/>
    <hyperlink ref="G7:H7" location="Juli!A8" display="Juli" xr:uid="{9CA80952-C224-B44D-8FAE-59291FFB6ECC}"/>
    <hyperlink ref="G6:H6" location="Marts!A8" display="Marts" xr:uid="{FB3099B0-5B13-D145-9C11-729B34A951BF}"/>
    <hyperlink ref="I4:J4" location="Stamoplysninger!E18" display="Stamoplysninger" xr:uid="{977B69F8-166D-7F44-961E-55C887286C86}"/>
    <hyperlink ref="C4:D4" location="Opgaver!A8" display="Opgaver" xr:uid="{37CCD736-04B5-6243-87F6-7998ED815F2E}"/>
    <hyperlink ref="A4:B4" location="Skemaoplysninger!A20" display="Skemaoplysninger" xr:uid="{8183D1C4-F456-EB48-A390-D2B4E5E8F1A6}"/>
  </hyperlinks>
  <pageMargins left="0.7" right="0.7" top="0.75" bottom="0.75" header="0.3" footer="0.3"/>
  <pageSetup paperSize="9" scale="59" orientation="landscape" horizontalDpi="0" verticalDpi="0"/>
  <drawing r:id="rId1"/>
  <legacyDrawing r:id="rId2"/>
  <extLst>
    <ext xmlns:x14="http://schemas.microsoft.com/office/spreadsheetml/2009/9/main" uri="{CCE6A557-97BC-4b89-ADB6-D9C93CAAB3DF}">
      <x14:dataValidations xmlns:xm="http://schemas.microsoft.com/office/excel/2006/main" count="1">
        <x14:dataValidation type="list" allowBlank="1" showInputMessage="1" xr:uid="{8D76BD34-0930-1540-819C-0F4CA3C0AFED}">
          <x14:formula1>
            <xm:f>August!$A$94:$A$108</xm:f>
          </x14:formula1>
          <xm:sqref>C14:C44</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6BCEB-5E23-4A49-ADC5-96E3794CC712}">
  <sheetPr>
    <tabColor theme="4" tint="-0.249977111117893"/>
    <pageSetUpPr fitToPage="1"/>
  </sheetPr>
  <dimension ref="A1:GP188"/>
  <sheetViews>
    <sheetView topLeftCell="A12" zoomScale="90" zoomScaleNormal="90" workbookViewId="0">
      <selection activeCell="E24" sqref="E24:G24"/>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4" width="10.83203125" hidden="1" customWidth="1"/>
    <col min="185" max="185" width="11.1640625" hidden="1" customWidth="1"/>
    <col min="186" max="186" width="10.83203125" hidden="1" customWidth="1"/>
    <col min="187" max="219"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87"/>
      <c r="Y1"/>
      <c r="Z1" s="87"/>
      <c r="AA1" s="87"/>
      <c r="AE1" s="87"/>
      <c r="AG1" s="87"/>
      <c r="CV1" s="242"/>
      <c r="CW1" s="242"/>
      <c r="CY1"/>
      <c r="CZ1"/>
    </row>
    <row r="2" spans="1:198" ht="20">
      <c r="A2" s="89">
        <v>11</v>
      </c>
      <c r="B2" s="1252"/>
      <c r="C2" s="1252"/>
      <c r="D2" s="1252"/>
      <c r="E2" s="1252"/>
      <c r="F2" s="87"/>
      <c r="G2" s="87"/>
      <c r="H2" s="273"/>
      <c r="I2" s="272"/>
      <c r="J2" s="225"/>
      <c r="K2" s="225"/>
      <c r="L2" s="225"/>
      <c r="M2" s="225"/>
      <c r="N2" s="225"/>
      <c r="O2" s="225"/>
      <c r="P2" s="87"/>
      <c r="Q2" s="87"/>
      <c r="R2" s="87"/>
      <c r="S2" s="87"/>
      <c r="T2" s="87"/>
      <c r="U2" s="87"/>
      <c r="V2" s="87"/>
      <c r="W2" s="120" t="s">
        <v>31</v>
      </c>
      <c r="X2" s="120" t="s">
        <v>31</v>
      </c>
      <c r="Y2"/>
      <c r="Z2" s="87"/>
      <c r="AA2" s="87"/>
      <c r="AE2" s="87"/>
      <c r="AG2" s="87"/>
      <c r="CV2" s="242"/>
      <c r="CW2" s="242"/>
      <c r="CY2"/>
      <c r="CZ2"/>
    </row>
    <row r="3" spans="1:198" ht="24" customHeight="1" thickBot="1">
      <c r="A3" s="864" t="s">
        <v>689</v>
      </c>
      <c r="B3" s="864"/>
      <c r="C3" s="864"/>
      <c r="D3" s="864"/>
      <c r="E3" s="864"/>
      <c r="F3" s="864"/>
      <c r="G3" s="864"/>
      <c r="H3" s="864"/>
      <c r="I3" s="723"/>
      <c r="J3" s="723"/>
      <c r="K3" s="723"/>
      <c r="L3" s="723"/>
      <c r="M3" s="723"/>
      <c r="N3" s="723"/>
      <c r="O3" s="723"/>
      <c r="P3" s="723"/>
      <c r="Q3" s="723"/>
      <c r="R3" s="723"/>
      <c r="S3" s="723"/>
      <c r="T3" s="723"/>
      <c r="Y3"/>
      <c r="Z3"/>
      <c r="AP3" s="38"/>
      <c r="CY3"/>
      <c r="CZ3"/>
    </row>
    <row r="4" spans="1:198" ht="50" customHeight="1" thickBot="1">
      <c r="A4" s="1226" t="s">
        <v>691</v>
      </c>
      <c r="B4" s="1227"/>
      <c r="C4" s="867" t="s">
        <v>495</v>
      </c>
      <c r="D4" s="868"/>
      <c r="E4" s="869" t="s">
        <v>688</v>
      </c>
      <c r="F4" s="870"/>
      <c r="G4" s="965" t="s">
        <v>367</v>
      </c>
      <c r="H4" s="966"/>
      <c r="I4" s="871" t="s">
        <v>687</v>
      </c>
      <c r="J4" s="1018"/>
      <c r="K4" s="628"/>
      <c r="Y4"/>
      <c r="Z4"/>
      <c r="CY4"/>
      <c r="CZ4"/>
    </row>
    <row r="5" spans="1:198" ht="50" customHeight="1" thickBot="1">
      <c r="A5" s="873" t="s">
        <v>231</v>
      </c>
      <c r="B5" s="873"/>
      <c r="C5" s="1228" t="s">
        <v>233</v>
      </c>
      <c r="D5" s="1228"/>
      <c r="E5" s="873" t="s">
        <v>234</v>
      </c>
      <c r="F5" s="873"/>
      <c r="G5" s="873" t="s">
        <v>235</v>
      </c>
      <c r="H5" s="873"/>
      <c r="Y5"/>
      <c r="Z5"/>
      <c r="CY5"/>
      <c r="CZ5"/>
    </row>
    <row r="6" spans="1:198" ht="50" customHeight="1" thickBot="1">
      <c r="A6" s="873" t="s">
        <v>279</v>
      </c>
      <c r="B6" s="873"/>
      <c r="C6" s="873" t="s">
        <v>280</v>
      </c>
      <c r="D6" s="873"/>
      <c r="E6" s="873" t="s">
        <v>281</v>
      </c>
      <c r="F6" s="873"/>
      <c r="G6" s="873" t="s">
        <v>282</v>
      </c>
      <c r="H6" s="873"/>
      <c r="Y6"/>
      <c r="Z6"/>
      <c r="CY6"/>
      <c r="CZ6"/>
    </row>
    <row r="7" spans="1:198" ht="50" customHeight="1" thickBot="1">
      <c r="A7" s="873" t="s">
        <v>283</v>
      </c>
      <c r="B7" s="873"/>
      <c r="C7" s="873" t="s">
        <v>284</v>
      </c>
      <c r="D7" s="873"/>
      <c r="E7" s="873" t="s">
        <v>285</v>
      </c>
      <c r="F7" s="873"/>
      <c r="G7" s="873" t="s">
        <v>286</v>
      </c>
      <c r="H7" s="873"/>
      <c r="Y7"/>
      <c r="Z7"/>
      <c r="CY7"/>
      <c r="CZ7"/>
    </row>
    <row r="8" spans="1:198" ht="17" thickBot="1">
      <c r="A8" s="1273" t="s">
        <v>306</v>
      </c>
      <c r="B8" s="1274"/>
      <c r="C8" s="1274"/>
      <c r="D8" s="1274"/>
      <c r="E8" s="1274"/>
      <c r="F8" s="1274"/>
      <c r="G8" s="1274"/>
      <c r="H8" s="1274"/>
      <c r="I8" s="1274"/>
      <c r="J8" s="1274"/>
      <c r="K8" s="1274"/>
      <c r="L8" s="1274"/>
      <c r="M8" s="1274"/>
      <c r="N8" s="1274"/>
      <c r="O8" s="1274"/>
      <c r="P8" s="1274"/>
      <c r="Q8" s="1274"/>
      <c r="R8" s="1274"/>
      <c r="S8" s="1274"/>
      <c r="T8" s="1274"/>
      <c r="U8" s="1274"/>
      <c r="V8" s="1274"/>
      <c r="W8" s="1274"/>
      <c r="X8" s="1275"/>
      <c r="Y8" s="87"/>
      <c r="Z8"/>
      <c r="AC8" s="87"/>
      <c r="AD8" s="87"/>
      <c r="AF8" s="87"/>
      <c r="CT8" s="242"/>
      <c r="CU8" s="242"/>
      <c r="CY8"/>
      <c r="CZ8"/>
      <c r="FI8" s="1179" t="s">
        <v>584</v>
      </c>
      <c r="FJ8" s="1180"/>
      <c r="FK8" s="1180"/>
      <c r="FL8" s="1180"/>
      <c r="FM8" s="1180"/>
      <c r="FN8" s="1180"/>
      <c r="FO8" s="1180"/>
      <c r="FP8" s="1180"/>
      <c r="FQ8" s="1180"/>
      <c r="FR8" s="1180"/>
      <c r="FS8" s="1180"/>
      <c r="FT8" s="1180"/>
      <c r="FU8" s="1180"/>
      <c r="FV8" s="1180"/>
      <c r="FW8" s="1180"/>
      <c r="FX8" s="1180"/>
      <c r="FY8" s="1180"/>
      <c r="FZ8" s="1180"/>
      <c r="GA8" s="1180"/>
      <c r="GB8" s="1180"/>
      <c r="GC8" s="1181"/>
    </row>
    <row r="9" spans="1:198" ht="254" customHeight="1" thickBot="1">
      <c r="A9" s="1066" t="s">
        <v>421</v>
      </c>
      <c r="B9" s="1067"/>
      <c r="C9" s="1067"/>
      <c r="D9" s="1067"/>
      <c r="E9" s="1068" t="s">
        <v>307</v>
      </c>
      <c r="F9" s="1068"/>
      <c r="G9" s="1068"/>
      <c r="H9" s="274" t="s">
        <v>404</v>
      </c>
      <c r="I9" s="425"/>
      <c r="J9" s="425"/>
      <c r="K9" s="1078" t="s">
        <v>496</v>
      </c>
      <c r="L9" s="1078"/>
      <c r="M9" s="471" t="s">
        <v>444</v>
      </c>
      <c r="N9" s="471" t="s">
        <v>422</v>
      </c>
      <c r="O9" s="471" t="s">
        <v>423</v>
      </c>
      <c r="P9" s="472" t="s">
        <v>445</v>
      </c>
      <c r="Q9" s="472" t="s">
        <v>305</v>
      </c>
      <c r="R9" s="472" t="s">
        <v>424</v>
      </c>
      <c r="S9" s="473" t="s">
        <v>451</v>
      </c>
      <c r="T9" s="473" t="s">
        <v>425</v>
      </c>
      <c r="U9" s="473" t="s">
        <v>426</v>
      </c>
      <c r="V9" s="474" t="s">
        <v>446</v>
      </c>
      <c r="W9" s="474" t="s">
        <v>393</v>
      </c>
      <c r="X9" s="475" t="s">
        <v>392</v>
      </c>
      <c r="Y9" s="240"/>
      <c r="Z9" s="87"/>
      <c r="AB9" s="87"/>
      <c r="AC9" s="87"/>
      <c r="AH9" s="87"/>
      <c r="AI9" s="87"/>
      <c r="CX9" s="242"/>
      <c r="CZ9"/>
      <c r="FI9" s="837" t="s">
        <v>582</v>
      </c>
      <c r="FJ9" s="837"/>
      <c r="FK9" s="837"/>
      <c r="FL9" s="837"/>
      <c r="FM9" t="s">
        <v>575</v>
      </c>
      <c r="FO9" s="837" t="s">
        <v>581</v>
      </c>
      <c r="FP9" s="837"/>
      <c r="FQ9" s="837"/>
      <c r="FR9" s="837"/>
    </row>
    <row r="10" spans="1:198" ht="26" customHeight="1" thickBot="1">
      <c r="A10" s="1194" t="str">
        <f>""&amp;A12&amp;" måneds kalender for: "&amp;Stamoplysninger!E13&amp;". Måneden vedr. normperioden: "&amp;Stamoplysninger!E16&amp;" - "&amp;Stamoplysninger!G16&amp;"."</f>
        <v>November måneds kalender for: Beate Simonsen. Måneden vedr. normperioden:  - .</v>
      </c>
      <c r="B10" s="1195"/>
      <c r="C10" s="1195"/>
      <c r="D10" s="1195"/>
      <c r="E10" s="1195"/>
      <c r="F10" s="1195"/>
      <c r="G10" s="1195"/>
      <c r="H10" s="1195"/>
      <c r="I10" s="1195"/>
      <c r="J10" s="1195"/>
      <c r="K10" s="1195"/>
      <c r="L10" s="1195"/>
      <c r="M10" s="1195"/>
      <c r="N10" s="1195"/>
      <c r="O10" s="1195"/>
      <c r="P10" s="1195"/>
      <c r="Q10" s="1195"/>
      <c r="R10" s="1196"/>
      <c r="S10" s="1073" t="s">
        <v>391</v>
      </c>
      <c r="T10" s="1074"/>
      <c r="U10" s="1074"/>
      <c r="V10" s="1074"/>
      <c r="W10" s="1074"/>
      <c r="X10" s="1075"/>
      <c r="Y10" s="240"/>
      <c r="Z10" s="87"/>
      <c r="AB10" s="87"/>
      <c r="AC10" s="87"/>
      <c r="AH10" s="87"/>
      <c r="AI10" s="87"/>
      <c r="CX10" s="242"/>
      <c r="CZ10"/>
      <c r="DV10" t="s">
        <v>665</v>
      </c>
      <c r="ED10" t="s">
        <v>665</v>
      </c>
      <c r="FC10" s="1208" t="s">
        <v>654</v>
      </c>
      <c r="FD10" s="1208"/>
      <c r="FE10" s="1208"/>
      <c r="FF10" s="1208"/>
      <c r="FG10" s="1208" t="s">
        <v>654</v>
      </c>
      <c r="FH10" s="1208"/>
      <c r="FI10" s="1208"/>
      <c r="FJ10" s="1208"/>
      <c r="FK10" s="1182" t="s">
        <v>569</v>
      </c>
      <c r="FL10" s="1182"/>
      <c r="FM10" s="1182"/>
      <c r="FN10" s="1182"/>
      <c r="FO10" s="1182"/>
      <c r="FP10" s="1182"/>
      <c r="FQ10" s="1182"/>
      <c r="FR10" s="1182"/>
      <c r="FS10" s="1182"/>
      <c r="FT10" s="1182"/>
      <c r="FU10" s="1182"/>
      <c r="FV10" s="1182"/>
      <c r="FW10" s="1182"/>
      <c r="FX10" s="1182"/>
      <c r="GA10" t="s">
        <v>583</v>
      </c>
      <c r="GB10" t="s">
        <v>576</v>
      </c>
      <c r="GD10" t="s">
        <v>577</v>
      </c>
      <c r="GF10" t="s">
        <v>578</v>
      </c>
      <c r="GH10" s="511" t="s">
        <v>579</v>
      </c>
    </row>
    <row r="11" spans="1:198" ht="47" customHeight="1">
      <c r="A11" s="320">
        <f>August!A12</f>
        <v>2026</v>
      </c>
      <c r="B11" s="236"/>
      <c r="C11" s="237"/>
      <c r="D11" s="238"/>
      <c r="E11" s="1199" t="s">
        <v>455</v>
      </c>
      <c r="F11" s="1200"/>
      <c r="G11" s="1201"/>
      <c r="H11" s="317" t="s">
        <v>674</v>
      </c>
      <c r="I11" s="1031" t="s">
        <v>452</v>
      </c>
      <c r="J11" s="1032" t="s">
        <v>470</v>
      </c>
      <c r="K11" s="1197" t="s">
        <v>299</v>
      </c>
      <c r="L11" s="1198"/>
      <c r="M11" s="318" t="s">
        <v>300</v>
      </c>
      <c r="N11" s="1047" t="s">
        <v>435</v>
      </c>
      <c r="O11" s="1047" t="s">
        <v>304</v>
      </c>
      <c r="P11" s="1047" t="s">
        <v>443</v>
      </c>
      <c r="Q11" s="1047" t="s">
        <v>381</v>
      </c>
      <c r="R11" s="1215" t="s">
        <v>497</v>
      </c>
      <c r="S11" s="1223" t="s">
        <v>301</v>
      </c>
      <c r="T11" s="1224"/>
      <c r="U11" s="1224"/>
      <c r="V11" s="1224"/>
      <c r="W11" s="1224"/>
      <c r="X11" s="1225"/>
      <c r="Y11" s="209"/>
      <c r="Z11" s="209"/>
      <c r="AA11" s="1049" t="s">
        <v>258</v>
      </c>
      <c r="AB11" s="1049"/>
      <c r="AC11" s="1049"/>
      <c r="AD11" s="1049"/>
      <c r="AE11" s="1049"/>
      <c r="AF11" s="206"/>
      <c r="AG11" s="1049" t="s">
        <v>219</v>
      </c>
      <c r="AH11" s="1049"/>
      <c r="AI11" s="1049"/>
      <c r="AJ11" s="1049"/>
      <c r="AK11" s="1049"/>
      <c r="AL11" s="1049" t="s">
        <v>220</v>
      </c>
      <c r="AM11" s="1049"/>
      <c r="AN11" s="1049"/>
      <c r="AO11" s="1049"/>
      <c r="AP11" s="1049"/>
      <c r="AQ11" s="1049" t="s">
        <v>221</v>
      </c>
      <c r="AR11" s="1049"/>
      <c r="AS11" s="1049"/>
      <c r="AT11" s="1049"/>
      <c r="AU11" s="1049"/>
      <c r="AV11" s="1049" t="s">
        <v>222</v>
      </c>
      <c r="AW11" s="1049"/>
      <c r="AX11" s="1049"/>
      <c r="AY11" s="1049"/>
      <c r="AZ11" s="1049"/>
      <c r="BA11" s="293"/>
      <c r="BB11" s="206"/>
      <c r="BC11" s="1049" t="s">
        <v>261</v>
      </c>
      <c r="BD11" s="1049"/>
      <c r="BE11" s="1049"/>
      <c r="BF11" s="1049"/>
      <c r="BG11" s="1049" t="s">
        <v>224</v>
      </c>
      <c r="BH11" s="1049"/>
      <c r="BI11" s="1049"/>
      <c r="BJ11" s="1049"/>
      <c r="BK11" s="1049"/>
      <c r="BL11" s="1049" t="s">
        <v>225</v>
      </c>
      <c r="BM11" s="1049"/>
      <c r="BN11" s="1049"/>
      <c r="BO11" s="1049"/>
      <c r="BP11" s="1049"/>
      <c r="BQ11" s="1049" t="s">
        <v>226</v>
      </c>
      <c r="BR11" s="1049"/>
      <c r="BS11" s="1049"/>
      <c r="BT11" s="1049"/>
      <c r="BU11" s="1049"/>
      <c r="BV11" s="1049" t="s">
        <v>227</v>
      </c>
      <c r="BW11" s="1049"/>
      <c r="BX11" s="1049"/>
      <c r="BY11" s="1049"/>
      <c r="BZ11" s="1049"/>
      <c r="CD11" s="1049" t="s">
        <v>262</v>
      </c>
      <c r="CE11" s="1049"/>
      <c r="CF11" s="1049"/>
      <c r="CG11" s="1049"/>
      <c r="CH11" s="1049"/>
      <c r="CI11" s="1049" t="s">
        <v>264</v>
      </c>
      <c r="CJ11" s="1049"/>
      <c r="CK11" s="1049"/>
      <c r="CL11" s="1049"/>
      <c r="CM11" s="1049"/>
      <c r="CN11" s="1049" t="s">
        <v>263</v>
      </c>
      <c r="CO11" s="1049"/>
      <c r="CP11" s="1049"/>
      <c r="CQ11" s="1049"/>
      <c r="CR11" s="1049"/>
      <c r="CS11" s="1049" t="s">
        <v>265</v>
      </c>
      <c r="CT11" s="1049"/>
      <c r="CU11" s="1049"/>
      <c r="CV11" s="1049"/>
      <c r="CW11" s="1049"/>
      <c r="CX11" s="242"/>
      <c r="CZ11"/>
      <c r="DA11" s="837" t="s">
        <v>209</v>
      </c>
      <c r="DB11" s="837"/>
      <c r="DC11" s="837"/>
      <c r="DD11" s="837"/>
      <c r="DE11" s="837"/>
      <c r="DO11" s="1217" t="s">
        <v>315</v>
      </c>
      <c r="DP11" s="1218"/>
      <c r="DQ11" s="1218"/>
      <c r="DR11" s="1218"/>
      <c r="DS11" s="1218"/>
      <c r="DT11" s="1218"/>
      <c r="DU11" s="1218"/>
      <c r="DV11" s="1219"/>
      <c r="DW11" s="1220" t="s">
        <v>370</v>
      </c>
      <c r="DX11" s="1221"/>
      <c r="DY11" s="1221"/>
      <c r="DZ11" s="1221"/>
      <c r="EA11" s="1221"/>
      <c r="EB11" s="1221"/>
      <c r="EC11" s="1221"/>
      <c r="ED11" s="1222"/>
      <c r="EE11" s="1212" t="s">
        <v>316</v>
      </c>
      <c r="EF11" s="1213"/>
      <c r="EG11" s="1213"/>
      <c r="EH11" s="1214"/>
      <c r="EI11" s="1209" t="s">
        <v>655</v>
      </c>
      <c r="EJ11" s="1210"/>
      <c r="EK11" s="1210"/>
      <c r="EL11" s="1211"/>
      <c r="EM11" s="1212" t="s">
        <v>319</v>
      </c>
      <c r="EN11" s="1213"/>
      <c r="EO11" s="1213"/>
      <c r="EP11" s="1214"/>
      <c r="EQ11" s="1212" t="s">
        <v>319</v>
      </c>
      <c r="ER11" s="1213"/>
      <c r="ES11" s="1213"/>
      <c r="ET11" s="1214"/>
      <c r="EU11" s="1042" t="s">
        <v>373</v>
      </c>
      <c r="EV11" s="1043"/>
      <c r="EW11" s="1043"/>
      <c r="EX11" s="1044"/>
      <c r="EY11" s="1042" t="s">
        <v>374</v>
      </c>
      <c r="EZ11" s="1043"/>
      <c r="FA11" s="1043"/>
      <c r="FB11" s="1044"/>
      <c r="FC11" s="1042" t="s">
        <v>375</v>
      </c>
      <c r="FD11" s="1043"/>
      <c r="FE11" s="1043"/>
      <c r="FF11" s="1044"/>
      <c r="FG11" s="1042" t="s">
        <v>376</v>
      </c>
      <c r="FH11" s="1043"/>
      <c r="FI11" s="1043"/>
      <c r="FJ11" s="1044"/>
      <c r="FK11" s="1172" t="s">
        <v>658</v>
      </c>
      <c r="FL11" s="1173"/>
      <c r="FM11" s="1173"/>
      <c r="FN11" s="1174"/>
      <c r="FO11" s="1027" t="s">
        <v>659</v>
      </c>
      <c r="FP11" s="1028"/>
      <c r="FQ11" s="1028"/>
      <c r="FR11" s="1029"/>
      <c r="FS11" s="1183" t="s">
        <v>375</v>
      </c>
      <c r="FT11" s="1183"/>
      <c r="FU11" s="1172" t="s">
        <v>580</v>
      </c>
      <c r="FV11" s="1173"/>
      <c r="FW11" s="1173"/>
      <c r="FX11" s="1184"/>
      <c r="FY11" s="1185" t="s">
        <v>571</v>
      </c>
      <c r="FZ11" s="1186"/>
      <c r="GA11" t="s">
        <v>573</v>
      </c>
      <c r="GB11" s="1183" t="s">
        <v>373</v>
      </c>
      <c r="GC11" s="1183"/>
      <c r="GD11" s="1183" t="s">
        <v>374</v>
      </c>
      <c r="GE11" s="1183"/>
      <c r="GF11" s="1183" t="s">
        <v>376</v>
      </c>
      <c r="GG11" s="1183"/>
      <c r="GH11" s="1183" t="s">
        <v>372</v>
      </c>
      <c r="GI11" s="1183"/>
      <c r="GP11" s="109" t="s">
        <v>663</v>
      </c>
    </row>
    <row r="12" spans="1:198" ht="185" customHeight="1">
      <c r="A12" s="1187" t="s">
        <v>235</v>
      </c>
      <c r="B12" s="1188"/>
      <c r="C12" s="1188"/>
      <c r="D12" s="1189"/>
      <c r="E12" s="1202"/>
      <c r="F12" s="1203"/>
      <c r="G12" s="1204"/>
      <c r="H12" s="1193" t="s">
        <v>668</v>
      </c>
      <c r="I12" s="1031"/>
      <c r="J12" s="1032"/>
      <c r="K12" s="319" t="s">
        <v>498</v>
      </c>
      <c r="L12" s="319" t="s">
        <v>499</v>
      </c>
      <c r="M12" s="319" t="s">
        <v>500</v>
      </c>
      <c r="N12" s="1048"/>
      <c r="O12" s="1048"/>
      <c r="P12" s="1048"/>
      <c r="Q12" s="1048"/>
      <c r="R12" s="1216"/>
      <c r="S12" s="477" t="s">
        <v>669</v>
      </c>
      <c r="T12" s="318" t="s">
        <v>303</v>
      </c>
      <c r="U12" s="318" t="s">
        <v>672</v>
      </c>
      <c r="V12" s="430" t="s">
        <v>428</v>
      </c>
      <c r="W12" s="430" t="s">
        <v>427</v>
      </c>
      <c r="X12" s="431" t="s">
        <v>673</v>
      </c>
      <c r="Y12" s="209" t="s">
        <v>276</v>
      </c>
      <c r="Z12" s="423" t="s">
        <v>277</v>
      </c>
      <c r="AA12" s="294" t="s">
        <v>208</v>
      </c>
      <c r="AB12" t="s">
        <v>134</v>
      </c>
      <c r="AC12" t="s">
        <v>137</v>
      </c>
      <c r="AD12" t="s">
        <v>136</v>
      </c>
      <c r="AE12" t="s">
        <v>135</v>
      </c>
      <c r="AF12" t="s">
        <v>406</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223</v>
      </c>
      <c r="BB12" s="223" t="s">
        <v>210</v>
      </c>
      <c r="BC12" t="s">
        <v>260</v>
      </c>
      <c r="BD12" t="s">
        <v>259</v>
      </c>
      <c r="BE12" t="s">
        <v>245</v>
      </c>
      <c r="BF12" t="s">
        <v>246</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228</v>
      </c>
      <c r="CB12" s="228" t="s">
        <v>248</v>
      </c>
      <c r="CC12" s="294" t="s">
        <v>249</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274</v>
      </c>
      <c r="CY12" s="242" t="s">
        <v>266</v>
      </c>
      <c r="CZ12" s="242" t="s">
        <v>267</v>
      </c>
      <c r="DA12" s="242" t="s">
        <v>268</v>
      </c>
      <c r="DB12" s="242" t="s">
        <v>269</v>
      </c>
      <c r="DC12" s="242" t="s">
        <v>270</v>
      </c>
      <c r="DD12" s="242" t="s">
        <v>271</v>
      </c>
      <c r="DE12" s="242" t="s">
        <v>272</v>
      </c>
      <c r="DF12" s="242" t="s">
        <v>273</v>
      </c>
      <c r="DG12" s="242"/>
      <c r="DO12" s="626" t="s">
        <v>642</v>
      </c>
      <c r="DP12" s="294" t="s">
        <v>643</v>
      </c>
      <c r="DQ12" s="677" t="s">
        <v>644</v>
      </c>
      <c r="DR12" s="677" t="s">
        <v>645</v>
      </c>
      <c r="DS12" s="627" t="s">
        <v>670</v>
      </c>
      <c r="DT12" s="627" t="str">
        <f>DP12</f>
        <v>Ulempetillæg på weekenddage - kræver der er sat kryds i weekendarbejde. KOLONNE I. Minus ved lejrskole.</v>
      </c>
      <c r="DU12" s="679" t="s">
        <v>600</v>
      </c>
      <c r="DV12" s="678" t="str">
        <f>DR12</f>
        <v>Ulempetillæg ændringer på weekenddage. Kræver der er sat kryds i ændring i timetal og at det er en weekeend. KOLONNE I OG S. Minus lejrskole</v>
      </c>
      <c r="DW12" s="680" t="s">
        <v>646</v>
      </c>
      <c r="DX12" s="677" t="s">
        <v>647</v>
      </c>
      <c r="DY12" s="677" t="s">
        <v>648</v>
      </c>
      <c r="DZ12" s="677" t="s">
        <v>649</v>
      </c>
      <c r="EA12" s="627" t="s">
        <v>599</v>
      </c>
      <c r="EB12" s="679" t="str">
        <f>DX12</f>
        <v>Ulempetillæg på weekenddage til afspadsering. Kræver der er sat kryds i weekendarb. KOLONNE I. Minus ved lejrskole.</v>
      </c>
      <c r="EC12" s="679" t="s">
        <v>600</v>
      </c>
      <c r="ED12" s="678" t="str">
        <f>DZ12</f>
        <v>Ulempetillæg ændringer på weekenddage. Kræver der er sat kryds i ændring i timetal og at det er en weekeend. KOLONNE I OG S. Minus lejrskole</v>
      </c>
      <c r="EE12" s="632" t="s">
        <v>650</v>
      </c>
      <c r="EF12" s="630" t="s">
        <v>601</v>
      </c>
      <c r="EG12" s="631" t="s">
        <v>604</v>
      </c>
      <c r="EH12" s="633" t="s">
        <v>603</v>
      </c>
      <c r="EI12" s="715" t="s">
        <v>656</v>
      </c>
      <c r="EJ12" s="719" t="s">
        <v>660</v>
      </c>
      <c r="EK12" s="631" t="s">
        <v>604</v>
      </c>
      <c r="EL12" s="633" t="s">
        <v>603</v>
      </c>
      <c r="EM12" s="632" t="s">
        <v>650</v>
      </c>
      <c r="EN12" s="630" t="s">
        <v>653</v>
      </c>
      <c r="EO12" s="631" t="s">
        <v>604</v>
      </c>
      <c r="EP12" s="633" t="s">
        <v>603</v>
      </c>
      <c r="EQ12" s="715" t="s">
        <v>657</v>
      </c>
      <c r="ER12" s="719" t="s">
        <v>661</v>
      </c>
      <c r="ES12" s="631" t="s">
        <v>604</v>
      </c>
      <c r="ET12" s="633" t="s">
        <v>603</v>
      </c>
      <c r="EU12" s="632" t="s">
        <v>651</v>
      </c>
      <c r="EV12" s="630" t="s">
        <v>652</v>
      </c>
      <c r="EW12" s="631" t="s">
        <v>602</v>
      </c>
      <c r="EX12" s="633" t="s">
        <v>606</v>
      </c>
      <c r="EY12" s="632" t="s">
        <v>651</v>
      </c>
      <c r="EZ12" s="630" t="s">
        <v>652</v>
      </c>
      <c r="FA12" s="631" t="s">
        <v>602</v>
      </c>
      <c r="FB12" s="633" t="s">
        <v>606</v>
      </c>
      <c r="FC12" s="632" t="s">
        <v>607</v>
      </c>
      <c r="FD12" s="630" t="s">
        <v>605</v>
      </c>
      <c r="FE12" s="631" t="s">
        <v>602</v>
      </c>
      <c r="FF12" s="633" t="s">
        <v>606</v>
      </c>
      <c r="FG12" s="632" t="str">
        <f>FC12</f>
        <v>Weekendtimer på weekenddage</v>
      </c>
      <c r="FH12" s="630" t="s">
        <v>605</v>
      </c>
      <c r="FI12" s="631" t="s">
        <v>602</v>
      </c>
      <c r="FJ12" s="633" t="s">
        <v>606</v>
      </c>
      <c r="FK12" s="658" t="s">
        <v>568</v>
      </c>
      <c r="FL12" s="630" t="s">
        <v>550</v>
      </c>
      <c r="FM12" s="658" t="s">
        <v>568</v>
      </c>
      <c r="FN12" s="633" t="s">
        <v>550</v>
      </c>
      <c r="FO12" s="715" t="s">
        <v>568</v>
      </c>
      <c r="FP12" s="630" t="s">
        <v>550</v>
      </c>
      <c r="FQ12" s="658" t="s">
        <v>568</v>
      </c>
      <c r="FR12" s="633" t="s">
        <v>550</v>
      </c>
      <c r="FS12" s="659" t="s">
        <v>563</v>
      </c>
      <c r="FT12" s="660" t="s">
        <v>564</v>
      </c>
      <c r="FU12" s="658" t="s">
        <v>549</v>
      </c>
      <c r="FV12" s="630" t="s">
        <v>550</v>
      </c>
      <c r="FW12" s="662" t="s">
        <v>549</v>
      </c>
      <c r="FX12" s="663" t="s">
        <v>550</v>
      </c>
      <c r="FY12" s="667" t="s">
        <v>570</v>
      </c>
      <c r="FZ12" s="660" t="s">
        <v>570</v>
      </c>
      <c r="GA12" s="294" t="s">
        <v>572</v>
      </c>
      <c r="GB12" s="659" t="s">
        <v>574</v>
      </c>
      <c r="GC12" s="659" t="s">
        <v>574</v>
      </c>
      <c r="GD12" s="659" t="s">
        <v>574</v>
      </c>
      <c r="GE12" s="659" t="s">
        <v>574</v>
      </c>
      <c r="GF12" s="659" t="s">
        <v>565</v>
      </c>
      <c r="GG12" s="660" t="s">
        <v>566</v>
      </c>
      <c r="GH12" s="659" t="s">
        <v>565</v>
      </c>
      <c r="GI12" s="660" t="s">
        <v>566</v>
      </c>
      <c r="GJ12" s="712" t="s">
        <v>635</v>
      </c>
      <c r="GK12" s="712" t="s">
        <v>636</v>
      </c>
      <c r="GL12" s="712" t="s">
        <v>637</v>
      </c>
      <c r="GM12" s="712" t="s">
        <v>638</v>
      </c>
      <c r="GN12" s="712" t="s">
        <v>640</v>
      </c>
      <c r="GO12" s="712" t="s">
        <v>639</v>
      </c>
      <c r="GP12" s="722" t="s">
        <v>662</v>
      </c>
    </row>
    <row r="13" spans="1:198" ht="20" customHeight="1">
      <c r="A13" s="1190"/>
      <c r="B13" s="1191"/>
      <c r="C13" s="1191"/>
      <c r="D13" s="1192"/>
      <c r="E13" s="1205"/>
      <c r="F13" s="1206"/>
      <c r="G13" s="1207"/>
      <c r="H13" s="1048"/>
      <c r="I13" s="1031"/>
      <c r="J13" s="1032"/>
      <c r="K13" s="1076" t="s">
        <v>320</v>
      </c>
      <c r="L13" s="1058"/>
      <c r="M13" s="1058"/>
      <c r="N13" s="1058"/>
      <c r="O13" s="1058"/>
      <c r="P13" s="1058"/>
      <c r="Q13" s="1058"/>
      <c r="R13" s="1077"/>
      <c r="S13" s="1057" t="s">
        <v>377</v>
      </c>
      <c r="T13" s="1058"/>
      <c r="U13" s="1059"/>
      <c r="V13" s="1076" t="s">
        <v>378</v>
      </c>
      <c r="W13" s="1058"/>
      <c r="X13" s="1077"/>
      <c r="Y13" s="209"/>
      <c r="Z13" s="423"/>
      <c r="AA13" s="294"/>
      <c r="BB13" s="223"/>
      <c r="CA13" s="109"/>
      <c r="CB13" s="228"/>
      <c r="CC13" s="294"/>
      <c r="CX13" s="242"/>
      <c r="DA13" s="242"/>
      <c r="DB13" s="242"/>
      <c r="DC13" s="242"/>
      <c r="DD13" s="242"/>
      <c r="DE13" s="242"/>
      <c r="DF13" s="242"/>
      <c r="DG13" s="242"/>
      <c r="DH13" t="s">
        <v>476</v>
      </c>
      <c r="DI13" t="s">
        <v>477</v>
      </c>
      <c r="DJ13" t="s">
        <v>478</v>
      </c>
      <c r="DO13" s="628"/>
      <c r="DP13" s="714" t="s">
        <v>641</v>
      </c>
      <c r="DS13" s="1176" t="s">
        <v>160</v>
      </c>
      <c r="DT13" s="1176"/>
      <c r="DU13" s="1176"/>
      <c r="DV13" s="1177"/>
      <c r="EA13" s="1178" t="s">
        <v>160</v>
      </c>
      <c r="EB13" s="1178"/>
      <c r="EC13" s="1178"/>
      <c r="ED13" s="629"/>
      <c r="EE13" s="277"/>
      <c r="EF13" s="245"/>
      <c r="EG13" s="1045" t="s">
        <v>160</v>
      </c>
      <c r="EH13" s="1046"/>
      <c r="EI13" s="277"/>
      <c r="EJ13" s="245"/>
      <c r="EK13" s="1045" t="s">
        <v>160</v>
      </c>
      <c r="EL13" s="1046"/>
      <c r="EM13" s="277"/>
      <c r="EN13" s="245"/>
      <c r="EO13" s="1045" t="s">
        <v>160</v>
      </c>
      <c r="EP13" s="1046"/>
      <c r="EQ13" s="277"/>
      <c r="ER13" s="245"/>
      <c r="ES13" s="1045" t="s">
        <v>160</v>
      </c>
      <c r="ET13" s="1046"/>
      <c r="EU13" s="277"/>
      <c r="EV13" s="245"/>
      <c r="EW13" s="1045" t="s">
        <v>160</v>
      </c>
      <c r="EX13" s="1046"/>
      <c r="EY13" s="277"/>
      <c r="EZ13" s="245"/>
      <c r="FA13" s="1045" t="s">
        <v>160</v>
      </c>
      <c r="FB13" s="1046"/>
      <c r="FC13" s="277"/>
      <c r="FD13" s="245"/>
      <c r="FE13" s="1045" t="s">
        <v>160</v>
      </c>
      <c r="FF13" s="1046"/>
      <c r="FG13" s="277"/>
      <c r="FH13" s="245"/>
      <c r="FI13" s="1045" t="s">
        <v>160</v>
      </c>
      <c r="FJ13" s="1046"/>
      <c r="FK13" s="277"/>
      <c r="FL13" s="245"/>
      <c r="FM13" s="1045" t="s">
        <v>160</v>
      </c>
      <c r="FN13" s="1046"/>
      <c r="FO13" s="277"/>
      <c r="FP13" s="245"/>
      <c r="FQ13" s="1045" t="s">
        <v>160</v>
      </c>
      <c r="FR13" s="1046"/>
      <c r="FT13" s="622" t="s">
        <v>158</v>
      </c>
      <c r="FU13" s="277"/>
      <c r="FV13" s="245"/>
      <c r="FW13" s="1045" t="s">
        <v>160</v>
      </c>
      <c r="FX13" s="1175"/>
      <c r="FY13" s="277"/>
      <c r="FZ13" s="668" t="s">
        <v>158</v>
      </c>
      <c r="GC13" s="622" t="s">
        <v>158</v>
      </c>
      <c r="GE13" s="622" t="s">
        <v>158</v>
      </c>
      <c r="GG13" s="622" t="s">
        <v>158</v>
      </c>
      <c r="GI13" s="622" t="s">
        <v>158</v>
      </c>
    </row>
    <row r="14" spans="1:198">
      <c r="A14" s="239">
        <f>IF(ISNUMBER(A12),A12+1,1)</f>
        <v>1</v>
      </c>
      <c r="B14" s="125" t="str">
        <f t="shared" ref="B14:B43" si="0">CHOOSE(MOD(WEEKDAY(DATE(A$11,A$2,A14)),7)+1,"lø","sø","ma","ti","on","to","fr",)</f>
        <v>sø</v>
      </c>
      <c r="C14" s="126" t="s">
        <v>118</v>
      </c>
      <c r="D14" s="127" t="str">
        <f t="shared" ref="D14:D43" si="1">IF(B14="ma",(DATE(A$11,A$2,A14)-DATE(A$11,1,1)+7)/7,"")</f>
        <v/>
      </c>
      <c r="E14" s="1060"/>
      <c r="F14" s="1061"/>
      <c r="G14" s="1062"/>
      <c r="H14" s="292"/>
      <c r="I14" s="746" t="str">
        <f>IF(GO14=1,"X","")</f>
        <v/>
      </c>
      <c r="J14" s="746" t="str">
        <f t="shared" ref="J14:J43" si="2">IF(C14="Lejrskole","X","")</f>
        <v/>
      </c>
      <c r="K14" s="368"/>
      <c r="L14" s="368"/>
      <c r="M14" s="368"/>
      <c r="N14" s="311">
        <f>BA14</f>
        <v>0</v>
      </c>
      <c r="O14" s="311">
        <f>CA14</f>
        <v>0</v>
      </c>
      <c r="P14" s="311">
        <f>IF(Stamoplysninger!$H$34="JA",November!DG14,CX14)</f>
        <v>0</v>
      </c>
      <c r="Q14" s="311">
        <f>IF(OR(OR(C14="Lejrskole",C14="Ekskursion",C14="pæd.dag")),0,N14-O14-P14)</f>
        <v>0</v>
      </c>
      <c r="R14" s="751"/>
      <c r="S14" s="315"/>
      <c r="T14" s="316"/>
      <c r="U14" s="316"/>
      <c r="V14" s="422"/>
      <c r="W14" s="422"/>
      <c r="X14" s="621"/>
      <c r="Y14">
        <f>IF($S$14="x",V14-N14,0)</f>
        <v>0</v>
      </c>
      <c r="Z14" s="424">
        <f>W14</f>
        <v>0</v>
      </c>
      <c r="AA14" s="1">
        <f t="shared" ref="AA14:AA43" si="3">IF(C14="emnedag",K14,0)</f>
        <v>0</v>
      </c>
      <c r="AB14" s="1">
        <f t="shared" ref="AB14:AB43" si="4">IF(C14="fagdag",K14,0)</f>
        <v>0</v>
      </c>
      <c r="AC14" s="1">
        <f t="shared" ref="AC14:AC43" si="5">IF(C14="Pæd.dag",K14,0)</f>
        <v>0</v>
      </c>
      <c r="AD14" s="1">
        <f t="shared" ref="AD14:AD43" si="6">IF(C14="Ekskursion",K14,0)</f>
        <v>0</v>
      </c>
      <c r="AE14" s="1">
        <f t="shared" ref="AE14:AE43" si="7">IF(C14="Lejrskole",K14,0)</f>
        <v>0</v>
      </c>
      <c r="AF14" s="1">
        <f>IF(C14="Orlov",7.4*Stamoplysninger!$E$20,0)</f>
        <v>0</v>
      </c>
      <c r="AG14" t="str">
        <f>IF(AND(C14="Skema 1",B14="ma"),Arbejdstidsoversigt!$E$77,"")</f>
        <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3" si="8">SUM(AG14:AK14)*24</f>
        <v>0</v>
      </c>
      <c r="BC14" s="1">
        <f>IF($C$14="Lejrskole",$L$14,0)</f>
        <v>0</v>
      </c>
      <c r="BD14" s="1">
        <f t="shared" ref="BD14:BD43" si="9">IF(C14="Ekskursion",L14,0)</f>
        <v>0</v>
      </c>
      <c r="BE14" s="1">
        <f t="shared" ref="BE14:BE43" si="10">IF(C14="fagdag",L14,0)</f>
        <v>0</v>
      </c>
      <c r="BF14" s="1">
        <f t="shared" ref="BF14:BF43" si="11">IF(C14="emnedag",L14,0)</f>
        <v>0</v>
      </c>
      <c r="BG14" s="207" t="str">
        <f>IF(AND(C14="Skema 1",B14="ma"),Skemaoplysninger!$E$46,"")</f>
        <v/>
      </c>
      <c r="BH14" s="207" t="str">
        <f>IF(AND(C14="Skema 1",B14="ti"),Skemaoplysninger!$G$46,"")</f>
        <v/>
      </c>
      <c r="BI14" s="207" t="str">
        <f>IF(AND(C14="Skema 1",B14="on"),Skemaoplysninger!$I$46,"")</f>
        <v/>
      </c>
      <c r="BJ14" s="207" t="str">
        <f>IF(AND(C14="Skema 1",B14="to"),Skemaoplysninger!$K$46,"")</f>
        <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0</v>
      </c>
      <c r="CB14" s="1">
        <f t="shared" ref="CB14:CB43" si="12">IF(C14="fagdag",M14,0)</f>
        <v>0</v>
      </c>
      <c r="CC14" s="1">
        <f t="shared" ref="CC14:CC43" si="13">IF(C14="emnedag",M14,0)</f>
        <v>0</v>
      </c>
      <c r="CD14" s="207" t="str">
        <f>IF(AND(C14="Skema 1",B14="ma"),Skemaoplysninger!$E$47,"")</f>
        <v/>
      </c>
      <c r="CE14" s="207" t="str">
        <f>IF(AND(C14="Skema 1",B14="ti"),Skemaoplysninger!$G$47,"")</f>
        <v/>
      </c>
      <c r="CF14" s="207" t="str">
        <f>IF(AND(C14="Skema 1",B14="on"),Skemaoplysninger!$I$47,"")</f>
        <v/>
      </c>
      <c r="CG14" s="207" t="str">
        <f>IF(AND(C14="Skema 1",B14="to"),Skemaoplysninger!$K$47,"")</f>
        <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4" si="14">IF(DH14=0,"",DH14)</f>
        <v/>
      </c>
      <c r="DL14" t="str">
        <f>IF(DI14=0,"",DI14)</f>
        <v/>
      </c>
      <c r="DM14" t="str">
        <f>IF(DJ14=0,"",DJ14)</f>
        <v/>
      </c>
      <c r="DN14" t="str">
        <f>DK14&amp;""&amp;DL14&amp;""&amp;DM14</f>
        <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3" si="15">IF(AND(I14="X",S14="X"),V14,0)</f>
        <v>0</v>
      </c>
      <c r="FZ14" s="634">
        <f t="shared" ref="FZ14:FZ43" si="16">IF(AND(AND(C14="ikke relevant",I14="X",S14="X")),V14,0)</f>
        <v>0</v>
      </c>
      <c r="GA14">
        <f t="shared" ref="GA14:GA43" si="17">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3" si="18">IF(C14="emnedag","X",0)</f>
        <v>0</v>
      </c>
      <c r="GL14">
        <f t="shared" ref="GL14:GL43" si="19">IF(C14="ekskursion","X",0)</f>
        <v>0</v>
      </c>
      <c r="GM14">
        <f t="shared" ref="GM14:GM43" si="20">IF(C14="pæd.dag","X",0)</f>
        <v>0</v>
      </c>
      <c r="GN14" s="713">
        <f t="shared" ref="GN14:GN43" si="21">IF(C14="lejrskole","X",0)</f>
        <v>0</v>
      </c>
      <c r="GO14">
        <f>COUNTIF(GJ14:GN14,"X")</f>
        <v>0</v>
      </c>
      <c r="GP14" s="647">
        <f>IF(AND(I14="X",S14="X"),V14,0)</f>
        <v>0</v>
      </c>
    </row>
    <row r="15" spans="1:198">
      <c r="A15" s="239">
        <f t="shared" ref="A15:A43" si="22">IF(ISNUMBER(A14),A14+1,1)</f>
        <v>2</v>
      </c>
      <c r="B15" s="125" t="str">
        <f t="shared" si="0"/>
        <v>ma</v>
      </c>
      <c r="C15" s="126" t="s">
        <v>203</v>
      </c>
      <c r="D15" s="127">
        <f t="shared" si="1"/>
        <v>44.571428571428569</v>
      </c>
      <c r="E15" s="1060"/>
      <c r="F15" s="1061"/>
      <c r="G15" s="1062"/>
      <c r="H15" s="292"/>
      <c r="I15" s="745"/>
      <c r="J15" s="746" t="str">
        <f t="shared" si="2"/>
        <v/>
      </c>
      <c r="K15" s="368"/>
      <c r="L15" s="368"/>
      <c r="M15" s="368"/>
      <c r="N15" s="311">
        <f t="shared" ref="N15:N43" si="23">BA15</f>
        <v>8.11</v>
      </c>
      <c r="O15" s="311">
        <f t="shared" ref="O15:O43" si="24">CA15</f>
        <v>4.5</v>
      </c>
      <c r="P15" s="311">
        <f>IF(Stamoplysninger!$H$34="JA",November!DG15,CX15)</f>
        <v>1.9166666666666665</v>
      </c>
      <c r="Q15" s="311">
        <f t="shared" ref="Q15:Q43" si="25">IF(OR(OR(C15="Lejrskole",C15="Ekskursion",C15="pæd.dag")),0,N15-O15-P15)</f>
        <v>1.6933333333333329</v>
      </c>
      <c r="R15" s="751"/>
      <c r="S15" s="315"/>
      <c r="T15" s="316"/>
      <c r="U15" s="316"/>
      <c r="V15" s="422"/>
      <c r="W15" s="422"/>
      <c r="X15" s="621"/>
      <c r="Y15">
        <f t="shared" ref="Y15:Y43" si="26">IF(S15="x",V15-N15,0)</f>
        <v>0</v>
      </c>
      <c r="Z15" s="424">
        <f t="shared" ref="Z15:Z43" si="27">W15</f>
        <v>0</v>
      </c>
      <c r="AA15" s="1">
        <f t="shared" si="3"/>
        <v>0</v>
      </c>
      <c r="AB15" s="1">
        <f t="shared" si="4"/>
        <v>0</v>
      </c>
      <c r="AC15" s="1">
        <f t="shared" si="5"/>
        <v>0</v>
      </c>
      <c r="AD15" s="1">
        <f t="shared" si="6"/>
        <v>0</v>
      </c>
      <c r="AE15" s="1">
        <f t="shared" si="7"/>
        <v>0</v>
      </c>
      <c r="AF15" s="1">
        <f>IF(C15="Orlov",7.4*Stamoplysninger!$E$20,0)</f>
        <v>0</v>
      </c>
      <c r="AG15">
        <f>IF(AND(C15="Skema 1",B15="ma"),Arbejdstidsoversigt!$E$77,"")</f>
        <v>8.11</v>
      </c>
      <c r="AH15" t="str">
        <f>IF(AND(C15="Skema 1",B15="ti"),Arbejdstidsoversigt!$E$78,"")</f>
        <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3" si="28">SUM(AA15:AZ15)</f>
        <v>8.11</v>
      </c>
      <c r="BB15" s="224">
        <f t="shared" si="8"/>
        <v>194.64</v>
      </c>
      <c r="BC15" s="1">
        <f t="shared" ref="BC15:BC43" si="29">IF(C15="Lejrskole",L15,0)</f>
        <v>0</v>
      </c>
      <c r="BD15" s="1">
        <f t="shared" si="9"/>
        <v>0</v>
      </c>
      <c r="BE15" s="1">
        <f t="shared" si="10"/>
        <v>0</v>
      </c>
      <c r="BF15" s="1">
        <f t="shared" si="11"/>
        <v>0</v>
      </c>
      <c r="BG15" s="207">
        <f>IF(AND(C15="Skema 1",B15="ma"),Skemaoplysninger!$E$46,"")</f>
        <v>0.1875</v>
      </c>
      <c r="BH15" s="207" t="str">
        <f>IF(AND(C15="Skema 1",B15="ti"),Skemaoplysninger!$G$46,"")</f>
        <v/>
      </c>
      <c r="BI15" s="207" t="str">
        <f>IF(AND(C15="Skema 1",B15="on"),Skemaoplysninger!$I$46,"")</f>
        <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43" si="30">SUM(BG15:BZ15)*24+SUM(BC15:BF15)</f>
        <v>4.5</v>
      </c>
      <c r="CB15" s="1">
        <f t="shared" si="12"/>
        <v>0</v>
      </c>
      <c r="CC15" s="1">
        <f t="shared" si="13"/>
        <v>0</v>
      </c>
      <c r="CD15" s="207">
        <f>IF(AND(C15="Skema 1",B15="ma"),Skemaoplysninger!$E$47,"")</f>
        <v>7.9861111111111105E-2</v>
      </c>
      <c r="CE15" s="207" t="str">
        <f>IF(AND(C15="Skema 1",B15="ti"),Skemaoplysninger!$G$47,"")</f>
        <v/>
      </c>
      <c r="CF15" s="207" t="str">
        <f>IF(AND(C15="Skema 1",B15="on"),Skemaoplysninger!$I$47,"")</f>
        <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1.9166666666666665</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3" si="31">SUM(CY15:DF15)</f>
        <v>0</v>
      </c>
      <c r="DH15" t="str">
        <f t="shared" ref="DH15:DH44" si="32">IF(AND(E15&gt;0,H15&gt;0),""&amp;E15&amp;" og "&amp;H15&amp;"","")</f>
        <v/>
      </c>
      <c r="DI15">
        <f t="shared" ref="DI15:DI43" si="33">IF(H15="",E15,"")</f>
        <v>0</v>
      </c>
      <c r="DJ15">
        <f t="shared" ref="DJ15:DJ43" si="34">IF(E15="",H15,"")</f>
        <v>0</v>
      </c>
      <c r="DK15" t="str">
        <f t="shared" si="14"/>
        <v/>
      </c>
      <c r="DL15" t="str">
        <f t="shared" si="14"/>
        <v/>
      </c>
      <c r="DM15" t="str">
        <f t="shared" si="14"/>
        <v/>
      </c>
      <c r="DN15" t="str">
        <f t="shared" ref="DN15:DN44" si="35">DK15&amp;""&amp;DL15&amp;""&amp;DM15</f>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5"/>
        <v>0</v>
      </c>
      <c r="FZ15" s="634">
        <f t="shared" si="16"/>
        <v>0</v>
      </c>
      <c r="GA15">
        <f t="shared" si="17"/>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3" si="36">IF(C15="fagdag","X",0)</f>
        <v>0</v>
      </c>
      <c r="GK15">
        <f t="shared" si="18"/>
        <v>0</v>
      </c>
      <c r="GL15">
        <f t="shared" si="19"/>
        <v>0</v>
      </c>
      <c r="GM15">
        <f t="shared" si="20"/>
        <v>0</v>
      </c>
      <c r="GN15" s="713">
        <f t="shared" si="21"/>
        <v>0</v>
      </c>
      <c r="GO15">
        <f t="shared" ref="GO15:GO43" si="37">COUNTIF(GJ15:GN15,"X")</f>
        <v>0</v>
      </c>
      <c r="GP15" s="647">
        <f t="shared" ref="GP15:GP43" si="38">IF(AND(I15="X",S15="X"),V15,0)</f>
        <v>0</v>
      </c>
    </row>
    <row r="16" spans="1:198">
      <c r="A16" s="239">
        <f t="shared" si="22"/>
        <v>3</v>
      </c>
      <c r="B16" s="125" t="str">
        <f t="shared" si="0"/>
        <v>ti</v>
      </c>
      <c r="C16" s="126" t="s">
        <v>134</v>
      </c>
      <c r="D16" s="127" t="str">
        <f t="shared" si="1"/>
        <v/>
      </c>
      <c r="E16" s="1060" t="s">
        <v>754</v>
      </c>
      <c r="F16" s="1061"/>
      <c r="G16" s="1062"/>
      <c r="H16" s="292"/>
      <c r="I16" s="745"/>
      <c r="J16" s="746" t="str">
        <f t="shared" si="2"/>
        <v/>
      </c>
      <c r="K16" s="368">
        <v>6</v>
      </c>
      <c r="L16" s="368">
        <v>3.75</v>
      </c>
      <c r="M16" s="368">
        <v>1</v>
      </c>
      <c r="N16" s="311">
        <f t="shared" si="23"/>
        <v>6</v>
      </c>
      <c r="O16" s="311">
        <f t="shared" si="24"/>
        <v>3.75</v>
      </c>
      <c r="P16" s="311">
        <f>IF(Stamoplysninger!$H$34="JA",November!DG16,CX16)</f>
        <v>1</v>
      </c>
      <c r="Q16" s="311">
        <f t="shared" si="25"/>
        <v>1.25</v>
      </c>
      <c r="R16" s="751"/>
      <c r="S16" s="315"/>
      <c r="T16" s="316"/>
      <c r="U16" s="316"/>
      <c r="V16" s="422"/>
      <c r="W16" s="422"/>
      <c r="X16" s="621"/>
      <c r="Y16">
        <f t="shared" si="26"/>
        <v>0</v>
      </c>
      <c r="Z16" s="424">
        <f t="shared" si="27"/>
        <v>0</v>
      </c>
      <c r="AA16" s="1">
        <f t="shared" si="3"/>
        <v>0</v>
      </c>
      <c r="AB16" s="1">
        <f t="shared" si="4"/>
        <v>6</v>
      </c>
      <c r="AC16" s="1">
        <f t="shared" si="5"/>
        <v>0</v>
      </c>
      <c r="AD16" s="1">
        <f t="shared" si="6"/>
        <v>0</v>
      </c>
      <c r="AE16" s="1">
        <f t="shared" si="7"/>
        <v>0</v>
      </c>
      <c r="AF16" s="1">
        <f>IF(C16="Orlov",7.4*Stamoplysninger!$E$20,0)</f>
        <v>0</v>
      </c>
      <c r="AG16" t="str">
        <f>IF(AND(C16="Skema 1",B16="ma"),Arbejdstidsoversigt!$E$77,"")</f>
        <v/>
      </c>
      <c r="AH16" t="str">
        <f>IF(AND(C16="Skema 1",B16="ti"),Arbejdstidsoversigt!$E$78,"")</f>
        <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6</v>
      </c>
      <c r="BB16" s="224">
        <f t="shared" si="8"/>
        <v>0</v>
      </c>
      <c r="BC16" s="1">
        <f t="shared" si="29"/>
        <v>0</v>
      </c>
      <c r="BD16" s="1">
        <f t="shared" si="9"/>
        <v>0</v>
      </c>
      <c r="BE16" s="1">
        <f t="shared" si="10"/>
        <v>3.75</v>
      </c>
      <c r="BF16" s="1">
        <f t="shared" si="11"/>
        <v>0</v>
      </c>
      <c r="BG16" s="207" t="str">
        <f>IF(AND(C16="Skema 1",B16="ma"),Skemaoplysninger!$E$46,"")</f>
        <v/>
      </c>
      <c r="BH16" s="207" t="str">
        <f>IF(AND(C16="Skema 1",B16="ti"),Skemaoplysninger!$G$46,"")</f>
        <v/>
      </c>
      <c r="BI16" s="207" t="str">
        <f>IF(AND(C16="Skema 1",B16="on"),Skemaoplysninger!$I$46,"")</f>
        <v/>
      </c>
      <c r="BJ16" s="207" t="str">
        <f>IF(AND(C16="Skema 1",B16="to"),Skemaoplysninger!$K$46,"")</f>
        <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0"/>
        <v>3.75</v>
      </c>
      <c r="CB16" s="1">
        <f t="shared" si="12"/>
        <v>1</v>
      </c>
      <c r="CC16" s="1">
        <f t="shared" si="13"/>
        <v>0</v>
      </c>
      <c r="CD16" s="207" t="str">
        <f>IF(AND(C16="Skema 1",B16="ma"),Skemaoplysninger!$E$47,"")</f>
        <v/>
      </c>
      <c r="CE16" s="207" t="str">
        <f>IF(AND(C16="Skema 1",B16="ti"),Skemaoplysninger!$G$47,"")</f>
        <v/>
      </c>
      <c r="CF16" s="207" t="str">
        <f>IF(AND(C16="Skema 1",B16="on"),Skemaoplysninger!$I$47,"")</f>
        <v/>
      </c>
      <c r="CG16" s="207" t="str">
        <f>IF(AND(C16="Skema 1",B16="to"),Skemaoplysninger!$K$47,"")</f>
        <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1</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t="str">
        <f t="shared" si="33"/>
        <v>dansk</v>
      </c>
      <c r="DJ16" t="str">
        <f t="shared" si="34"/>
        <v/>
      </c>
      <c r="DK16" t="str">
        <f t="shared" si="14"/>
        <v/>
      </c>
      <c r="DL16" t="str">
        <f t="shared" si="14"/>
        <v>dansk</v>
      </c>
      <c r="DM16" t="str">
        <f t="shared" si="14"/>
        <v/>
      </c>
      <c r="DN16" t="str">
        <f t="shared" si="35"/>
        <v>dansk</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5"/>
        <v>0</v>
      </c>
      <c r="FZ16" s="634">
        <f t="shared" si="16"/>
        <v>0</v>
      </c>
      <c r="GA16">
        <f t="shared" si="17"/>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t="str">
        <f t="shared" si="36"/>
        <v>X</v>
      </c>
      <c r="GK16">
        <f t="shared" si="18"/>
        <v>0</v>
      </c>
      <c r="GL16">
        <f t="shared" si="19"/>
        <v>0</v>
      </c>
      <c r="GM16">
        <f t="shared" si="20"/>
        <v>0</v>
      </c>
      <c r="GN16" s="713">
        <f t="shared" si="21"/>
        <v>0</v>
      </c>
      <c r="GO16">
        <f t="shared" si="37"/>
        <v>1</v>
      </c>
      <c r="GP16" s="647">
        <f t="shared" si="38"/>
        <v>0</v>
      </c>
    </row>
    <row r="17" spans="1:198">
      <c r="A17" s="239">
        <f t="shared" si="22"/>
        <v>4</v>
      </c>
      <c r="B17" s="125" t="str">
        <f t="shared" si="0"/>
        <v>on</v>
      </c>
      <c r="C17" s="126" t="s">
        <v>203</v>
      </c>
      <c r="D17" s="127" t="str">
        <f t="shared" si="1"/>
        <v/>
      </c>
      <c r="E17" s="1060"/>
      <c r="F17" s="1061"/>
      <c r="G17" s="1062"/>
      <c r="H17" s="292"/>
      <c r="I17" s="745"/>
      <c r="J17" s="746" t="str">
        <f t="shared" si="2"/>
        <v/>
      </c>
      <c r="K17" s="368"/>
      <c r="L17" s="368"/>
      <c r="M17" s="368"/>
      <c r="N17" s="311">
        <f t="shared" si="23"/>
        <v>8.11</v>
      </c>
      <c r="O17" s="311">
        <f t="shared" si="24"/>
        <v>2.75</v>
      </c>
      <c r="P17" s="311">
        <f>IF(Stamoplysninger!$H$34="JA",November!DG17,CX17)</f>
        <v>1.25</v>
      </c>
      <c r="Q17" s="311">
        <f t="shared" si="25"/>
        <v>4.1099999999999994</v>
      </c>
      <c r="R17" s="751"/>
      <c r="S17" s="315"/>
      <c r="T17" s="316"/>
      <c r="U17" s="316"/>
      <c r="V17" s="422"/>
      <c r="W17" s="422"/>
      <c r="X17" s="621"/>
      <c r="Y17">
        <f t="shared" si="26"/>
        <v>0</v>
      </c>
      <c r="Z17" s="424">
        <f t="shared" si="27"/>
        <v>0</v>
      </c>
      <c r="AA17" s="1">
        <f t="shared" si="3"/>
        <v>0</v>
      </c>
      <c r="AB17" s="1">
        <f t="shared" si="4"/>
        <v>0</v>
      </c>
      <c r="AC17" s="1">
        <f t="shared" si="5"/>
        <v>0</v>
      </c>
      <c r="AD17" s="1">
        <f t="shared" si="6"/>
        <v>0</v>
      </c>
      <c r="AE17" s="1">
        <f t="shared" si="7"/>
        <v>0</v>
      </c>
      <c r="AF17" s="1">
        <f>IF(C17="Orlov",7.4*Stamoplysninger!$E$20,0)</f>
        <v>0</v>
      </c>
      <c r="AG17" t="str">
        <f>IF(AND(C17="Skema 1",B17="ma"),Arbejdstidsoversigt!$E$77,"")</f>
        <v/>
      </c>
      <c r="AH17" t="str">
        <f>IF(AND(C17="Skema 1",B17="ti"),Arbejdstidsoversigt!$E$78,"")</f>
        <v/>
      </c>
      <c r="AI17">
        <f>IF(AND(C17="Skema 1",B17="on"),Arbejdstidsoversigt!$E$79,"")</f>
        <v>8.11</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8.11</v>
      </c>
      <c r="BB17" s="224">
        <f t="shared" si="8"/>
        <v>194.64</v>
      </c>
      <c r="BC17" s="1">
        <f t="shared" si="29"/>
        <v>0</v>
      </c>
      <c r="BD17" s="1">
        <f t="shared" si="9"/>
        <v>0</v>
      </c>
      <c r="BE17" s="1">
        <f t="shared" si="10"/>
        <v>0</v>
      </c>
      <c r="BF17" s="1">
        <f t="shared" si="11"/>
        <v>0</v>
      </c>
      <c r="BG17" s="207" t="str">
        <f>IF(AND(C17="Skema 1",B17="ma"),Skemaoplysninger!$E$46,"")</f>
        <v/>
      </c>
      <c r="BH17" s="207" t="str">
        <f>IF(AND(C17="Skema 1",B17="ti"),Skemaoplysninger!$G$46,"")</f>
        <v/>
      </c>
      <c r="BI17" s="207">
        <f>IF(AND(C17="Skema 1",B17="on"),Skemaoplysninger!$I$46,"")</f>
        <v>0.11458333333333333</v>
      </c>
      <c r="BJ17" s="207" t="str">
        <f>IF(AND(C17="Skema 1",B17="to"),Skemaoplysninger!$K$46,"")</f>
        <v/>
      </c>
      <c r="BK17" s="207" t="str">
        <f>IF(AND(C17="Skema 1",B17="fr"),Skemaoplysninger!$M$46,"")</f>
        <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2.75</v>
      </c>
      <c r="CB17" s="1">
        <f t="shared" si="12"/>
        <v>0</v>
      </c>
      <c r="CC17" s="1">
        <f t="shared" si="13"/>
        <v>0</v>
      </c>
      <c r="CD17" s="207" t="str">
        <f>IF(AND(C17="Skema 1",B17="ma"),Skemaoplysninger!$E$47,"")</f>
        <v/>
      </c>
      <c r="CE17" s="207" t="str">
        <f>IF(AND(C17="Skema 1",B17="ti"),Skemaoplysninger!$G$47,"")</f>
        <v/>
      </c>
      <c r="CF17" s="207">
        <f>IF(AND(C17="Skema 1",B17="on"),Skemaoplysninger!$I$47,"")</f>
        <v>5.2083333333333329E-2</v>
      </c>
      <c r="CG17" s="207" t="str">
        <f>IF(AND(C17="Skema 1",B17="to"),Skemaoplysninger!$K$47,"")</f>
        <v/>
      </c>
      <c r="CH17" s="207" t="str">
        <f>IF(AND(C17="Skema 1",B17="fr"),Skemaoplysninger!$M$47,"")</f>
        <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1.25</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4"/>
        <v/>
      </c>
      <c r="DL17" t="str">
        <f t="shared" si="14"/>
        <v/>
      </c>
      <c r="DM17" t="str">
        <f t="shared" si="14"/>
        <v/>
      </c>
      <c r="DN17" t="str">
        <f t="shared" si="3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5"/>
        <v>0</v>
      </c>
      <c r="FZ17" s="634">
        <f t="shared" si="16"/>
        <v>0</v>
      </c>
      <c r="GA17">
        <f t="shared" si="17"/>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8"/>
        <v>0</v>
      </c>
      <c r="GL17">
        <f t="shared" si="19"/>
        <v>0</v>
      </c>
      <c r="GM17">
        <f t="shared" si="20"/>
        <v>0</v>
      </c>
      <c r="GN17" s="713">
        <f t="shared" si="21"/>
        <v>0</v>
      </c>
      <c r="GO17">
        <f t="shared" si="37"/>
        <v>0</v>
      </c>
      <c r="GP17" s="647">
        <f t="shared" si="38"/>
        <v>0</v>
      </c>
    </row>
    <row r="18" spans="1:198">
      <c r="A18" s="239">
        <f t="shared" si="22"/>
        <v>5</v>
      </c>
      <c r="B18" s="125" t="str">
        <f t="shared" si="0"/>
        <v>to</v>
      </c>
      <c r="C18" s="126" t="s">
        <v>203</v>
      </c>
      <c r="D18" s="127" t="str">
        <f t="shared" si="1"/>
        <v/>
      </c>
      <c r="E18" s="1060"/>
      <c r="F18" s="1061"/>
      <c r="G18" s="1062"/>
      <c r="H18" s="292"/>
      <c r="I18" s="745"/>
      <c r="J18" s="746" t="str">
        <f t="shared" si="2"/>
        <v/>
      </c>
      <c r="K18" s="368"/>
      <c r="L18" s="368"/>
      <c r="M18" s="368"/>
      <c r="N18" s="311">
        <f t="shared" si="23"/>
        <v>9</v>
      </c>
      <c r="O18" s="311">
        <f t="shared" si="24"/>
        <v>3.75</v>
      </c>
      <c r="P18" s="311">
        <f>IF(Stamoplysninger!$H$34="JA",November!DG18,CX18)</f>
        <v>1</v>
      </c>
      <c r="Q18" s="311">
        <f t="shared" si="25"/>
        <v>4.25</v>
      </c>
      <c r="R18" s="751"/>
      <c r="S18" s="315"/>
      <c r="T18" s="316"/>
      <c r="U18" s="316"/>
      <c r="V18" s="422"/>
      <c r="W18" s="422"/>
      <c r="X18" s="621"/>
      <c r="Y18">
        <f t="shared" si="26"/>
        <v>0</v>
      </c>
      <c r="Z18" s="424">
        <f t="shared" si="27"/>
        <v>0</v>
      </c>
      <c r="AA18" s="1">
        <f t="shared" si="3"/>
        <v>0</v>
      </c>
      <c r="AB18" s="1">
        <f t="shared" si="4"/>
        <v>0</v>
      </c>
      <c r="AC18" s="1">
        <f t="shared" si="5"/>
        <v>0</v>
      </c>
      <c r="AD18" s="1">
        <f t="shared" si="6"/>
        <v>0</v>
      </c>
      <c r="AE18" s="1">
        <f t="shared" si="7"/>
        <v>0</v>
      </c>
      <c r="AF18" s="1">
        <f>IF(C18="Orlov",7.4*Stamoplysninger!$E$20,0)</f>
        <v>0</v>
      </c>
      <c r="AG18" t="str">
        <f>IF(AND(C18="Skema 1",B18="ma"),Arbejdstidsoversigt!$E$77,"")</f>
        <v/>
      </c>
      <c r="AH18" t="str">
        <f>IF(AND(C18="Skema 1",B18="ti"),Arbejdstidsoversigt!$E$78,"")</f>
        <v/>
      </c>
      <c r="AI18" t="str">
        <f>IF(AND(C18="Skema 1",B18="on"),Arbejdstidsoversigt!$E$79,"")</f>
        <v/>
      </c>
      <c r="AJ18">
        <f>IF(AND(C18="Skema 1",B18="to"),Arbejdstidsoversigt!$E$80,"")</f>
        <v>9</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9</v>
      </c>
      <c r="BB18" s="224">
        <f t="shared" si="8"/>
        <v>216</v>
      </c>
      <c r="BC18" s="1">
        <f t="shared" si="29"/>
        <v>0</v>
      </c>
      <c r="BD18" s="1">
        <f t="shared" si="9"/>
        <v>0</v>
      </c>
      <c r="BE18" s="1">
        <f t="shared" si="10"/>
        <v>0</v>
      </c>
      <c r="BF18" s="1">
        <f t="shared" si="11"/>
        <v>0</v>
      </c>
      <c r="BG18" s="207" t="str">
        <f>IF(AND(C18="Skema 1",B18="ma"),Skemaoplysninger!$E$46,"")</f>
        <v/>
      </c>
      <c r="BH18" s="207" t="str">
        <f>IF(AND(C18="Skema 1",B18="ti"),Skemaoplysninger!$G$46,"")</f>
        <v/>
      </c>
      <c r="BI18" s="207" t="str">
        <f>IF(AND(C18="Skema 1",B18="on"),Skemaoplysninger!$I$46,"")</f>
        <v/>
      </c>
      <c r="BJ18" s="207">
        <f>IF(AND(C18="Skema 1",B18="to"),Skemaoplysninger!$K$46,"")</f>
        <v>0.15625</v>
      </c>
      <c r="BK18" s="207" t="str">
        <f>IF(AND(C18="Skema 1",B18="fr"),Skemaoplysninger!$M$46,"")</f>
        <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3.75</v>
      </c>
      <c r="CB18" s="1">
        <f t="shared" si="12"/>
        <v>0</v>
      </c>
      <c r="CC18" s="1">
        <f t="shared" si="13"/>
        <v>0</v>
      </c>
      <c r="CD18" s="207" t="str">
        <f>IF(AND(C18="Skema 1",B18="ma"),Skemaoplysninger!$E$47,"")</f>
        <v/>
      </c>
      <c r="CE18" s="207" t="str">
        <f>IF(AND(C18="Skema 1",B18="ti"),Skemaoplysninger!$G$47,"")</f>
        <v/>
      </c>
      <c r="CF18" s="207" t="str">
        <f>IF(AND(C18="Skema 1",B18="on"),Skemaoplysninger!$I$47,"")</f>
        <v/>
      </c>
      <c r="CG18" s="207">
        <f>IF(AND(C18="Skema 1",B18="to"),Skemaoplysninger!$K$47,"")</f>
        <v>4.1666666666666664E-2</v>
      </c>
      <c r="CH18" s="207" t="str">
        <f>IF(AND(C18="Skema 1",B18="fr"),Skemaoplysninger!$M$47,"")</f>
        <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1</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4"/>
        <v/>
      </c>
      <c r="DL18" t="str">
        <f t="shared" si="14"/>
        <v/>
      </c>
      <c r="DM18" t="str">
        <f t="shared" si="14"/>
        <v/>
      </c>
      <c r="DN18" t="str">
        <f t="shared" si="35"/>
        <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5"/>
        <v>0</v>
      </c>
      <c r="FZ18" s="634">
        <f t="shared" si="16"/>
        <v>0</v>
      </c>
      <c r="GA18">
        <f t="shared" si="17"/>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8"/>
        <v>0</v>
      </c>
      <c r="GL18">
        <f t="shared" si="19"/>
        <v>0</v>
      </c>
      <c r="GM18">
        <f t="shared" si="20"/>
        <v>0</v>
      </c>
      <c r="GN18" s="713">
        <f t="shared" si="21"/>
        <v>0</v>
      </c>
      <c r="GO18">
        <f t="shared" si="37"/>
        <v>0</v>
      </c>
      <c r="GP18" s="647">
        <f t="shared" si="38"/>
        <v>0</v>
      </c>
    </row>
    <row r="19" spans="1:198" ht="16" customHeight="1">
      <c r="A19" s="239">
        <f t="shared" si="22"/>
        <v>6</v>
      </c>
      <c r="B19" s="125" t="str">
        <f t="shared" si="0"/>
        <v>fr</v>
      </c>
      <c r="C19" s="126" t="s">
        <v>203</v>
      </c>
      <c r="D19" s="127" t="str">
        <f t="shared" si="1"/>
        <v/>
      </c>
      <c r="E19" s="1060"/>
      <c r="F19" s="1061"/>
      <c r="G19" s="1062"/>
      <c r="H19" s="292"/>
      <c r="I19" s="745"/>
      <c r="J19" s="746" t="str">
        <f t="shared" si="2"/>
        <v/>
      </c>
      <c r="K19" s="368"/>
      <c r="L19" s="368"/>
      <c r="M19" s="368"/>
      <c r="N19" s="311">
        <f t="shared" si="23"/>
        <v>7.1</v>
      </c>
      <c r="O19" s="311">
        <f t="shared" si="24"/>
        <v>3.75</v>
      </c>
      <c r="P19" s="311">
        <f>IF(Stamoplysninger!$H$34="JA",November!DG19,CX19)</f>
        <v>1</v>
      </c>
      <c r="Q19" s="311">
        <f t="shared" si="25"/>
        <v>2.3499999999999996</v>
      </c>
      <c r="R19" s="751"/>
      <c r="S19" s="315"/>
      <c r="T19" s="316"/>
      <c r="U19" s="316"/>
      <c r="V19" s="422"/>
      <c r="W19" s="422"/>
      <c r="X19" s="621"/>
      <c r="Y19">
        <f t="shared" si="26"/>
        <v>0</v>
      </c>
      <c r="Z19" s="424">
        <f t="shared" si="27"/>
        <v>0</v>
      </c>
      <c r="AA19" s="1">
        <f t="shared" si="3"/>
        <v>0</v>
      </c>
      <c r="AB19" s="1">
        <f t="shared" si="4"/>
        <v>0</v>
      </c>
      <c r="AC19" s="1">
        <f t="shared" si="5"/>
        <v>0</v>
      </c>
      <c r="AD19" s="1">
        <f t="shared" si="6"/>
        <v>0</v>
      </c>
      <c r="AE19" s="1">
        <f t="shared" si="7"/>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f>IF(AND(C19="Skema 1",B19="fr"),Arbejdstidsoversigt!$E$81,"")</f>
        <v>7.1</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7.1</v>
      </c>
      <c r="BB19" s="224">
        <f t="shared" si="8"/>
        <v>170.39999999999998</v>
      </c>
      <c r="BC19" s="1">
        <f t="shared" si="29"/>
        <v>0</v>
      </c>
      <c r="BD19" s="1">
        <f t="shared" si="9"/>
        <v>0</v>
      </c>
      <c r="BE19" s="1">
        <f t="shared" si="10"/>
        <v>0</v>
      </c>
      <c r="BF19" s="1">
        <f t="shared" si="11"/>
        <v>0</v>
      </c>
      <c r="BG19" s="207" t="str">
        <f>IF(AND(C19="Skema 1",B19="ma"),Skemaoplysninger!$E$46,"")</f>
        <v/>
      </c>
      <c r="BH19" s="207" t="str">
        <f>IF(AND(C19="Skema 1",B19="ti"),Skemaoplysninger!$G$46,"")</f>
        <v/>
      </c>
      <c r="BI19" s="207" t="str">
        <f>IF(AND(C19="Skema 1",B19="on"),Skemaoplysninger!$I$46,"")</f>
        <v/>
      </c>
      <c r="BJ19" s="207" t="str">
        <f>IF(AND(C19="Skema 1",B19="to"),Skemaoplysninger!$K$46,"")</f>
        <v/>
      </c>
      <c r="BK19" s="207">
        <f>IF(AND(C19="Skema 1",B19="fr"),Skemaoplysninger!$M$46,"")</f>
        <v>0.15625</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3.75</v>
      </c>
      <c r="CB19" s="1">
        <f t="shared" si="12"/>
        <v>0</v>
      </c>
      <c r="CC19" s="1">
        <f t="shared" si="13"/>
        <v>0</v>
      </c>
      <c r="CD19" s="207" t="str">
        <f>IF(AND(C19="Skema 1",B19="ma"),Skemaoplysninger!$E$47,"")</f>
        <v/>
      </c>
      <c r="CE19" s="207" t="str">
        <f>IF(AND(C19="Skema 1",B19="ti"),Skemaoplysninger!$G$47,"")</f>
        <v/>
      </c>
      <c r="CF19" s="207" t="str">
        <f>IF(AND(C19="Skema 1",B19="on"),Skemaoplysninger!$I$47,"")</f>
        <v/>
      </c>
      <c r="CG19" s="207" t="str">
        <f>IF(AND(C19="Skema 1",B19="to"),Skemaoplysninger!$K$47,"")</f>
        <v/>
      </c>
      <c r="CH19" s="207">
        <f>IF(AND(C19="Skema 1",B19="fr"),Skemaoplysninger!$M$47,"")</f>
        <v>4.1666666666666664E-2</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1</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4"/>
        <v/>
      </c>
      <c r="DL19" t="str">
        <f t="shared" si="14"/>
        <v/>
      </c>
      <c r="DM19" t="str">
        <f t="shared" si="14"/>
        <v/>
      </c>
      <c r="DN19" t="str">
        <f t="shared" si="35"/>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5"/>
        <v>0</v>
      </c>
      <c r="FZ19" s="634">
        <f t="shared" si="16"/>
        <v>0</v>
      </c>
      <c r="GA19">
        <f t="shared" si="17"/>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8"/>
        <v>0</v>
      </c>
      <c r="GL19">
        <f t="shared" si="19"/>
        <v>0</v>
      </c>
      <c r="GM19">
        <f t="shared" si="20"/>
        <v>0</v>
      </c>
      <c r="GN19" s="713">
        <f t="shared" si="21"/>
        <v>0</v>
      </c>
      <c r="GO19">
        <f t="shared" si="37"/>
        <v>0</v>
      </c>
      <c r="GP19" s="647">
        <f t="shared" si="38"/>
        <v>0</v>
      </c>
    </row>
    <row r="20" spans="1:198" ht="16" customHeight="1">
      <c r="A20" s="239">
        <f t="shared" si="22"/>
        <v>7</v>
      </c>
      <c r="B20" s="125" t="str">
        <f t="shared" si="0"/>
        <v>lø</v>
      </c>
      <c r="C20" s="126" t="s">
        <v>118</v>
      </c>
      <c r="D20" s="127" t="str">
        <f t="shared" si="1"/>
        <v/>
      </c>
      <c r="E20" s="1060"/>
      <c r="F20" s="1061"/>
      <c r="G20" s="1062"/>
      <c r="H20" s="292"/>
      <c r="I20" s="746" t="str">
        <f>IF(GO20=1,"X","")</f>
        <v/>
      </c>
      <c r="J20" s="746" t="str">
        <f t="shared" si="2"/>
        <v/>
      </c>
      <c r="K20" s="368"/>
      <c r="L20" s="368"/>
      <c r="M20" s="368"/>
      <c r="N20" s="311">
        <f t="shared" si="23"/>
        <v>0</v>
      </c>
      <c r="O20" s="311">
        <f t="shared" si="24"/>
        <v>0</v>
      </c>
      <c r="P20" s="311">
        <f>IF(Stamoplysninger!$H$34="JA",November!DG20,CX20)</f>
        <v>0</v>
      </c>
      <c r="Q20" s="311">
        <f t="shared" si="25"/>
        <v>0</v>
      </c>
      <c r="R20" s="751"/>
      <c r="S20" s="315"/>
      <c r="T20" s="316"/>
      <c r="U20" s="316"/>
      <c r="V20" s="422"/>
      <c r="W20" s="422"/>
      <c r="X20" s="621"/>
      <c r="Y20">
        <f t="shared" si="26"/>
        <v>0</v>
      </c>
      <c r="Z20" s="424">
        <f t="shared" si="27"/>
        <v>0</v>
      </c>
      <c r="AA20" s="1">
        <f t="shared" si="3"/>
        <v>0</v>
      </c>
      <c r="AB20" s="1">
        <f t="shared" si="4"/>
        <v>0</v>
      </c>
      <c r="AC20" s="1">
        <f t="shared" si="5"/>
        <v>0</v>
      </c>
      <c r="AD20" s="1">
        <f t="shared" si="6"/>
        <v>0</v>
      </c>
      <c r="AE20" s="1">
        <f t="shared" si="7"/>
        <v>0</v>
      </c>
      <c r="AF20" s="1">
        <f>IF(C20="Orlov",7.4*Stamoplysninger!$E$20,0)</f>
        <v>0</v>
      </c>
      <c r="AG20" t="str">
        <f>IF(AND(C20="Skema 1",B20="ma"),Arbejdstidsoversigt!$E$77,"")</f>
        <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8"/>
        <v>0</v>
      </c>
      <c r="BC20" s="1">
        <f t="shared" si="29"/>
        <v>0</v>
      </c>
      <c r="BD20" s="1">
        <f t="shared" si="9"/>
        <v>0</v>
      </c>
      <c r="BE20" s="1">
        <f t="shared" si="10"/>
        <v>0</v>
      </c>
      <c r="BF20" s="1">
        <f t="shared" si="11"/>
        <v>0</v>
      </c>
      <c r="BG20" s="207" t="str">
        <f>IF(AND(C20="Skema 1",B20="ma"),Skemaoplysninger!$E$46,"")</f>
        <v/>
      </c>
      <c r="BH20" s="207" t="str">
        <f>IF(AND(C20="Skema 1",B20="ti"),Skemaoplysninger!$G$46,"")</f>
        <v/>
      </c>
      <c r="BI20" s="207" t="str">
        <f>IF(AND(C20="Skema 1",B20="on"),Skemaoplysninger!$I$46,"")</f>
        <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0</v>
      </c>
      <c r="CB20" s="1">
        <f t="shared" si="12"/>
        <v>0</v>
      </c>
      <c r="CC20" s="1">
        <f t="shared" si="13"/>
        <v>0</v>
      </c>
      <c r="CD20" s="207" t="str">
        <f>IF(AND(C20="Skema 1",B20="ma"),Skemaoplysninger!$E$47,"")</f>
        <v/>
      </c>
      <c r="CE20" s="207" t="str">
        <f>IF(AND(C20="Skema 1",B20="ti"),Skemaoplysninger!$G$47,"")</f>
        <v/>
      </c>
      <c r="CF20" s="207" t="str">
        <f>IF(AND(C20="Skema 1",B20="on"),Skemaoplysninger!$I$47,"")</f>
        <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4"/>
        <v/>
      </c>
      <c r="DL20" t="str">
        <f t="shared" si="14"/>
        <v/>
      </c>
      <c r="DM20" t="str">
        <f t="shared" si="14"/>
        <v/>
      </c>
      <c r="DN20" t="str">
        <f t="shared" si="35"/>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5"/>
        <v>0</v>
      </c>
      <c r="FZ20" s="634">
        <f t="shared" si="16"/>
        <v>0</v>
      </c>
      <c r="GA20">
        <f t="shared" si="17"/>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8"/>
        <v>0</v>
      </c>
      <c r="GL20">
        <f t="shared" si="19"/>
        <v>0</v>
      </c>
      <c r="GM20">
        <f t="shared" si="20"/>
        <v>0</v>
      </c>
      <c r="GN20" s="713">
        <f t="shared" si="21"/>
        <v>0</v>
      </c>
      <c r="GO20">
        <f t="shared" si="37"/>
        <v>0</v>
      </c>
      <c r="GP20" s="647">
        <f t="shared" si="38"/>
        <v>0</v>
      </c>
    </row>
    <row r="21" spans="1:198">
      <c r="A21" s="239">
        <f t="shared" si="22"/>
        <v>8</v>
      </c>
      <c r="B21" s="125" t="str">
        <f t="shared" si="0"/>
        <v>sø</v>
      </c>
      <c r="C21" s="126" t="s">
        <v>118</v>
      </c>
      <c r="D21" s="127" t="str">
        <f t="shared" si="1"/>
        <v/>
      </c>
      <c r="E21" s="1060"/>
      <c r="F21" s="1061"/>
      <c r="G21" s="1062"/>
      <c r="H21" s="292"/>
      <c r="I21" s="746" t="str">
        <f>IF(GO21=1,"X","")</f>
        <v/>
      </c>
      <c r="J21" s="746" t="str">
        <f t="shared" si="2"/>
        <v/>
      </c>
      <c r="K21" s="368"/>
      <c r="L21" s="368"/>
      <c r="M21" s="368"/>
      <c r="N21" s="311">
        <f t="shared" si="23"/>
        <v>0</v>
      </c>
      <c r="O21" s="311">
        <f t="shared" si="24"/>
        <v>0</v>
      </c>
      <c r="P21" s="311">
        <f>IF(Stamoplysninger!$H$34="JA",November!DG21,CX21)</f>
        <v>0</v>
      </c>
      <c r="Q21" s="311">
        <f t="shared" si="25"/>
        <v>0</v>
      </c>
      <c r="R21" s="751"/>
      <c r="S21" s="315"/>
      <c r="T21" s="316"/>
      <c r="U21" s="316"/>
      <c r="V21" s="422"/>
      <c r="W21" s="422"/>
      <c r="X21" s="621"/>
      <c r="Y21">
        <f t="shared" si="26"/>
        <v>0</v>
      </c>
      <c r="Z21" s="424">
        <f t="shared" si="27"/>
        <v>0</v>
      </c>
      <c r="AA21" s="1">
        <f t="shared" si="3"/>
        <v>0</v>
      </c>
      <c r="AB21" s="1">
        <f t="shared" si="4"/>
        <v>0</v>
      </c>
      <c r="AC21" s="1">
        <f t="shared" si="5"/>
        <v>0</v>
      </c>
      <c r="AD21" s="1">
        <f t="shared" si="6"/>
        <v>0</v>
      </c>
      <c r="AE21" s="1">
        <f t="shared" si="7"/>
        <v>0</v>
      </c>
      <c r="AF21" s="1">
        <f>IF(C21="Orlov",7.4*Stamoplysninger!$E$20,0)</f>
        <v>0</v>
      </c>
      <c r="AG21" t="str">
        <f>IF(AND(C21="Skema 1",B21="ma"),Arbejdstidsoversigt!$E$77,"")</f>
        <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8"/>
        <v>0</v>
      </c>
      <c r="BC21" s="1">
        <f t="shared" si="29"/>
        <v>0</v>
      </c>
      <c r="BD21" s="1">
        <f t="shared" si="9"/>
        <v>0</v>
      </c>
      <c r="BE21" s="1">
        <f t="shared" si="10"/>
        <v>0</v>
      </c>
      <c r="BF21" s="1">
        <f t="shared" si="11"/>
        <v>0</v>
      </c>
      <c r="BG21" s="207" t="str">
        <f>IF(AND(C21="Skema 1",B21="ma"),Skemaoplysninger!$E$46,"")</f>
        <v/>
      </c>
      <c r="BH21" s="207" t="str">
        <f>IF(AND(C21="Skema 1",B21="ti"),Skemaoplysninger!$G$46,"")</f>
        <v/>
      </c>
      <c r="BI21" s="207" t="str">
        <f>IF(AND(C21="Skema 1",B21="on"),Skemaoplysninger!$I$46,"")</f>
        <v/>
      </c>
      <c r="BJ21" s="207" t="str">
        <f>IF(AND(C21="Skema 1",B21="to"),Skemaoplysninger!$K$46,"")</f>
        <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0</v>
      </c>
      <c r="CB21" s="1">
        <f t="shared" si="12"/>
        <v>0</v>
      </c>
      <c r="CC21" s="1">
        <f t="shared" si="13"/>
        <v>0</v>
      </c>
      <c r="CD21" s="207" t="str">
        <f>IF(AND(C21="Skema 1",B21="ma"),Skemaoplysninger!$E$47,"")</f>
        <v/>
      </c>
      <c r="CE21" s="207" t="str">
        <f>IF(AND(C21="Skema 1",B21="ti"),Skemaoplysninger!$G$47,"")</f>
        <v/>
      </c>
      <c r="CF21" s="207" t="str">
        <f>IF(AND(C21="Skema 1",B21="on"),Skemaoplysninger!$I$47,"")</f>
        <v/>
      </c>
      <c r="CG21" s="207" t="str">
        <f>IF(AND(C21="Skema 1",B21="to"),Skemaoplysninger!$K$47,"")</f>
        <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4"/>
        <v/>
      </c>
      <c r="DL21" t="str">
        <f t="shared" si="14"/>
        <v/>
      </c>
      <c r="DM21" t="str">
        <f t="shared" si="14"/>
        <v/>
      </c>
      <c r="DN21" t="str">
        <f t="shared" si="35"/>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5"/>
        <v>0</v>
      </c>
      <c r="FZ21" s="634">
        <f t="shared" si="16"/>
        <v>0</v>
      </c>
      <c r="GA21">
        <f t="shared" si="17"/>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8"/>
        <v>0</v>
      </c>
      <c r="GL21">
        <f t="shared" si="19"/>
        <v>0</v>
      </c>
      <c r="GM21">
        <f t="shared" si="20"/>
        <v>0</v>
      </c>
      <c r="GN21" s="713">
        <f t="shared" si="21"/>
        <v>0</v>
      </c>
      <c r="GO21">
        <f t="shared" si="37"/>
        <v>0</v>
      </c>
      <c r="GP21" s="647">
        <f t="shared" si="38"/>
        <v>0</v>
      </c>
    </row>
    <row r="22" spans="1:198">
      <c r="A22" s="239">
        <f t="shared" si="22"/>
        <v>9</v>
      </c>
      <c r="B22" s="125" t="str">
        <f t="shared" si="0"/>
        <v>ma</v>
      </c>
      <c r="C22" s="126" t="s">
        <v>203</v>
      </c>
      <c r="D22" s="127">
        <f t="shared" si="1"/>
        <v>45.571428571428569</v>
      </c>
      <c r="E22" s="1060"/>
      <c r="F22" s="1061"/>
      <c r="G22" s="1062"/>
      <c r="H22" s="292"/>
      <c r="I22" s="745"/>
      <c r="J22" s="746" t="str">
        <f t="shared" si="2"/>
        <v/>
      </c>
      <c r="K22" s="368"/>
      <c r="L22" s="368"/>
      <c r="M22" s="368"/>
      <c r="N22" s="311">
        <f t="shared" si="23"/>
        <v>8.11</v>
      </c>
      <c r="O22" s="311">
        <f t="shared" si="24"/>
        <v>4.5</v>
      </c>
      <c r="P22" s="311">
        <f>IF(Stamoplysninger!$H$34="JA",November!DG22,CX22)</f>
        <v>1.9166666666666665</v>
      </c>
      <c r="Q22" s="311">
        <f t="shared" si="25"/>
        <v>1.6933333333333329</v>
      </c>
      <c r="R22" s="751"/>
      <c r="S22" s="315"/>
      <c r="T22" s="316"/>
      <c r="U22" s="316"/>
      <c r="V22" s="422"/>
      <c r="W22" s="422"/>
      <c r="X22" s="621"/>
      <c r="Y22">
        <f t="shared" si="26"/>
        <v>0</v>
      </c>
      <c r="Z22" s="424">
        <f t="shared" si="27"/>
        <v>0</v>
      </c>
      <c r="AA22" s="1">
        <f t="shared" si="3"/>
        <v>0</v>
      </c>
      <c r="AB22" s="1">
        <f t="shared" si="4"/>
        <v>0</v>
      </c>
      <c r="AC22" s="1">
        <f t="shared" si="5"/>
        <v>0</v>
      </c>
      <c r="AD22" s="1">
        <f t="shared" si="6"/>
        <v>0</v>
      </c>
      <c r="AE22" s="1">
        <f t="shared" si="7"/>
        <v>0</v>
      </c>
      <c r="AF22" s="1">
        <f>IF(C22="Orlov",7.4*Stamoplysninger!$E$20,0)</f>
        <v>0</v>
      </c>
      <c r="AG22">
        <f>IF(AND(C22="Skema 1",B22="ma"),Arbejdstidsoversigt!$E$77,"")</f>
        <v>8.11</v>
      </c>
      <c r="AH22" t="str">
        <f>IF(AND(C22="Skema 1",B22="ti"),Arbejdstidsoversigt!$E$78,"")</f>
        <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8.11</v>
      </c>
      <c r="BB22" s="224">
        <f t="shared" si="8"/>
        <v>194.64</v>
      </c>
      <c r="BC22" s="1">
        <f t="shared" si="29"/>
        <v>0</v>
      </c>
      <c r="BD22" s="1">
        <f t="shared" si="9"/>
        <v>0</v>
      </c>
      <c r="BE22" s="1">
        <f t="shared" si="10"/>
        <v>0</v>
      </c>
      <c r="BF22" s="1">
        <f t="shared" si="11"/>
        <v>0</v>
      </c>
      <c r="BG22" s="207">
        <f>IF(AND(C22="Skema 1",B22="ma"),Skemaoplysninger!$E$46,"")</f>
        <v>0.1875</v>
      </c>
      <c r="BH22" s="207" t="str">
        <f>IF(AND(C22="Skema 1",B22="ti"),Skemaoplysninger!$G$46,"")</f>
        <v/>
      </c>
      <c r="BI22" s="207" t="str">
        <f>IF(AND(C22="Skema 1",B22="on"),Skemaoplysninger!$I$46,"")</f>
        <v/>
      </c>
      <c r="BJ22" s="207" t="str">
        <f>IF(AND(C22="Skema 1",B22="to"),Skemaoplysninger!$K$46,"")</f>
        <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4.5</v>
      </c>
      <c r="CB22" s="1">
        <f t="shared" si="12"/>
        <v>0</v>
      </c>
      <c r="CC22" s="1">
        <f t="shared" si="13"/>
        <v>0</v>
      </c>
      <c r="CD22" s="207">
        <f>IF(AND(C22="Skema 1",B22="ma"),Skemaoplysninger!$E$47,"")</f>
        <v>7.9861111111111105E-2</v>
      </c>
      <c r="CE22" s="207" t="str">
        <f>IF(AND(C22="Skema 1",B22="ti"),Skemaoplysninger!$G$47,"")</f>
        <v/>
      </c>
      <c r="CF22" s="207" t="str">
        <f>IF(AND(C22="Skema 1",B22="on"),Skemaoplysninger!$I$47,"")</f>
        <v/>
      </c>
      <c r="CG22" s="207" t="str">
        <f>IF(AND(C22="Skema 1",B22="to"),Skemaoplysninger!$K$47,"")</f>
        <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1.9166666666666665</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4"/>
        <v/>
      </c>
      <c r="DL22" t="str">
        <f t="shared" si="14"/>
        <v/>
      </c>
      <c r="DM22" t="str">
        <f t="shared" si="14"/>
        <v/>
      </c>
      <c r="DN22" t="str">
        <f t="shared" si="35"/>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5"/>
        <v>0</v>
      </c>
      <c r="FZ22" s="634">
        <f t="shared" si="16"/>
        <v>0</v>
      </c>
      <c r="GA22">
        <f t="shared" si="17"/>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8"/>
        <v>0</v>
      </c>
      <c r="GL22">
        <f t="shared" si="19"/>
        <v>0</v>
      </c>
      <c r="GM22">
        <f t="shared" si="20"/>
        <v>0</v>
      </c>
      <c r="GN22" s="713">
        <f t="shared" si="21"/>
        <v>0</v>
      </c>
      <c r="GO22">
        <f t="shared" si="37"/>
        <v>0</v>
      </c>
      <c r="GP22" s="647">
        <f t="shared" si="38"/>
        <v>0</v>
      </c>
    </row>
    <row r="23" spans="1:198">
      <c r="A23" s="239">
        <f t="shared" si="22"/>
        <v>10</v>
      </c>
      <c r="B23" s="125" t="str">
        <f t="shared" si="0"/>
        <v>ti</v>
      </c>
      <c r="C23" s="126" t="s">
        <v>203</v>
      </c>
      <c r="D23" s="127" t="str">
        <f t="shared" si="1"/>
        <v/>
      </c>
      <c r="E23" s="1060"/>
      <c r="F23" s="1061"/>
      <c r="G23" s="1062"/>
      <c r="H23" s="292"/>
      <c r="I23" s="745"/>
      <c r="J23" s="746" t="str">
        <f t="shared" si="2"/>
        <v/>
      </c>
      <c r="K23" s="368"/>
      <c r="L23" s="368"/>
      <c r="M23" s="368"/>
      <c r="N23" s="311">
        <f t="shared" si="23"/>
        <v>8.11</v>
      </c>
      <c r="O23" s="311">
        <f t="shared" si="24"/>
        <v>4.5</v>
      </c>
      <c r="P23" s="311">
        <f>IF(Stamoplysninger!$H$34="JA",November!DG23,CX23)</f>
        <v>1.9166666666666665</v>
      </c>
      <c r="Q23" s="311">
        <f t="shared" si="25"/>
        <v>1.6933333333333329</v>
      </c>
      <c r="R23" s="751"/>
      <c r="S23" s="315"/>
      <c r="T23" s="316"/>
      <c r="U23" s="316"/>
      <c r="V23" s="422"/>
      <c r="W23" s="422"/>
      <c r="X23" s="621"/>
      <c r="Y23">
        <f t="shared" si="26"/>
        <v>0</v>
      </c>
      <c r="Z23" s="424">
        <f t="shared" si="27"/>
        <v>0</v>
      </c>
      <c r="AA23" s="1">
        <f t="shared" si="3"/>
        <v>0</v>
      </c>
      <c r="AB23" s="1">
        <f t="shared" si="4"/>
        <v>0</v>
      </c>
      <c r="AC23" s="1">
        <f t="shared" si="5"/>
        <v>0</v>
      </c>
      <c r="AD23" s="1">
        <f t="shared" si="6"/>
        <v>0</v>
      </c>
      <c r="AE23" s="1">
        <f t="shared" si="7"/>
        <v>0</v>
      </c>
      <c r="AF23" s="1">
        <f>IF(C23="Orlov",7.4*Stamoplysninger!$E$20,0)</f>
        <v>0</v>
      </c>
      <c r="AG23" t="str">
        <f>IF(AND(C23="Skema 1",B23="ma"),Arbejdstidsoversigt!$E$77,"")</f>
        <v/>
      </c>
      <c r="AH23">
        <f>IF(AND(C23="Skema 1",B23="ti"),Arbejdstidsoversigt!$E$78,"")</f>
        <v>8.11</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8.11</v>
      </c>
      <c r="BB23" s="224">
        <f t="shared" si="8"/>
        <v>194.64</v>
      </c>
      <c r="BC23" s="1">
        <f t="shared" si="29"/>
        <v>0</v>
      </c>
      <c r="BD23" s="1">
        <f t="shared" si="9"/>
        <v>0</v>
      </c>
      <c r="BE23" s="1">
        <f t="shared" si="10"/>
        <v>0</v>
      </c>
      <c r="BF23" s="1">
        <f t="shared" si="11"/>
        <v>0</v>
      </c>
      <c r="BG23" s="207" t="str">
        <f>IF(AND(C23="Skema 1",B23="ma"),Skemaoplysninger!$E$46,"")</f>
        <v/>
      </c>
      <c r="BH23" s="207">
        <f>IF(AND(C23="Skema 1",B23="ti"),Skemaoplysninger!$G$46,"")</f>
        <v>0.1875</v>
      </c>
      <c r="BI23" s="207" t="str">
        <f>IF(AND(C23="Skema 1",B23="on"),Skemaoplysninger!$I$46,"")</f>
        <v/>
      </c>
      <c r="BJ23" s="207" t="str">
        <f>IF(AND(C23="Skema 1",B23="to"),Skemaoplysninger!$K$46,"")</f>
        <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4.5</v>
      </c>
      <c r="CB23" s="1">
        <f t="shared" si="12"/>
        <v>0</v>
      </c>
      <c r="CC23" s="1">
        <f t="shared" si="13"/>
        <v>0</v>
      </c>
      <c r="CD23" s="207" t="str">
        <f>IF(AND(C23="Skema 1",B23="ma"),Skemaoplysninger!$E$47,"")</f>
        <v/>
      </c>
      <c r="CE23" s="207">
        <f>IF(AND(C23="Skema 1",B23="ti"),Skemaoplysninger!$G$47,"")</f>
        <v>7.9861111111111105E-2</v>
      </c>
      <c r="CF23" s="207" t="str">
        <f>IF(AND(C23="Skema 1",B23="on"),Skemaoplysninger!$I$47,"")</f>
        <v/>
      </c>
      <c r="CG23" s="207" t="str">
        <f>IF(AND(C23="Skema 1",B23="to"),Skemaoplysninger!$K$47,"")</f>
        <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1.9166666666666665</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4"/>
        <v/>
      </c>
      <c r="DL23" t="str">
        <f t="shared" si="14"/>
        <v/>
      </c>
      <c r="DM23" t="str">
        <f t="shared" si="14"/>
        <v/>
      </c>
      <c r="DN23" t="str">
        <f t="shared" si="35"/>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5"/>
        <v>0</v>
      </c>
      <c r="FZ23" s="634">
        <f t="shared" si="16"/>
        <v>0</v>
      </c>
      <c r="GA23">
        <f t="shared" si="17"/>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8"/>
        <v>0</v>
      </c>
      <c r="GL23">
        <f t="shared" si="19"/>
        <v>0</v>
      </c>
      <c r="GM23">
        <f t="shared" si="20"/>
        <v>0</v>
      </c>
      <c r="GN23" s="713">
        <f t="shared" si="21"/>
        <v>0</v>
      </c>
      <c r="GO23">
        <f t="shared" si="37"/>
        <v>0</v>
      </c>
      <c r="GP23" s="647">
        <f t="shared" si="38"/>
        <v>0</v>
      </c>
    </row>
    <row r="24" spans="1:198">
      <c r="A24" s="239">
        <f t="shared" si="22"/>
        <v>11</v>
      </c>
      <c r="B24" s="125" t="str">
        <f t="shared" si="0"/>
        <v>on</v>
      </c>
      <c r="C24" s="126" t="s">
        <v>203</v>
      </c>
      <c r="D24" s="127" t="str">
        <f t="shared" si="1"/>
        <v/>
      </c>
      <c r="E24" s="1060"/>
      <c r="F24" s="1061"/>
      <c r="G24" s="1062"/>
      <c r="H24" s="292"/>
      <c r="I24" s="745"/>
      <c r="J24" s="746" t="str">
        <f t="shared" si="2"/>
        <v/>
      </c>
      <c r="K24" s="368"/>
      <c r="L24" s="368"/>
      <c r="M24" s="368"/>
      <c r="N24" s="311">
        <f t="shared" si="23"/>
        <v>8.11</v>
      </c>
      <c r="O24" s="311">
        <f t="shared" si="24"/>
        <v>2.75</v>
      </c>
      <c r="P24" s="311">
        <f>IF(Stamoplysninger!$H$34="JA",November!DG24,CX24)</f>
        <v>1.25</v>
      </c>
      <c r="Q24" s="311">
        <f t="shared" si="25"/>
        <v>4.1099999999999994</v>
      </c>
      <c r="R24" s="751"/>
      <c r="S24" s="315"/>
      <c r="T24" s="316"/>
      <c r="U24" s="316"/>
      <c r="V24" s="422"/>
      <c r="W24" s="422"/>
      <c r="X24" s="621"/>
      <c r="Y24">
        <f t="shared" si="26"/>
        <v>0</v>
      </c>
      <c r="Z24" s="424">
        <f t="shared" si="27"/>
        <v>0</v>
      </c>
      <c r="AA24" s="1">
        <f t="shared" si="3"/>
        <v>0</v>
      </c>
      <c r="AB24" s="1">
        <f t="shared" si="4"/>
        <v>0</v>
      </c>
      <c r="AC24" s="1">
        <f t="shared" si="5"/>
        <v>0</v>
      </c>
      <c r="AD24" s="1">
        <f t="shared" si="6"/>
        <v>0</v>
      </c>
      <c r="AE24" s="1">
        <f t="shared" si="7"/>
        <v>0</v>
      </c>
      <c r="AF24" s="1">
        <f>IF(C24="Orlov",7.4*Stamoplysninger!$E$20,0)</f>
        <v>0</v>
      </c>
      <c r="AG24" t="str">
        <f>IF(AND(C24="Skema 1",B24="ma"),Arbejdstidsoversigt!$E$77,"")</f>
        <v/>
      </c>
      <c r="AH24" t="str">
        <f>IF(AND(C24="Skema 1",B24="ti"),Arbejdstidsoversigt!$E$78,"")</f>
        <v/>
      </c>
      <c r="AI24">
        <f>IF(AND(C24="Skema 1",B24="on"),Arbejdstidsoversigt!$E$79,"")</f>
        <v>8.11</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8.11</v>
      </c>
      <c r="BB24" s="224">
        <f t="shared" si="8"/>
        <v>194.64</v>
      </c>
      <c r="BC24" s="1">
        <f t="shared" si="29"/>
        <v>0</v>
      </c>
      <c r="BD24" s="1">
        <f t="shared" si="9"/>
        <v>0</v>
      </c>
      <c r="BE24" s="1">
        <f t="shared" si="10"/>
        <v>0</v>
      </c>
      <c r="BF24" s="1">
        <f t="shared" si="11"/>
        <v>0</v>
      </c>
      <c r="BG24" s="207" t="str">
        <f>IF(AND(C24="Skema 1",B24="ma"),Skemaoplysninger!$E$46,"")</f>
        <v/>
      </c>
      <c r="BH24" s="207" t="str">
        <f>IF(AND(C24="Skema 1",B24="ti"),Skemaoplysninger!$G$46,"")</f>
        <v/>
      </c>
      <c r="BI24" s="207">
        <f>IF(AND(C24="Skema 1",B24="on"),Skemaoplysninger!$I$46,"")</f>
        <v>0.11458333333333333</v>
      </c>
      <c r="BJ24" s="207" t="str">
        <f>IF(AND(C24="Skema 1",B24="to"),Skemaoplysninger!$K$46,"")</f>
        <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2.75</v>
      </c>
      <c r="CB24" s="1">
        <f t="shared" si="12"/>
        <v>0</v>
      </c>
      <c r="CC24" s="1">
        <f t="shared" si="13"/>
        <v>0</v>
      </c>
      <c r="CD24" s="207" t="str">
        <f>IF(AND(C24="Skema 1",B24="ma"),Skemaoplysninger!$E$47,"")</f>
        <v/>
      </c>
      <c r="CE24" s="207" t="str">
        <f>IF(AND(C24="Skema 1",B24="ti"),Skemaoplysninger!$G$47,"")</f>
        <v/>
      </c>
      <c r="CF24" s="207">
        <f>IF(AND(C24="Skema 1",B24="on"),Skemaoplysninger!$I$47,"")</f>
        <v>5.2083333333333329E-2</v>
      </c>
      <c r="CG24" s="207" t="str">
        <f>IF(AND(C24="Skema 1",B24="to"),Skemaoplysninger!$K$47,"")</f>
        <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1.25</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4"/>
        <v/>
      </c>
      <c r="DL24" t="str">
        <f t="shared" si="14"/>
        <v/>
      </c>
      <c r="DM24" t="str">
        <f t="shared" si="14"/>
        <v/>
      </c>
      <c r="DN24" t="str">
        <f t="shared" si="35"/>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5"/>
        <v>0</v>
      </c>
      <c r="FZ24" s="634">
        <f t="shared" si="16"/>
        <v>0</v>
      </c>
      <c r="GA24">
        <f t="shared" si="17"/>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8"/>
        <v>0</v>
      </c>
      <c r="GL24">
        <f t="shared" si="19"/>
        <v>0</v>
      </c>
      <c r="GM24">
        <f t="shared" si="20"/>
        <v>0</v>
      </c>
      <c r="GN24" s="713">
        <f t="shared" si="21"/>
        <v>0</v>
      </c>
      <c r="GO24">
        <f t="shared" si="37"/>
        <v>0</v>
      </c>
      <c r="GP24" s="647">
        <f t="shared" si="38"/>
        <v>0</v>
      </c>
    </row>
    <row r="25" spans="1:198">
      <c r="A25" s="239">
        <f>IF(ISNUMBER(A24),A24+1,1)</f>
        <v>12</v>
      </c>
      <c r="B25" s="125" t="str">
        <f t="shared" si="0"/>
        <v>to</v>
      </c>
      <c r="C25" s="126" t="s">
        <v>203</v>
      </c>
      <c r="D25" s="127" t="str">
        <f t="shared" si="1"/>
        <v/>
      </c>
      <c r="E25" s="1060"/>
      <c r="F25" s="1061"/>
      <c r="G25" s="1062"/>
      <c r="H25" s="292"/>
      <c r="I25" s="745"/>
      <c r="J25" s="746" t="str">
        <f t="shared" si="2"/>
        <v/>
      </c>
      <c r="K25" s="368"/>
      <c r="L25" s="368"/>
      <c r="M25" s="368"/>
      <c r="N25" s="311">
        <f t="shared" si="23"/>
        <v>9</v>
      </c>
      <c r="O25" s="311">
        <f t="shared" si="24"/>
        <v>3.75</v>
      </c>
      <c r="P25" s="311">
        <f>IF(Stamoplysninger!$H$34="JA",November!DG25,CX25)</f>
        <v>1</v>
      </c>
      <c r="Q25" s="311">
        <f t="shared" si="25"/>
        <v>4.25</v>
      </c>
      <c r="R25" s="751"/>
      <c r="S25" s="315"/>
      <c r="T25" s="316"/>
      <c r="U25" s="316"/>
      <c r="V25" s="422"/>
      <c r="W25" s="422"/>
      <c r="X25" s="621"/>
      <c r="Y25">
        <f t="shared" si="26"/>
        <v>0</v>
      </c>
      <c r="Z25" s="424">
        <f t="shared" si="27"/>
        <v>0</v>
      </c>
      <c r="AA25" s="1">
        <f t="shared" si="3"/>
        <v>0</v>
      </c>
      <c r="AB25" s="1">
        <f t="shared" si="4"/>
        <v>0</v>
      </c>
      <c r="AC25" s="1">
        <f t="shared" si="5"/>
        <v>0</v>
      </c>
      <c r="AD25" s="1">
        <f t="shared" si="6"/>
        <v>0</v>
      </c>
      <c r="AE25" s="1">
        <f t="shared" si="7"/>
        <v>0</v>
      </c>
      <c r="AF25" s="1">
        <f>IF(C25="Orlov",7.4*Stamoplysninger!$E$20,0)</f>
        <v>0</v>
      </c>
      <c r="AG25" t="str">
        <f>IF(AND(C25="Skema 1",B25="ma"),Arbejdstidsoversigt!$E$77,"")</f>
        <v/>
      </c>
      <c r="AH25" t="str">
        <f>IF(AND(C25="Skema 1",B25="ti"),Arbejdstidsoversigt!$E$78,"")</f>
        <v/>
      </c>
      <c r="AI25" t="str">
        <f>IF(AND(C25="Skema 1",B25="on"),Arbejdstidsoversigt!$E$79,"")</f>
        <v/>
      </c>
      <c r="AJ25">
        <f>IF(AND(C25="Skema 1",B25="to"),Arbejdstidsoversigt!$E$80,"")</f>
        <v>9</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9</v>
      </c>
      <c r="BB25" s="224">
        <f t="shared" si="8"/>
        <v>216</v>
      </c>
      <c r="BC25" s="1">
        <f t="shared" si="29"/>
        <v>0</v>
      </c>
      <c r="BD25" s="1">
        <f t="shared" si="9"/>
        <v>0</v>
      </c>
      <c r="BE25" s="1">
        <f t="shared" si="10"/>
        <v>0</v>
      </c>
      <c r="BF25" s="1">
        <f t="shared" si="11"/>
        <v>0</v>
      </c>
      <c r="BG25" s="207" t="str">
        <f>IF(AND(C25="Skema 1",B25="ma"),Skemaoplysninger!$E$46,"")</f>
        <v/>
      </c>
      <c r="BH25" s="207" t="str">
        <f>IF(AND(C25="Skema 1",B25="ti"),Skemaoplysninger!$G$46,"")</f>
        <v/>
      </c>
      <c r="BI25" s="207" t="str">
        <f>IF(AND(C25="Skema 1",B25="on"),Skemaoplysninger!$I$46,"")</f>
        <v/>
      </c>
      <c r="BJ25" s="207">
        <f>IF(AND(C25="Skema 1",B25="to"),Skemaoplysninger!$K$46,"")</f>
        <v>0.15625</v>
      </c>
      <c r="BK25" s="207" t="str">
        <f>IF(AND(C25="Skema 1",B25="fr"),Skemaoplysninger!$M$46,"")</f>
        <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3.75</v>
      </c>
      <c r="CB25" s="1">
        <f t="shared" si="12"/>
        <v>0</v>
      </c>
      <c r="CC25" s="1">
        <f t="shared" si="13"/>
        <v>0</v>
      </c>
      <c r="CD25" s="207" t="str">
        <f>IF(AND(C25="Skema 1",B25="ma"),Skemaoplysninger!$E$47,"")</f>
        <v/>
      </c>
      <c r="CE25" s="207" t="str">
        <f>IF(AND(C25="Skema 1",B25="ti"),Skemaoplysninger!$G$47,"")</f>
        <v/>
      </c>
      <c r="CF25" s="207" t="str">
        <f>IF(AND(C25="Skema 1",B25="on"),Skemaoplysninger!$I$47,"")</f>
        <v/>
      </c>
      <c r="CG25" s="207">
        <f>IF(AND(C25="Skema 1",B25="to"),Skemaoplysninger!$K$47,"")</f>
        <v>4.1666666666666664E-2</v>
      </c>
      <c r="CH25" s="207" t="str">
        <f>IF(AND(C25="Skema 1",B25="fr"),Skemaoplysninger!$M$47,"")</f>
        <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1</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4"/>
        <v/>
      </c>
      <c r="DL25" t="str">
        <f t="shared" si="14"/>
        <v/>
      </c>
      <c r="DM25" t="str">
        <f t="shared" si="14"/>
        <v/>
      </c>
      <c r="DN25" t="str">
        <f t="shared" si="35"/>
        <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5"/>
        <v>0</v>
      </c>
      <c r="FZ25" s="634">
        <f t="shared" si="16"/>
        <v>0</v>
      </c>
      <c r="GA25">
        <f t="shared" si="17"/>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8"/>
        <v>0</v>
      </c>
      <c r="GL25">
        <f t="shared" si="19"/>
        <v>0</v>
      </c>
      <c r="GM25">
        <f t="shared" si="20"/>
        <v>0</v>
      </c>
      <c r="GN25" s="713">
        <f t="shared" si="21"/>
        <v>0</v>
      </c>
      <c r="GO25">
        <f t="shared" si="37"/>
        <v>0</v>
      </c>
      <c r="GP25" s="647">
        <f t="shared" si="38"/>
        <v>0</v>
      </c>
    </row>
    <row r="26" spans="1:198">
      <c r="A26" s="239">
        <f>IF(ISNUMBER(A25),A25+1,1)</f>
        <v>13</v>
      </c>
      <c r="B26" s="125" t="str">
        <f t="shared" si="0"/>
        <v>fr</v>
      </c>
      <c r="C26" s="126" t="s">
        <v>203</v>
      </c>
      <c r="D26" s="127" t="str">
        <f t="shared" si="1"/>
        <v/>
      </c>
      <c r="E26" s="1123"/>
      <c r="F26" s="1124"/>
      <c r="G26" s="1125"/>
      <c r="H26" s="291"/>
      <c r="I26" s="745"/>
      <c r="J26" s="746" t="str">
        <f t="shared" si="2"/>
        <v/>
      </c>
      <c r="K26" s="368"/>
      <c r="L26" s="368"/>
      <c r="M26" s="368"/>
      <c r="N26" s="311">
        <f t="shared" si="23"/>
        <v>7.1</v>
      </c>
      <c r="O26" s="311">
        <f t="shared" si="24"/>
        <v>3.75</v>
      </c>
      <c r="P26" s="311">
        <f>IF(Stamoplysninger!$H$34="JA",November!DG26,CX26)</f>
        <v>1</v>
      </c>
      <c r="Q26" s="311">
        <f t="shared" si="25"/>
        <v>2.3499999999999996</v>
      </c>
      <c r="R26" s="751"/>
      <c r="S26" s="315"/>
      <c r="T26" s="316"/>
      <c r="U26" s="316"/>
      <c r="V26" s="422"/>
      <c r="W26" s="422"/>
      <c r="X26" s="621"/>
      <c r="Y26">
        <f t="shared" si="26"/>
        <v>0</v>
      </c>
      <c r="Z26" s="424">
        <f t="shared" si="27"/>
        <v>0</v>
      </c>
      <c r="AA26" s="1">
        <f t="shared" si="3"/>
        <v>0</v>
      </c>
      <c r="AB26" s="1">
        <f t="shared" si="4"/>
        <v>0</v>
      </c>
      <c r="AC26" s="1">
        <f t="shared" si="5"/>
        <v>0</v>
      </c>
      <c r="AD26" s="1">
        <f t="shared" si="6"/>
        <v>0</v>
      </c>
      <c r="AE26" s="1">
        <f t="shared" si="7"/>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f>IF(AND(C26="Skema 1",B26="fr"),Arbejdstidsoversigt!$E$81,"")</f>
        <v>7.1</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7.1</v>
      </c>
      <c r="BB26" s="224">
        <f t="shared" si="8"/>
        <v>170.39999999999998</v>
      </c>
      <c r="BC26" s="1">
        <f t="shared" si="29"/>
        <v>0</v>
      </c>
      <c r="BD26" s="1">
        <f t="shared" si="9"/>
        <v>0</v>
      </c>
      <c r="BE26" s="1">
        <f t="shared" si="10"/>
        <v>0</v>
      </c>
      <c r="BF26" s="1">
        <f t="shared" si="11"/>
        <v>0</v>
      </c>
      <c r="BG26" s="207" t="str">
        <f>IF(AND(C26="Skema 1",B26="ma"),Skemaoplysninger!$E$46,"")</f>
        <v/>
      </c>
      <c r="BH26" s="207" t="str">
        <f>IF(AND(C26="Skema 1",B26="ti"),Skemaoplysninger!$G$46,"")</f>
        <v/>
      </c>
      <c r="BI26" s="207" t="str">
        <f>IF(AND(C26="Skema 1",B26="on"),Skemaoplysninger!$I$46,"")</f>
        <v/>
      </c>
      <c r="BJ26" s="207" t="str">
        <f>IF(AND(C26="Skema 1",B26="to"),Skemaoplysninger!$K$46,"")</f>
        <v/>
      </c>
      <c r="BK26" s="207">
        <f>IF(AND(C26="Skema 1",B26="fr"),Skemaoplysninger!$M$46,"")</f>
        <v>0.15625</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3.75</v>
      </c>
      <c r="CB26" s="1">
        <f t="shared" si="12"/>
        <v>0</v>
      </c>
      <c r="CC26" s="1">
        <f t="shared" si="13"/>
        <v>0</v>
      </c>
      <c r="CD26" s="207" t="str">
        <f>IF(AND(C26="Skema 1",B26="ma"),Skemaoplysninger!$E$47,"")</f>
        <v/>
      </c>
      <c r="CE26" s="207" t="str">
        <f>IF(AND(C26="Skema 1",B26="ti"),Skemaoplysninger!$G$47,"")</f>
        <v/>
      </c>
      <c r="CF26" s="207" t="str">
        <f>IF(AND(C26="Skema 1",B26="on"),Skemaoplysninger!$I$47,"")</f>
        <v/>
      </c>
      <c r="CG26" s="207" t="str">
        <f>IF(AND(C26="Skema 1",B26="to"),Skemaoplysninger!$K$47,"")</f>
        <v/>
      </c>
      <c r="CH26" s="207">
        <f>IF(AND(C26="Skema 1",B26="fr"),Skemaoplysninger!$M$47,"")</f>
        <v>4.1666666666666664E-2</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1</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4"/>
        <v/>
      </c>
      <c r="DL26" t="str">
        <f t="shared" si="14"/>
        <v/>
      </c>
      <c r="DM26" t="str">
        <f t="shared" si="14"/>
        <v/>
      </c>
      <c r="DN26" t="str">
        <f t="shared" si="35"/>
        <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5"/>
        <v>0</v>
      </c>
      <c r="FZ26" s="634">
        <f t="shared" si="16"/>
        <v>0</v>
      </c>
      <c r="GA26">
        <f t="shared" si="17"/>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8"/>
        <v>0</v>
      </c>
      <c r="GL26">
        <f t="shared" si="19"/>
        <v>0</v>
      </c>
      <c r="GM26">
        <f t="shared" si="20"/>
        <v>0</v>
      </c>
      <c r="GN26" s="713">
        <f t="shared" si="21"/>
        <v>0</v>
      </c>
      <c r="GO26">
        <f t="shared" si="37"/>
        <v>0</v>
      </c>
      <c r="GP26" s="647">
        <f t="shared" si="38"/>
        <v>0</v>
      </c>
    </row>
    <row r="27" spans="1:198">
      <c r="A27" s="239">
        <f t="shared" si="22"/>
        <v>14</v>
      </c>
      <c r="B27" s="125" t="str">
        <f t="shared" si="0"/>
        <v>lø</v>
      </c>
      <c r="C27" s="126" t="s">
        <v>118</v>
      </c>
      <c r="D27" s="127" t="str">
        <f t="shared" si="1"/>
        <v/>
      </c>
      <c r="E27" s="1123"/>
      <c r="F27" s="1124"/>
      <c r="G27" s="1125"/>
      <c r="H27" s="291"/>
      <c r="I27" s="746" t="str">
        <f>IF(GO27=1,"X","")</f>
        <v/>
      </c>
      <c r="J27" s="746" t="str">
        <f t="shared" si="2"/>
        <v/>
      </c>
      <c r="K27" s="368"/>
      <c r="L27" s="368"/>
      <c r="M27" s="368"/>
      <c r="N27" s="311">
        <f t="shared" si="23"/>
        <v>0</v>
      </c>
      <c r="O27" s="311">
        <f t="shared" si="24"/>
        <v>0</v>
      </c>
      <c r="P27" s="311">
        <f>IF(Stamoplysninger!$H$34="JA",November!DG27,CX27)</f>
        <v>0</v>
      </c>
      <c r="Q27" s="311">
        <f t="shared" si="25"/>
        <v>0</v>
      </c>
      <c r="R27" s="751"/>
      <c r="S27" s="315"/>
      <c r="T27" s="316"/>
      <c r="U27" s="316"/>
      <c r="V27" s="422"/>
      <c r="W27" s="422"/>
      <c r="X27" s="621"/>
      <c r="Y27">
        <f t="shared" si="26"/>
        <v>0</v>
      </c>
      <c r="Z27" s="424">
        <f t="shared" si="27"/>
        <v>0</v>
      </c>
      <c r="AA27" s="1">
        <f t="shared" si="3"/>
        <v>0</v>
      </c>
      <c r="AB27" s="1">
        <f t="shared" si="4"/>
        <v>0</v>
      </c>
      <c r="AC27" s="1">
        <f t="shared" si="5"/>
        <v>0</v>
      </c>
      <c r="AD27" s="1">
        <f t="shared" si="6"/>
        <v>0</v>
      </c>
      <c r="AE27" s="1">
        <f t="shared" si="7"/>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8"/>
        <v>0</v>
      </c>
      <c r="BC27" s="1">
        <f t="shared" si="29"/>
        <v>0</v>
      </c>
      <c r="BD27" s="1">
        <f t="shared" si="9"/>
        <v>0</v>
      </c>
      <c r="BE27" s="1">
        <f t="shared" si="10"/>
        <v>0</v>
      </c>
      <c r="BF27" s="1">
        <f t="shared" si="11"/>
        <v>0</v>
      </c>
      <c r="BG27" s="207" t="str">
        <f>IF(AND(C27="Skema 1",B27="ma"),Skemaoplysninger!$E$46,"")</f>
        <v/>
      </c>
      <c r="BH27" s="207" t="str">
        <f>IF(AND(C27="Skema 1",B27="ti"),Skemaoplysninger!$G$46,"")</f>
        <v/>
      </c>
      <c r="BI27" s="207" t="str">
        <f>IF(AND(C27="Skema 1",B27="on"),Skemaoplysninger!$I$46,"")</f>
        <v/>
      </c>
      <c r="BJ27" s="207" t="str">
        <f>IF(AND(C27="Skema 1",B27="to"),Skemaoplysninger!$K$46,"")</f>
        <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0</v>
      </c>
      <c r="CB27" s="1">
        <f t="shared" si="12"/>
        <v>0</v>
      </c>
      <c r="CC27" s="1">
        <f t="shared" si="13"/>
        <v>0</v>
      </c>
      <c r="CD27" s="207" t="str">
        <f>IF(AND(C27="Skema 1",B27="ma"),Skemaoplysninger!$E$47,"")</f>
        <v/>
      </c>
      <c r="CE27" s="207" t="str">
        <f>IF(AND(C27="Skema 1",B27="ti"),Skemaoplysninger!$G$47,"")</f>
        <v/>
      </c>
      <c r="CF27" s="207" t="str">
        <f>IF(AND(C27="Skema 1",B27="on"),Skemaoplysninger!$I$47,"")</f>
        <v/>
      </c>
      <c r="CG27" s="207" t="str">
        <f>IF(AND(C27="Skema 1",B27="to"),Skemaoplysninger!$K$47,"")</f>
        <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f t="shared" si="33"/>
        <v>0</v>
      </c>
      <c r="DJ27">
        <f t="shared" si="34"/>
        <v>0</v>
      </c>
      <c r="DK27" t="str">
        <f t="shared" si="14"/>
        <v/>
      </c>
      <c r="DL27" t="str">
        <f t="shared" si="14"/>
        <v/>
      </c>
      <c r="DM27" t="str">
        <f t="shared" si="14"/>
        <v/>
      </c>
      <c r="DN27" t="str">
        <f t="shared" si="35"/>
        <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5"/>
        <v>0</v>
      </c>
      <c r="FZ27" s="634">
        <f t="shared" si="16"/>
        <v>0</v>
      </c>
      <c r="GA27">
        <f t="shared" si="17"/>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8"/>
        <v>0</v>
      </c>
      <c r="GL27">
        <f t="shared" si="19"/>
        <v>0</v>
      </c>
      <c r="GM27">
        <f t="shared" si="20"/>
        <v>0</v>
      </c>
      <c r="GN27" s="713">
        <f t="shared" si="21"/>
        <v>0</v>
      </c>
      <c r="GO27">
        <f t="shared" si="37"/>
        <v>0</v>
      </c>
      <c r="GP27" s="647">
        <f t="shared" si="38"/>
        <v>0</v>
      </c>
    </row>
    <row r="28" spans="1:198">
      <c r="A28" s="239">
        <f t="shared" si="22"/>
        <v>15</v>
      </c>
      <c r="B28" s="125" t="str">
        <f t="shared" si="0"/>
        <v>sø</v>
      </c>
      <c r="C28" s="126" t="s">
        <v>118</v>
      </c>
      <c r="D28" s="127" t="str">
        <f t="shared" si="1"/>
        <v/>
      </c>
      <c r="E28" s="1123"/>
      <c r="F28" s="1124"/>
      <c r="G28" s="1125"/>
      <c r="H28" s="291"/>
      <c r="I28" s="746" t="str">
        <f>IF(GO28=1,"X","")</f>
        <v/>
      </c>
      <c r="J28" s="746" t="str">
        <f t="shared" si="2"/>
        <v/>
      </c>
      <c r="K28" s="368"/>
      <c r="L28" s="368"/>
      <c r="M28" s="368"/>
      <c r="N28" s="311">
        <f t="shared" si="23"/>
        <v>0</v>
      </c>
      <c r="O28" s="311">
        <f t="shared" si="24"/>
        <v>0</v>
      </c>
      <c r="P28" s="311">
        <f>IF(Stamoplysninger!$H$34="JA",November!DG28,CX28)</f>
        <v>0</v>
      </c>
      <c r="Q28" s="311">
        <f t="shared" si="25"/>
        <v>0</v>
      </c>
      <c r="R28" s="751"/>
      <c r="S28" s="315"/>
      <c r="T28" s="316"/>
      <c r="U28" s="316"/>
      <c r="V28" s="422"/>
      <c r="W28" s="422"/>
      <c r="X28" s="621"/>
      <c r="Y28">
        <f t="shared" si="26"/>
        <v>0</v>
      </c>
      <c r="Z28" s="424">
        <f t="shared" si="27"/>
        <v>0</v>
      </c>
      <c r="AA28" s="1">
        <f t="shared" si="3"/>
        <v>0</v>
      </c>
      <c r="AB28" s="1">
        <f t="shared" si="4"/>
        <v>0</v>
      </c>
      <c r="AC28" s="1">
        <f t="shared" si="5"/>
        <v>0</v>
      </c>
      <c r="AD28" s="1">
        <f t="shared" si="6"/>
        <v>0</v>
      </c>
      <c r="AE28" s="1">
        <f t="shared" si="7"/>
        <v>0</v>
      </c>
      <c r="AF28" s="1">
        <f>IF(C28="Orlov",7.4*Stamoplysninger!$E$20,0)</f>
        <v>0</v>
      </c>
      <c r="AG28" t="str">
        <f>IF(AND(C28="Skema 1",B28="ma"),Arbejdstidsoversigt!$E$77,"")</f>
        <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8"/>
        <v>0</v>
      </c>
      <c r="BC28" s="1">
        <f t="shared" si="29"/>
        <v>0</v>
      </c>
      <c r="BD28" s="1">
        <f t="shared" si="9"/>
        <v>0</v>
      </c>
      <c r="BE28" s="1">
        <f t="shared" si="10"/>
        <v>0</v>
      </c>
      <c r="BF28" s="1">
        <f t="shared" si="11"/>
        <v>0</v>
      </c>
      <c r="BG28" s="207" t="str">
        <f>IF(AND(C28="Skema 1",B28="ma"),Skemaoplysninger!$E$46,"")</f>
        <v/>
      </c>
      <c r="BH28" s="207" t="str">
        <f>IF(AND(C28="Skema 1",B28="ti"),Skemaoplysninger!$G$46,"")</f>
        <v/>
      </c>
      <c r="BI28" s="207" t="str">
        <f>IF(AND(C28="Skema 1",B28="on"),Skemaoplysninger!$I$46,"")</f>
        <v/>
      </c>
      <c r="BJ28" s="207" t="str">
        <f>IF(AND(C28="Skema 1",B28="to"),Skemaoplysninger!$K$46,"")</f>
        <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0</v>
      </c>
      <c r="CB28" s="1">
        <f t="shared" si="12"/>
        <v>0</v>
      </c>
      <c r="CC28" s="1">
        <f t="shared" si="13"/>
        <v>0</v>
      </c>
      <c r="CD28" s="207" t="str">
        <f>IF(AND(C28="Skema 1",B28="ma"),Skemaoplysninger!$E$47,"")</f>
        <v/>
      </c>
      <c r="CE28" s="207" t="str">
        <f>IF(AND(C28="Skema 1",B28="ti"),Skemaoplysninger!$G$47,"")</f>
        <v/>
      </c>
      <c r="CF28" s="207" t="str">
        <f>IF(AND(C28="Skema 1",B28="on"),Skemaoplysninger!$I$47,"")</f>
        <v/>
      </c>
      <c r="CG28" s="207" t="str">
        <f>IF(AND(C28="Skema 1",B28="to"),Skemaoplysninger!$K$47,"")</f>
        <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4"/>
        <v/>
      </c>
      <c r="DL28" t="str">
        <f t="shared" si="14"/>
        <v/>
      </c>
      <c r="DM28" t="str">
        <f t="shared" si="14"/>
        <v/>
      </c>
      <c r="DN28" t="str">
        <f t="shared" si="35"/>
        <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5"/>
        <v>0</v>
      </c>
      <c r="FZ28" s="634">
        <f t="shared" si="16"/>
        <v>0</v>
      </c>
      <c r="GA28">
        <f t="shared" si="17"/>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8"/>
        <v>0</v>
      </c>
      <c r="GL28">
        <f t="shared" si="19"/>
        <v>0</v>
      </c>
      <c r="GM28">
        <f t="shared" si="20"/>
        <v>0</v>
      </c>
      <c r="GN28" s="713">
        <f t="shared" si="21"/>
        <v>0</v>
      </c>
      <c r="GO28">
        <f t="shared" si="37"/>
        <v>0</v>
      </c>
      <c r="GP28" s="647">
        <f t="shared" si="38"/>
        <v>0</v>
      </c>
    </row>
    <row r="29" spans="1:198">
      <c r="A29" s="239">
        <f>IF(ISNUMBER(A28),A28+1,1)</f>
        <v>16</v>
      </c>
      <c r="B29" s="125" t="str">
        <f t="shared" si="0"/>
        <v>ma</v>
      </c>
      <c r="C29" s="126" t="s">
        <v>203</v>
      </c>
      <c r="D29" s="127">
        <f t="shared" si="1"/>
        <v>46.571428571428569</v>
      </c>
      <c r="E29" s="1060"/>
      <c r="F29" s="1061"/>
      <c r="G29" s="1062"/>
      <c r="H29" s="292"/>
      <c r="I29" s="745"/>
      <c r="J29" s="746" t="str">
        <f t="shared" si="2"/>
        <v/>
      </c>
      <c r="K29" s="368"/>
      <c r="L29" s="368"/>
      <c r="M29" s="368"/>
      <c r="N29" s="311">
        <f t="shared" si="23"/>
        <v>8.11</v>
      </c>
      <c r="O29" s="311">
        <f t="shared" si="24"/>
        <v>4.5</v>
      </c>
      <c r="P29" s="311">
        <f>IF(Stamoplysninger!$H$34="JA",November!DG29,CX29)</f>
        <v>1.9166666666666665</v>
      </c>
      <c r="Q29" s="311">
        <f t="shared" si="25"/>
        <v>1.6933333333333329</v>
      </c>
      <c r="R29" s="751"/>
      <c r="S29" s="315"/>
      <c r="T29" s="316"/>
      <c r="U29" s="316"/>
      <c r="V29" s="422"/>
      <c r="W29" s="422"/>
      <c r="X29" s="621"/>
      <c r="Y29">
        <f t="shared" si="26"/>
        <v>0</v>
      </c>
      <c r="Z29" s="424">
        <f t="shared" si="27"/>
        <v>0</v>
      </c>
      <c r="AA29" s="1">
        <f t="shared" si="3"/>
        <v>0</v>
      </c>
      <c r="AB29" s="1">
        <f t="shared" si="4"/>
        <v>0</v>
      </c>
      <c r="AC29" s="1">
        <f t="shared" si="5"/>
        <v>0</v>
      </c>
      <c r="AD29" s="1">
        <f t="shared" si="6"/>
        <v>0</v>
      </c>
      <c r="AE29" s="1">
        <f t="shared" si="7"/>
        <v>0</v>
      </c>
      <c r="AF29" s="1">
        <f>IF(C29="Orlov",7.4*Stamoplysninger!$E$20,0)</f>
        <v>0</v>
      </c>
      <c r="AG29">
        <f>IF(AND(C29="Skema 1",B29="ma"),Arbejdstidsoversigt!$E$77,"")</f>
        <v>8.11</v>
      </c>
      <c r="AH29" t="str">
        <f>IF(AND(C29="Skema 1",B29="ti"),Arbejdstidsoversigt!$E$78,"")</f>
        <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8.11</v>
      </c>
      <c r="BB29" s="224">
        <f t="shared" si="8"/>
        <v>194.64</v>
      </c>
      <c r="BC29" s="1">
        <f t="shared" si="29"/>
        <v>0</v>
      </c>
      <c r="BD29" s="1">
        <f t="shared" si="9"/>
        <v>0</v>
      </c>
      <c r="BE29" s="1">
        <f t="shared" si="10"/>
        <v>0</v>
      </c>
      <c r="BF29" s="1">
        <f t="shared" si="11"/>
        <v>0</v>
      </c>
      <c r="BG29" s="207">
        <f>IF(AND(C29="Skema 1",B29="ma"),Skemaoplysninger!$E$46,"")</f>
        <v>0.1875</v>
      </c>
      <c r="BH29" s="207" t="str">
        <f>IF(AND(C29="Skema 1",B29="ti"),Skemaoplysninger!$G$46,"")</f>
        <v/>
      </c>
      <c r="BI29" s="207" t="str">
        <f>IF(AND(C29="Skema 1",B29="on"),Skemaoplysninger!$I$46,"")</f>
        <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4.5</v>
      </c>
      <c r="CB29" s="1">
        <f t="shared" si="12"/>
        <v>0</v>
      </c>
      <c r="CC29" s="1">
        <f t="shared" si="13"/>
        <v>0</v>
      </c>
      <c r="CD29" s="207">
        <f>IF(AND(C29="Skema 1",B29="ma"),Skemaoplysninger!$E$47,"")</f>
        <v>7.9861111111111105E-2</v>
      </c>
      <c r="CE29" s="207" t="str">
        <f>IF(AND(C29="Skema 1",B29="ti"),Skemaoplysninger!$G$47,"")</f>
        <v/>
      </c>
      <c r="CF29" s="207" t="str">
        <f>IF(AND(C29="Skema 1",B29="on"),Skemaoplysninger!$I$47,"")</f>
        <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1.9166666666666665</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f t="shared" si="33"/>
        <v>0</v>
      </c>
      <c r="DJ29">
        <f t="shared" si="34"/>
        <v>0</v>
      </c>
      <c r="DK29" t="str">
        <f t="shared" si="14"/>
        <v/>
      </c>
      <c r="DL29" t="str">
        <f t="shared" si="14"/>
        <v/>
      </c>
      <c r="DM29" t="str">
        <f t="shared" si="14"/>
        <v/>
      </c>
      <c r="DN29" t="str">
        <f t="shared" si="35"/>
        <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5"/>
        <v>0</v>
      </c>
      <c r="FZ29" s="634">
        <f t="shared" si="16"/>
        <v>0</v>
      </c>
      <c r="GA29">
        <f t="shared" si="17"/>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8"/>
        <v>0</v>
      </c>
      <c r="GL29">
        <f t="shared" si="19"/>
        <v>0</v>
      </c>
      <c r="GM29">
        <f t="shared" si="20"/>
        <v>0</v>
      </c>
      <c r="GN29" s="713">
        <f t="shared" si="21"/>
        <v>0</v>
      </c>
      <c r="GO29">
        <f t="shared" si="37"/>
        <v>0</v>
      </c>
      <c r="GP29" s="647">
        <f t="shared" si="38"/>
        <v>0</v>
      </c>
    </row>
    <row r="30" spans="1:198">
      <c r="A30" s="239">
        <f t="shared" si="22"/>
        <v>17</v>
      </c>
      <c r="B30" s="125" t="str">
        <f t="shared" si="0"/>
        <v>ti</v>
      </c>
      <c r="C30" s="126" t="s">
        <v>203</v>
      </c>
      <c r="D30" s="127" t="str">
        <f t="shared" si="1"/>
        <v/>
      </c>
      <c r="E30" s="1060"/>
      <c r="F30" s="1061"/>
      <c r="G30" s="1062"/>
      <c r="H30" s="292"/>
      <c r="I30" s="745"/>
      <c r="J30" s="746" t="str">
        <f t="shared" si="2"/>
        <v/>
      </c>
      <c r="K30" s="368"/>
      <c r="L30" s="368"/>
      <c r="M30" s="368"/>
      <c r="N30" s="311">
        <f t="shared" si="23"/>
        <v>8.11</v>
      </c>
      <c r="O30" s="311">
        <f t="shared" si="24"/>
        <v>4.5</v>
      </c>
      <c r="P30" s="311">
        <f>IF(Stamoplysninger!$H$34="JA",November!DG30,CX30)</f>
        <v>1.9166666666666665</v>
      </c>
      <c r="Q30" s="311">
        <f t="shared" si="25"/>
        <v>1.6933333333333329</v>
      </c>
      <c r="R30" s="751"/>
      <c r="S30" s="315"/>
      <c r="T30" s="316"/>
      <c r="U30" s="316"/>
      <c r="V30" s="422"/>
      <c r="W30" s="422"/>
      <c r="X30" s="621"/>
      <c r="Y30">
        <f t="shared" si="26"/>
        <v>0</v>
      </c>
      <c r="Z30" s="424">
        <f t="shared" si="27"/>
        <v>0</v>
      </c>
      <c r="AA30" s="1">
        <f t="shared" si="3"/>
        <v>0</v>
      </c>
      <c r="AB30" s="1">
        <f t="shared" si="4"/>
        <v>0</v>
      </c>
      <c r="AC30" s="1">
        <f t="shared" si="5"/>
        <v>0</v>
      </c>
      <c r="AD30" s="1">
        <f t="shared" si="6"/>
        <v>0</v>
      </c>
      <c r="AE30" s="1">
        <f t="shared" si="7"/>
        <v>0</v>
      </c>
      <c r="AF30" s="1">
        <f>IF(C30="Orlov",7.4*Stamoplysninger!$E$20,0)</f>
        <v>0</v>
      </c>
      <c r="AG30" t="str">
        <f>IF(AND(C30="Skema 1",B30="ma"),Arbejdstidsoversigt!$E$77,"")</f>
        <v/>
      </c>
      <c r="AH30">
        <f>IF(AND(C30="Skema 1",B30="ti"),Arbejdstidsoversigt!$E$78,"")</f>
        <v>8.11</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8.11</v>
      </c>
      <c r="BB30" s="224">
        <f t="shared" si="8"/>
        <v>194.64</v>
      </c>
      <c r="BC30" s="1">
        <f t="shared" si="29"/>
        <v>0</v>
      </c>
      <c r="BD30" s="1">
        <f t="shared" si="9"/>
        <v>0</v>
      </c>
      <c r="BE30" s="1">
        <f t="shared" si="10"/>
        <v>0</v>
      </c>
      <c r="BF30" s="1">
        <f t="shared" si="11"/>
        <v>0</v>
      </c>
      <c r="BG30" s="207" t="str">
        <f>IF(AND(C30="Skema 1",B30="ma"),Skemaoplysninger!$E$46,"")</f>
        <v/>
      </c>
      <c r="BH30" s="207">
        <f>IF(AND(C30="Skema 1",B30="ti"),Skemaoplysninger!$G$46,"")</f>
        <v>0.1875</v>
      </c>
      <c r="BI30" s="207" t="str">
        <f>IF(AND(C30="Skema 1",B30="on"),Skemaoplysninger!$I$46,"")</f>
        <v/>
      </c>
      <c r="BJ30" s="207" t="str">
        <f>IF(AND(C30="Skema 1",B30="to"),Skemaoplysninger!$K$46,"")</f>
        <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4.5</v>
      </c>
      <c r="CB30" s="1">
        <f t="shared" si="12"/>
        <v>0</v>
      </c>
      <c r="CC30" s="1">
        <f t="shared" si="13"/>
        <v>0</v>
      </c>
      <c r="CD30" s="207" t="str">
        <f>IF(AND(C30="Skema 1",B30="ma"),Skemaoplysninger!$E$47,"")</f>
        <v/>
      </c>
      <c r="CE30" s="207">
        <f>IF(AND(C30="Skema 1",B30="ti"),Skemaoplysninger!$G$47,"")</f>
        <v>7.9861111111111105E-2</v>
      </c>
      <c r="CF30" s="207" t="str">
        <f>IF(AND(C30="Skema 1",B30="on"),Skemaoplysninger!$I$47,"")</f>
        <v/>
      </c>
      <c r="CG30" s="207" t="str">
        <f>IF(AND(C30="Skema 1",B30="to"),Skemaoplysninger!$K$47,"")</f>
        <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1.9166666666666665</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4"/>
        <v/>
      </c>
      <c r="DL30" t="str">
        <f t="shared" si="14"/>
        <v/>
      </c>
      <c r="DM30" t="str">
        <f t="shared" si="14"/>
        <v/>
      </c>
      <c r="DN30" t="str">
        <f t="shared" si="35"/>
        <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5"/>
        <v>0</v>
      </c>
      <c r="FZ30" s="634">
        <f t="shared" si="16"/>
        <v>0</v>
      </c>
      <c r="GA30">
        <f t="shared" si="17"/>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8"/>
        <v>0</v>
      </c>
      <c r="GL30">
        <f t="shared" si="19"/>
        <v>0</v>
      </c>
      <c r="GM30">
        <f t="shared" si="20"/>
        <v>0</v>
      </c>
      <c r="GN30" s="713">
        <f t="shared" si="21"/>
        <v>0</v>
      </c>
      <c r="GO30">
        <f t="shared" si="37"/>
        <v>0</v>
      </c>
      <c r="GP30" s="647">
        <f t="shared" si="38"/>
        <v>0</v>
      </c>
    </row>
    <row r="31" spans="1:198">
      <c r="A31" s="239">
        <f t="shared" si="22"/>
        <v>18</v>
      </c>
      <c r="B31" s="125" t="str">
        <f t="shared" si="0"/>
        <v>on</v>
      </c>
      <c r="C31" s="126" t="s">
        <v>203</v>
      </c>
      <c r="D31" s="127" t="str">
        <f t="shared" si="1"/>
        <v/>
      </c>
      <c r="E31" s="1060"/>
      <c r="F31" s="1061"/>
      <c r="G31" s="1062"/>
      <c r="H31" s="292"/>
      <c r="I31" s="745"/>
      <c r="J31" s="746" t="str">
        <f t="shared" si="2"/>
        <v/>
      </c>
      <c r="K31" s="368"/>
      <c r="L31" s="368"/>
      <c r="M31" s="368"/>
      <c r="N31" s="311">
        <f t="shared" si="23"/>
        <v>8.11</v>
      </c>
      <c r="O31" s="311">
        <f t="shared" si="24"/>
        <v>2.75</v>
      </c>
      <c r="P31" s="311">
        <f>IF(Stamoplysninger!$H$34="JA",November!DG31,CX31)</f>
        <v>1.25</v>
      </c>
      <c r="Q31" s="311">
        <f t="shared" si="25"/>
        <v>4.1099999999999994</v>
      </c>
      <c r="R31" s="751"/>
      <c r="S31" s="315"/>
      <c r="T31" s="316"/>
      <c r="U31" s="316"/>
      <c r="V31" s="422"/>
      <c r="W31" s="422"/>
      <c r="X31" s="621"/>
      <c r="Y31">
        <f t="shared" si="26"/>
        <v>0</v>
      </c>
      <c r="Z31" s="424">
        <f t="shared" si="27"/>
        <v>0</v>
      </c>
      <c r="AA31" s="1">
        <f t="shared" si="3"/>
        <v>0</v>
      </c>
      <c r="AB31" s="1">
        <f t="shared" si="4"/>
        <v>0</v>
      </c>
      <c r="AC31" s="1">
        <f t="shared" si="5"/>
        <v>0</v>
      </c>
      <c r="AD31" s="1">
        <f t="shared" si="6"/>
        <v>0</v>
      </c>
      <c r="AE31" s="1">
        <f t="shared" si="7"/>
        <v>0</v>
      </c>
      <c r="AF31" s="1">
        <f>IF(C31="Orlov",7.4*Stamoplysninger!$E$20,0)</f>
        <v>0</v>
      </c>
      <c r="AG31" t="str">
        <f>IF(AND(C31="Skema 1",B31="ma"),Arbejdstidsoversigt!$E$77,"")</f>
        <v/>
      </c>
      <c r="AH31" t="str">
        <f>IF(AND(C31="Skema 1",B31="ti"),Arbejdstidsoversigt!$E$78,"")</f>
        <v/>
      </c>
      <c r="AI31">
        <f>IF(AND(C31="Skema 1",B31="on"),Arbejdstidsoversigt!$E$79,"")</f>
        <v>8.11</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8.11</v>
      </c>
      <c r="BB31" s="224">
        <f t="shared" si="8"/>
        <v>194.64</v>
      </c>
      <c r="BC31" s="1">
        <f t="shared" si="29"/>
        <v>0</v>
      </c>
      <c r="BD31" s="1">
        <f t="shared" si="9"/>
        <v>0</v>
      </c>
      <c r="BE31" s="1">
        <f t="shared" si="10"/>
        <v>0</v>
      </c>
      <c r="BF31" s="1">
        <f t="shared" si="11"/>
        <v>0</v>
      </c>
      <c r="BG31" s="207" t="str">
        <f>IF(AND(C31="Skema 1",B31="ma"),Skemaoplysninger!$E$46,"")</f>
        <v/>
      </c>
      <c r="BH31" s="207" t="str">
        <f>IF(AND(C31="Skema 1",B31="ti"),Skemaoplysninger!$G$46,"")</f>
        <v/>
      </c>
      <c r="BI31" s="207">
        <f>IF(AND(C31="Skema 1",B31="on"),Skemaoplysninger!$I$46,"")</f>
        <v>0.11458333333333333</v>
      </c>
      <c r="BJ31" s="207" t="str">
        <f>IF(AND(C31="Skema 1",B31="to"),Skemaoplysninger!$K$46,"")</f>
        <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2.75</v>
      </c>
      <c r="CB31" s="1">
        <f t="shared" si="12"/>
        <v>0</v>
      </c>
      <c r="CC31" s="1">
        <f t="shared" si="13"/>
        <v>0</v>
      </c>
      <c r="CD31" s="207" t="str">
        <f>IF(AND(C31="Skema 1",B31="ma"),Skemaoplysninger!$E$47,"")</f>
        <v/>
      </c>
      <c r="CE31" s="207" t="str">
        <f>IF(AND(C31="Skema 1",B31="ti"),Skemaoplysninger!$G$47,"")</f>
        <v/>
      </c>
      <c r="CF31" s="207">
        <f>IF(AND(C31="Skema 1",B31="on"),Skemaoplysninger!$I$47,"")</f>
        <v>5.2083333333333329E-2</v>
      </c>
      <c r="CG31" s="207" t="str">
        <f>IF(AND(C31="Skema 1",B31="to"),Skemaoplysninger!$K$47,"")</f>
        <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1.25</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4"/>
        <v/>
      </c>
      <c r="DL31" t="str">
        <f t="shared" si="14"/>
        <v/>
      </c>
      <c r="DM31" t="str">
        <f t="shared" si="14"/>
        <v/>
      </c>
      <c r="DN31" t="str">
        <f t="shared" si="35"/>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5"/>
        <v>0</v>
      </c>
      <c r="FZ31" s="634">
        <f t="shared" si="16"/>
        <v>0</v>
      </c>
      <c r="GA31">
        <f t="shared" si="17"/>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8"/>
        <v>0</v>
      </c>
      <c r="GL31">
        <f t="shared" si="19"/>
        <v>0</v>
      </c>
      <c r="GM31">
        <f t="shared" si="20"/>
        <v>0</v>
      </c>
      <c r="GN31" s="713">
        <f t="shared" si="21"/>
        <v>0</v>
      </c>
      <c r="GO31">
        <f t="shared" si="37"/>
        <v>0</v>
      </c>
      <c r="GP31" s="647">
        <f t="shared" si="38"/>
        <v>0</v>
      </c>
    </row>
    <row r="32" spans="1:198">
      <c r="A32" s="239">
        <f t="shared" si="22"/>
        <v>19</v>
      </c>
      <c r="B32" s="125" t="str">
        <f t="shared" si="0"/>
        <v>to</v>
      </c>
      <c r="C32" s="126" t="s">
        <v>203</v>
      </c>
      <c r="D32" s="127" t="str">
        <f t="shared" si="1"/>
        <v/>
      </c>
      <c r="E32" s="1060" t="s">
        <v>769</v>
      </c>
      <c r="F32" s="1061"/>
      <c r="G32" s="1062"/>
      <c r="H32" s="292"/>
      <c r="I32" s="745"/>
      <c r="J32" s="746" t="str">
        <f t="shared" si="2"/>
        <v/>
      </c>
      <c r="K32" s="368"/>
      <c r="L32" s="368"/>
      <c r="M32" s="368"/>
      <c r="N32" s="311">
        <f t="shared" si="23"/>
        <v>9</v>
      </c>
      <c r="O32" s="311">
        <f t="shared" si="24"/>
        <v>3.75</v>
      </c>
      <c r="P32" s="311">
        <f>IF(Stamoplysninger!$H$34="JA",November!DG32,CX32)</f>
        <v>1</v>
      </c>
      <c r="Q32" s="311">
        <f t="shared" si="25"/>
        <v>4.25</v>
      </c>
      <c r="R32" s="751"/>
      <c r="S32" s="315"/>
      <c r="T32" s="316"/>
      <c r="U32" s="316"/>
      <c r="V32" s="422"/>
      <c r="W32" s="422"/>
      <c r="X32" s="621"/>
      <c r="Y32">
        <f t="shared" si="26"/>
        <v>0</v>
      </c>
      <c r="Z32" s="424">
        <f t="shared" si="27"/>
        <v>0</v>
      </c>
      <c r="AA32" s="1">
        <f t="shared" si="3"/>
        <v>0</v>
      </c>
      <c r="AB32" s="1">
        <f t="shared" si="4"/>
        <v>0</v>
      </c>
      <c r="AC32" s="1">
        <f t="shared" si="5"/>
        <v>0</v>
      </c>
      <c r="AD32" s="1">
        <f t="shared" si="6"/>
        <v>0</v>
      </c>
      <c r="AE32" s="1">
        <f t="shared" si="7"/>
        <v>0</v>
      </c>
      <c r="AF32" s="1">
        <f>IF(C32="Orlov",7.4*Stamoplysninger!$E$20,0)</f>
        <v>0</v>
      </c>
      <c r="AG32" t="str">
        <f>IF(AND(C32="Skema 1",B32="ma"),Arbejdstidsoversigt!$E$77,"")</f>
        <v/>
      </c>
      <c r="AH32" t="str">
        <f>IF(AND(C32="Skema 1",B32="ti"),Arbejdstidsoversigt!$E$78,"")</f>
        <v/>
      </c>
      <c r="AI32" t="str">
        <f>IF(AND(C32="Skema 1",B32="on"),Arbejdstidsoversigt!$E$79,"")</f>
        <v/>
      </c>
      <c r="AJ32">
        <f>IF(AND(C32="Skema 1",B32="to"),Arbejdstidsoversigt!$E$80,"")</f>
        <v>9</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9</v>
      </c>
      <c r="BB32" s="224">
        <f t="shared" si="8"/>
        <v>216</v>
      </c>
      <c r="BC32" s="1">
        <f t="shared" si="29"/>
        <v>0</v>
      </c>
      <c r="BD32" s="1">
        <f t="shared" si="9"/>
        <v>0</v>
      </c>
      <c r="BE32" s="1">
        <f t="shared" si="10"/>
        <v>0</v>
      </c>
      <c r="BF32" s="1">
        <f t="shared" si="11"/>
        <v>0</v>
      </c>
      <c r="BG32" s="207" t="str">
        <f>IF(AND(C32="Skema 1",B32="ma"),Skemaoplysninger!$E$46,"")</f>
        <v/>
      </c>
      <c r="BH32" s="207" t="str">
        <f>IF(AND(C32="Skema 1",B32="ti"),Skemaoplysninger!$G$46,"")</f>
        <v/>
      </c>
      <c r="BI32" s="207" t="str">
        <f>IF(AND(C32="Skema 1",B32="on"),Skemaoplysninger!$I$46,"")</f>
        <v/>
      </c>
      <c r="BJ32" s="207">
        <f>IF(AND(C32="Skema 1",B32="to"),Skemaoplysninger!$K$46,"")</f>
        <v>0.15625</v>
      </c>
      <c r="BK32" s="207" t="str">
        <f>IF(AND(C32="Skema 1",B32="fr"),Skemaoplysninger!$M$46,"")</f>
        <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3.75</v>
      </c>
      <c r="CB32" s="1">
        <f t="shared" si="12"/>
        <v>0</v>
      </c>
      <c r="CC32" s="1">
        <f t="shared" si="13"/>
        <v>0</v>
      </c>
      <c r="CD32" s="207" t="str">
        <f>IF(AND(C32="Skema 1",B32="ma"),Skemaoplysninger!$E$47,"")</f>
        <v/>
      </c>
      <c r="CE32" s="207" t="str">
        <f>IF(AND(C32="Skema 1",B32="ti"),Skemaoplysninger!$G$47,"")</f>
        <v/>
      </c>
      <c r="CF32" s="207" t="str">
        <f>IF(AND(C32="Skema 1",B32="on"),Skemaoplysninger!$I$47,"")</f>
        <v/>
      </c>
      <c r="CG32" s="207">
        <f>IF(AND(C32="Skema 1",B32="to"),Skemaoplysninger!$K$47,"")</f>
        <v>4.1666666666666664E-2</v>
      </c>
      <c r="CH32" s="207" t="str">
        <f>IF(AND(C32="Skema 1",B32="fr"),Skemaoplysninger!$M$47,"")</f>
        <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1</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t="str">
        <f t="shared" si="33"/>
        <v>Lærermøde</v>
      </c>
      <c r="DJ32" t="str">
        <f t="shared" si="34"/>
        <v/>
      </c>
      <c r="DK32" t="str">
        <f t="shared" si="14"/>
        <v/>
      </c>
      <c r="DL32" t="str">
        <f t="shared" si="14"/>
        <v>Lærermøde</v>
      </c>
      <c r="DM32" t="str">
        <f t="shared" si="14"/>
        <v/>
      </c>
      <c r="DN32" t="str">
        <f t="shared" si="35"/>
        <v>Lærermøde</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5"/>
        <v>0</v>
      </c>
      <c r="FZ32" s="634">
        <f t="shared" si="16"/>
        <v>0</v>
      </c>
      <c r="GA32">
        <f t="shared" si="17"/>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8"/>
        <v>0</v>
      </c>
      <c r="GL32">
        <f t="shared" si="19"/>
        <v>0</v>
      </c>
      <c r="GM32">
        <f t="shared" si="20"/>
        <v>0</v>
      </c>
      <c r="GN32" s="713">
        <f t="shared" si="21"/>
        <v>0</v>
      </c>
      <c r="GO32">
        <f t="shared" si="37"/>
        <v>0</v>
      </c>
      <c r="GP32" s="647">
        <f t="shared" si="38"/>
        <v>0</v>
      </c>
    </row>
    <row r="33" spans="1:198">
      <c r="A33" s="239">
        <f t="shared" si="22"/>
        <v>20</v>
      </c>
      <c r="B33" s="125" t="str">
        <f t="shared" si="0"/>
        <v>fr</v>
      </c>
      <c r="C33" s="126" t="s">
        <v>203</v>
      </c>
      <c r="D33" s="127" t="str">
        <f t="shared" si="1"/>
        <v/>
      </c>
      <c r="E33" s="1060"/>
      <c r="F33" s="1061"/>
      <c r="G33" s="1062"/>
      <c r="H33" s="292"/>
      <c r="I33" s="745"/>
      <c r="J33" s="746" t="str">
        <f t="shared" si="2"/>
        <v/>
      </c>
      <c r="K33" s="368"/>
      <c r="L33" s="368"/>
      <c r="M33" s="368"/>
      <c r="N33" s="311">
        <f t="shared" si="23"/>
        <v>7.1</v>
      </c>
      <c r="O33" s="311">
        <f t="shared" si="24"/>
        <v>3.75</v>
      </c>
      <c r="P33" s="311">
        <f>IF(Stamoplysninger!$H$34="JA",November!DG33,CX33)</f>
        <v>1</v>
      </c>
      <c r="Q33" s="311">
        <f t="shared" si="25"/>
        <v>2.3499999999999996</v>
      </c>
      <c r="R33" s="751"/>
      <c r="S33" s="315"/>
      <c r="T33" s="316"/>
      <c r="U33" s="316"/>
      <c r="V33" s="422"/>
      <c r="W33" s="422"/>
      <c r="X33" s="621"/>
      <c r="Y33">
        <f t="shared" si="26"/>
        <v>0</v>
      </c>
      <c r="Z33" s="424">
        <f t="shared" si="27"/>
        <v>0</v>
      </c>
      <c r="AA33" s="1">
        <f t="shared" si="3"/>
        <v>0</v>
      </c>
      <c r="AB33" s="1">
        <f t="shared" si="4"/>
        <v>0</v>
      </c>
      <c r="AC33" s="1">
        <f t="shared" si="5"/>
        <v>0</v>
      </c>
      <c r="AD33" s="1">
        <f t="shared" si="6"/>
        <v>0</v>
      </c>
      <c r="AE33" s="1">
        <f t="shared" si="7"/>
        <v>0</v>
      </c>
      <c r="AF33" s="1">
        <f>IF(C33="Orlov",7.4*Stamoplysninger!$E$20,0)</f>
        <v>0</v>
      </c>
      <c r="AG33" t="str">
        <f>IF(AND(C33="Skema 1",B33="ma"),Arbejdstidsoversigt!$E$77,"")</f>
        <v/>
      </c>
      <c r="AH33" t="str">
        <f>IF(AND(C33="Skema 1",B33="ti"),Arbejdstidsoversigt!$E$78,"")</f>
        <v/>
      </c>
      <c r="AI33" t="str">
        <f>IF(AND(C33="Skema 1",B33="on"),Arbejdstidsoversigt!$E$79,"")</f>
        <v/>
      </c>
      <c r="AJ33" t="str">
        <f>IF(AND(C33="Skema 1",B33="to"),Arbejdstidsoversigt!$E$80,"")</f>
        <v/>
      </c>
      <c r="AK33">
        <f>IF(AND(C33="Skema 1",B33="fr"),Arbejdstidsoversigt!$E$81,"")</f>
        <v>7.1</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7.1</v>
      </c>
      <c r="BB33" s="224">
        <f t="shared" si="8"/>
        <v>170.39999999999998</v>
      </c>
      <c r="BC33" s="1">
        <f t="shared" si="29"/>
        <v>0</v>
      </c>
      <c r="BD33" s="1">
        <f t="shared" si="9"/>
        <v>0</v>
      </c>
      <c r="BE33" s="1">
        <f t="shared" si="10"/>
        <v>0</v>
      </c>
      <c r="BF33" s="1">
        <f t="shared" si="11"/>
        <v>0</v>
      </c>
      <c r="BG33" s="207" t="str">
        <f>IF(AND(C33="Skema 1",B33="ma"),Skemaoplysninger!$E$46,"")</f>
        <v/>
      </c>
      <c r="BH33" s="207" t="str">
        <f>IF(AND(C33="Skema 1",B33="ti"),Skemaoplysninger!$G$46,"")</f>
        <v/>
      </c>
      <c r="BI33" s="207" t="str">
        <f>IF(AND(C33="Skema 1",B33="on"),Skemaoplysninger!$I$46,"")</f>
        <v/>
      </c>
      <c r="BJ33" s="207" t="str">
        <f>IF(AND(C33="Skema 1",B33="to"),Skemaoplysninger!$K$46,"")</f>
        <v/>
      </c>
      <c r="BK33" s="207">
        <f>IF(AND(C33="Skema 1",B33="fr"),Skemaoplysninger!$M$46,"")</f>
        <v>0.15625</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3.75</v>
      </c>
      <c r="CB33" s="1">
        <f t="shared" si="12"/>
        <v>0</v>
      </c>
      <c r="CC33" s="1">
        <f t="shared" si="13"/>
        <v>0</v>
      </c>
      <c r="CD33" s="207" t="str">
        <f>IF(AND(C33="Skema 1",B33="ma"),Skemaoplysninger!$E$47,"")</f>
        <v/>
      </c>
      <c r="CE33" s="207" t="str">
        <f>IF(AND(C33="Skema 1",B33="ti"),Skemaoplysninger!$G$47,"")</f>
        <v/>
      </c>
      <c r="CF33" s="207" t="str">
        <f>IF(AND(C33="Skema 1",B33="on"),Skemaoplysninger!$I$47,"")</f>
        <v/>
      </c>
      <c r="CG33" s="207" t="str">
        <f>IF(AND(C33="Skema 1",B33="to"),Skemaoplysninger!$K$47,"")</f>
        <v/>
      </c>
      <c r="CH33" s="207">
        <f>IF(AND(C33="Skema 1",B33="fr"),Skemaoplysninger!$M$47,"")</f>
        <v>4.1666666666666664E-2</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1</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4"/>
        <v/>
      </c>
      <c r="DL33" t="str">
        <f t="shared" si="14"/>
        <v/>
      </c>
      <c r="DM33" t="str">
        <f t="shared" si="14"/>
        <v/>
      </c>
      <c r="DN33" t="str">
        <f t="shared" si="35"/>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5"/>
        <v>0</v>
      </c>
      <c r="FZ33" s="634">
        <f t="shared" si="16"/>
        <v>0</v>
      </c>
      <c r="GA33">
        <f t="shared" si="17"/>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8"/>
        <v>0</v>
      </c>
      <c r="GL33">
        <f t="shared" si="19"/>
        <v>0</v>
      </c>
      <c r="GM33">
        <f t="shared" si="20"/>
        <v>0</v>
      </c>
      <c r="GN33" s="713">
        <f t="shared" si="21"/>
        <v>0</v>
      </c>
      <c r="GO33">
        <f t="shared" si="37"/>
        <v>0</v>
      </c>
      <c r="GP33" s="647">
        <f t="shared" si="38"/>
        <v>0</v>
      </c>
    </row>
    <row r="34" spans="1:198">
      <c r="A34" s="239">
        <f t="shared" si="22"/>
        <v>21</v>
      </c>
      <c r="B34" s="125" t="str">
        <f t="shared" si="0"/>
        <v>lø</v>
      </c>
      <c r="C34" s="126" t="s">
        <v>118</v>
      </c>
      <c r="D34" s="127" t="str">
        <f t="shared" si="1"/>
        <v/>
      </c>
      <c r="E34" s="1060"/>
      <c r="F34" s="1061"/>
      <c r="G34" s="1062"/>
      <c r="H34" s="292"/>
      <c r="I34" s="746" t="str">
        <f>IF(GO34=1,"X","")</f>
        <v/>
      </c>
      <c r="J34" s="746" t="str">
        <f t="shared" si="2"/>
        <v/>
      </c>
      <c r="K34" s="368"/>
      <c r="L34" s="368"/>
      <c r="M34" s="368"/>
      <c r="N34" s="311">
        <f t="shared" si="23"/>
        <v>0</v>
      </c>
      <c r="O34" s="311">
        <f t="shared" si="24"/>
        <v>0</v>
      </c>
      <c r="P34" s="311">
        <f>IF(Stamoplysninger!$H$34="JA",November!DG34,CX34)</f>
        <v>0</v>
      </c>
      <c r="Q34" s="311">
        <f t="shared" si="25"/>
        <v>0</v>
      </c>
      <c r="R34" s="751"/>
      <c r="S34" s="315"/>
      <c r="T34" s="316"/>
      <c r="U34" s="316"/>
      <c r="V34" s="422"/>
      <c r="W34" s="422"/>
      <c r="X34" s="621"/>
      <c r="Y34">
        <f t="shared" si="26"/>
        <v>0</v>
      </c>
      <c r="Z34" s="424">
        <f t="shared" si="27"/>
        <v>0</v>
      </c>
      <c r="AA34" s="1">
        <f t="shared" si="3"/>
        <v>0</v>
      </c>
      <c r="AB34" s="1">
        <f t="shared" si="4"/>
        <v>0</v>
      </c>
      <c r="AC34" s="1">
        <f t="shared" si="5"/>
        <v>0</v>
      </c>
      <c r="AD34" s="1">
        <f t="shared" si="6"/>
        <v>0</v>
      </c>
      <c r="AE34" s="1">
        <f t="shared" si="7"/>
        <v>0</v>
      </c>
      <c r="AF34" s="1">
        <f>IF(C34="Orlov",7.4*Stamoplysninger!$E$20,0)</f>
        <v>0</v>
      </c>
      <c r="AG34" t="str">
        <f>IF(AND(C34="Skema 1",B34="ma"),Arbejdstidsoversigt!$E$77,"")</f>
        <v/>
      </c>
      <c r="AH34" t="str">
        <f>IF(AND(C34="Skema 1",B34="ti"),Arbejdstidsoversigt!$E$78,"")</f>
        <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8"/>
        <v>0</v>
      </c>
      <c r="BC34" s="1">
        <f t="shared" si="29"/>
        <v>0</v>
      </c>
      <c r="BD34" s="1">
        <f t="shared" si="9"/>
        <v>0</v>
      </c>
      <c r="BE34" s="1">
        <f t="shared" si="10"/>
        <v>0</v>
      </c>
      <c r="BF34" s="1">
        <f t="shared" si="11"/>
        <v>0</v>
      </c>
      <c r="BG34" s="207" t="str">
        <f>IF(AND(C34="Skema 1",B34="ma"),Skemaoplysninger!$E$46,"")</f>
        <v/>
      </c>
      <c r="BH34" s="207" t="str">
        <f>IF(AND(C34="Skema 1",B34="ti"),Skemaoplysninger!$G$46,"")</f>
        <v/>
      </c>
      <c r="BI34" s="207" t="str">
        <f>IF(AND(C34="Skema 1",B34="on"),Skemaoplysninger!$I$46,"")</f>
        <v/>
      </c>
      <c r="BJ34" s="207" t="str">
        <f>IF(AND(C34="Skema 1",B34="to"),Skemaoplysninger!$K$46,"")</f>
        <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0</v>
      </c>
      <c r="CB34" s="1">
        <f t="shared" si="12"/>
        <v>0</v>
      </c>
      <c r="CC34" s="1">
        <f t="shared" si="13"/>
        <v>0</v>
      </c>
      <c r="CD34" s="207" t="str">
        <f>IF(AND(C34="Skema 1",B34="ma"),Skemaoplysninger!$E$47,"")</f>
        <v/>
      </c>
      <c r="CE34" s="207" t="str">
        <f>IF(AND(C34="Skema 1",B34="ti"),Skemaoplysninger!$G$47,"")</f>
        <v/>
      </c>
      <c r="CF34" s="207" t="str">
        <f>IF(AND(C34="Skema 1",B34="on"),Skemaoplysninger!$I$47,"")</f>
        <v/>
      </c>
      <c r="CG34" s="207" t="str">
        <f>IF(AND(C34="Skema 1",B34="to"),Skemaoplysninger!$K$47,"")</f>
        <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4"/>
        <v/>
      </c>
      <c r="DL34" t="str">
        <f t="shared" si="14"/>
        <v/>
      </c>
      <c r="DM34" t="str">
        <f t="shared" si="14"/>
        <v/>
      </c>
      <c r="DN34" t="str">
        <f t="shared" si="35"/>
        <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5"/>
        <v>0</v>
      </c>
      <c r="FZ34" s="634">
        <f t="shared" si="16"/>
        <v>0</v>
      </c>
      <c r="GA34">
        <f t="shared" si="17"/>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8"/>
        <v>0</v>
      </c>
      <c r="GL34">
        <f t="shared" si="19"/>
        <v>0</v>
      </c>
      <c r="GM34">
        <f t="shared" si="20"/>
        <v>0</v>
      </c>
      <c r="GN34" s="713">
        <f t="shared" si="21"/>
        <v>0</v>
      </c>
      <c r="GO34">
        <f t="shared" si="37"/>
        <v>0</v>
      </c>
      <c r="GP34" s="647">
        <f t="shared" si="38"/>
        <v>0</v>
      </c>
    </row>
    <row r="35" spans="1:198">
      <c r="A35" s="239">
        <f t="shared" si="22"/>
        <v>22</v>
      </c>
      <c r="B35" s="125" t="str">
        <f t="shared" si="0"/>
        <v>sø</v>
      </c>
      <c r="C35" s="126" t="s">
        <v>118</v>
      </c>
      <c r="D35" s="127" t="str">
        <f t="shared" si="1"/>
        <v/>
      </c>
      <c r="E35" s="1060"/>
      <c r="F35" s="1061"/>
      <c r="G35" s="1062"/>
      <c r="H35" s="292"/>
      <c r="I35" s="746" t="str">
        <f>IF(GO35=1,"X","")</f>
        <v/>
      </c>
      <c r="J35" s="746" t="str">
        <f t="shared" si="2"/>
        <v/>
      </c>
      <c r="K35" s="368"/>
      <c r="L35" s="368"/>
      <c r="M35" s="368"/>
      <c r="N35" s="311">
        <f t="shared" si="23"/>
        <v>0</v>
      </c>
      <c r="O35" s="311">
        <f t="shared" si="24"/>
        <v>0</v>
      </c>
      <c r="P35" s="311">
        <f>IF(Stamoplysninger!$H$34="JA",November!DG35,CX35)</f>
        <v>0</v>
      </c>
      <c r="Q35" s="311">
        <f t="shared" si="25"/>
        <v>0</v>
      </c>
      <c r="R35" s="751"/>
      <c r="S35" s="315"/>
      <c r="T35" s="316"/>
      <c r="U35" s="316"/>
      <c r="V35" s="422"/>
      <c r="W35" s="422"/>
      <c r="X35" s="621"/>
      <c r="Y35">
        <f t="shared" si="26"/>
        <v>0</v>
      </c>
      <c r="Z35" s="424">
        <f t="shared" si="27"/>
        <v>0</v>
      </c>
      <c r="AA35" s="1">
        <f t="shared" si="3"/>
        <v>0</v>
      </c>
      <c r="AB35" s="1">
        <f t="shared" si="4"/>
        <v>0</v>
      </c>
      <c r="AC35" s="1">
        <f t="shared" si="5"/>
        <v>0</v>
      </c>
      <c r="AD35" s="1">
        <f t="shared" si="6"/>
        <v>0</v>
      </c>
      <c r="AE35" s="1">
        <f t="shared" si="7"/>
        <v>0</v>
      </c>
      <c r="AF35" s="1">
        <f>IF(C35="Orlov",7.4*Stamoplysninger!$E$20,0)</f>
        <v>0</v>
      </c>
      <c r="AG35" t="str">
        <f>IF(AND(C35="Skema 1",B35="ma"),Arbejdstidsoversigt!$E$77,"")</f>
        <v/>
      </c>
      <c r="AH35" t="str">
        <f>IF(AND(C35="Skema 1",B35="ti"),Arbejdstidsoversigt!$E$78,"")</f>
        <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8"/>
        <v>0</v>
      </c>
      <c r="BC35" s="1">
        <f t="shared" si="29"/>
        <v>0</v>
      </c>
      <c r="BD35" s="1">
        <f t="shared" si="9"/>
        <v>0</v>
      </c>
      <c r="BE35" s="1">
        <f t="shared" si="10"/>
        <v>0</v>
      </c>
      <c r="BF35" s="1">
        <f t="shared" si="11"/>
        <v>0</v>
      </c>
      <c r="BG35" s="207" t="str">
        <f>IF(AND(C35="Skema 1",B35="ma"),Skemaoplysninger!$E$46,"")</f>
        <v/>
      </c>
      <c r="BH35" s="207" t="str">
        <f>IF(AND(C35="Skema 1",B35="ti"),Skemaoplysninger!$G$46,"")</f>
        <v/>
      </c>
      <c r="BI35" s="207" t="str">
        <f>IF(AND(C35="Skema 1",B35="on"),Skemaoplysninger!$I$46,"")</f>
        <v/>
      </c>
      <c r="BJ35" s="207" t="str">
        <f>IF(AND(C35="Skema 1",B35="to"),Skemaoplysninger!$K$46,"")</f>
        <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0</v>
      </c>
      <c r="CB35" s="1">
        <f t="shared" si="12"/>
        <v>0</v>
      </c>
      <c r="CC35" s="1">
        <f t="shared" si="13"/>
        <v>0</v>
      </c>
      <c r="CD35" s="207" t="str">
        <f>IF(AND(C35="Skema 1",B35="ma"),Skemaoplysninger!$E$47,"")</f>
        <v/>
      </c>
      <c r="CE35" s="207" t="str">
        <f>IF(AND(C35="Skema 1",B35="ti"),Skemaoplysninger!$G$47,"")</f>
        <v/>
      </c>
      <c r="CF35" s="207" t="str">
        <f>IF(AND(C35="Skema 1",B35="on"),Skemaoplysninger!$I$47,"")</f>
        <v/>
      </c>
      <c r="CG35" s="207" t="str">
        <f>IF(AND(C35="Skema 1",B35="to"),Skemaoplysninger!$K$47,"")</f>
        <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4"/>
        <v/>
      </c>
      <c r="DL35" t="str">
        <f t="shared" si="14"/>
        <v/>
      </c>
      <c r="DM35" t="str">
        <f t="shared" si="14"/>
        <v/>
      </c>
      <c r="DN35" t="str">
        <f t="shared" si="35"/>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5"/>
        <v>0</v>
      </c>
      <c r="FZ35" s="634">
        <f t="shared" si="16"/>
        <v>0</v>
      </c>
      <c r="GA35">
        <f t="shared" si="17"/>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8"/>
        <v>0</v>
      </c>
      <c r="GL35">
        <f t="shared" si="19"/>
        <v>0</v>
      </c>
      <c r="GM35">
        <f t="shared" si="20"/>
        <v>0</v>
      </c>
      <c r="GN35" s="713">
        <f t="shared" si="21"/>
        <v>0</v>
      </c>
      <c r="GO35">
        <f t="shared" si="37"/>
        <v>0</v>
      </c>
      <c r="GP35" s="647">
        <f t="shared" si="38"/>
        <v>0</v>
      </c>
    </row>
    <row r="36" spans="1:198">
      <c r="A36" s="239">
        <f t="shared" si="22"/>
        <v>23</v>
      </c>
      <c r="B36" s="125" t="str">
        <f t="shared" si="0"/>
        <v>ma</v>
      </c>
      <c r="C36" s="126" t="s">
        <v>203</v>
      </c>
      <c r="D36" s="127">
        <f t="shared" si="1"/>
        <v>47.571428571428569</v>
      </c>
      <c r="E36" s="1060"/>
      <c r="F36" s="1061"/>
      <c r="G36" s="1062"/>
      <c r="H36" s="292"/>
      <c r="I36" s="745"/>
      <c r="J36" s="746" t="str">
        <f t="shared" si="2"/>
        <v/>
      </c>
      <c r="K36" s="368"/>
      <c r="L36" s="368"/>
      <c r="M36" s="368"/>
      <c r="N36" s="311">
        <f t="shared" si="23"/>
        <v>8.11</v>
      </c>
      <c r="O36" s="311">
        <f t="shared" si="24"/>
        <v>4.5</v>
      </c>
      <c r="P36" s="311">
        <f>IF(Stamoplysninger!$H$34="JA",November!DG36,CX36)</f>
        <v>1.9166666666666665</v>
      </c>
      <c r="Q36" s="311">
        <f t="shared" si="25"/>
        <v>1.6933333333333329</v>
      </c>
      <c r="R36" s="751"/>
      <c r="S36" s="315"/>
      <c r="T36" s="316"/>
      <c r="U36" s="316"/>
      <c r="V36" s="422"/>
      <c r="W36" s="422"/>
      <c r="X36" s="621"/>
      <c r="Y36">
        <f t="shared" si="26"/>
        <v>0</v>
      </c>
      <c r="Z36" s="424">
        <f t="shared" si="27"/>
        <v>0</v>
      </c>
      <c r="AA36" s="1">
        <f t="shared" si="3"/>
        <v>0</v>
      </c>
      <c r="AB36" s="1">
        <f t="shared" si="4"/>
        <v>0</v>
      </c>
      <c r="AC36" s="1">
        <f t="shared" si="5"/>
        <v>0</v>
      </c>
      <c r="AD36" s="1">
        <f t="shared" si="6"/>
        <v>0</v>
      </c>
      <c r="AE36" s="1">
        <f t="shared" si="7"/>
        <v>0</v>
      </c>
      <c r="AF36" s="1">
        <f>IF(C36="Orlov",7.4*Stamoplysninger!$E$20,0)</f>
        <v>0</v>
      </c>
      <c r="AG36">
        <f>IF(AND(C36="Skema 1",B36="ma"),Arbejdstidsoversigt!$E$77,"")</f>
        <v>8.11</v>
      </c>
      <c r="AH36" t="str">
        <f>IF(AND(C36="Skema 1",B36="ti"),Arbejdstidsoversigt!$E$78,"")</f>
        <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8.11</v>
      </c>
      <c r="BB36" s="224">
        <f t="shared" si="8"/>
        <v>194.64</v>
      </c>
      <c r="BC36" s="1">
        <f t="shared" si="29"/>
        <v>0</v>
      </c>
      <c r="BD36" s="1">
        <f t="shared" si="9"/>
        <v>0</v>
      </c>
      <c r="BE36" s="1">
        <f t="shared" si="10"/>
        <v>0</v>
      </c>
      <c r="BF36" s="1">
        <f t="shared" si="11"/>
        <v>0</v>
      </c>
      <c r="BG36" s="207">
        <f>IF(AND(C36="Skema 1",B36="ma"),Skemaoplysninger!$E$46,"")</f>
        <v>0.1875</v>
      </c>
      <c r="BH36" s="207" t="str">
        <f>IF(AND(C36="Skema 1",B36="ti"),Skemaoplysninger!$G$46,"")</f>
        <v/>
      </c>
      <c r="BI36" s="207" t="str">
        <f>IF(AND(C36="Skema 1",B36="on"),Skemaoplysninger!$I$46,"")</f>
        <v/>
      </c>
      <c r="BJ36" s="207" t="str">
        <f>IF(AND(C36="Skema 1",B36="to"),Skemaoplysninger!$K$46,"")</f>
        <v/>
      </c>
      <c r="BK36" s="207" t="str">
        <f>IF(AND(C36="Skema 1",B36="fr"),Skemaoplysninger!$M$46,"")</f>
        <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4.5</v>
      </c>
      <c r="CB36" s="1">
        <f t="shared" si="12"/>
        <v>0</v>
      </c>
      <c r="CC36" s="1">
        <f t="shared" si="13"/>
        <v>0</v>
      </c>
      <c r="CD36" s="207">
        <f>IF(AND(C36="Skema 1",B36="ma"),Skemaoplysninger!$E$47,"")</f>
        <v>7.9861111111111105E-2</v>
      </c>
      <c r="CE36" s="207" t="str">
        <f>IF(AND(C36="Skema 1",B36="ti"),Skemaoplysninger!$G$47,"")</f>
        <v/>
      </c>
      <c r="CF36" s="207" t="str">
        <f>IF(AND(C36="Skema 1",B36="on"),Skemaoplysninger!$I$47,"")</f>
        <v/>
      </c>
      <c r="CG36" s="207" t="str">
        <f>IF(AND(C36="Skema 1",B36="to"),Skemaoplysninger!$K$47,"")</f>
        <v/>
      </c>
      <c r="CH36" s="207" t="str">
        <f>IF(AND(C36="Skema 1",B36="fr"),Skemaoplysninger!$M$47,"")</f>
        <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1.9166666666666665</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4"/>
        <v/>
      </c>
      <c r="DL36" t="str">
        <f t="shared" si="14"/>
        <v/>
      </c>
      <c r="DM36" t="str">
        <f t="shared" si="14"/>
        <v/>
      </c>
      <c r="DN36" t="str">
        <f t="shared" si="35"/>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5"/>
        <v>0</v>
      </c>
      <c r="FZ36" s="634">
        <f t="shared" si="16"/>
        <v>0</v>
      </c>
      <c r="GA36">
        <f t="shared" si="17"/>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8"/>
        <v>0</v>
      </c>
      <c r="GL36">
        <f t="shared" si="19"/>
        <v>0</v>
      </c>
      <c r="GM36">
        <f t="shared" si="20"/>
        <v>0</v>
      </c>
      <c r="GN36" s="713">
        <f t="shared" si="21"/>
        <v>0</v>
      </c>
      <c r="GO36">
        <f t="shared" si="37"/>
        <v>0</v>
      </c>
      <c r="GP36" s="647">
        <f t="shared" si="38"/>
        <v>0</v>
      </c>
    </row>
    <row r="37" spans="1:198">
      <c r="A37" s="239">
        <f t="shared" si="22"/>
        <v>24</v>
      </c>
      <c r="B37" s="125" t="str">
        <f t="shared" si="0"/>
        <v>ti</v>
      </c>
      <c r="C37" s="126" t="s">
        <v>203</v>
      </c>
      <c r="D37" s="127" t="str">
        <f t="shared" si="1"/>
        <v/>
      </c>
      <c r="E37" s="1123"/>
      <c r="F37" s="1124"/>
      <c r="G37" s="1125"/>
      <c r="H37" s="292"/>
      <c r="I37" s="745"/>
      <c r="J37" s="746" t="str">
        <f t="shared" si="2"/>
        <v/>
      </c>
      <c r="K37" s="368"/>
      <c r="L37" s="368"/>
      <c r="M37" s="368"/>
      <c r="N37" s="311">
        <f t="shared" si="23"/>
        <v>8.11</v>
      </c>
      <c r="O37" s="311">
        <f t="shared" si="24"/>
        <v>4.5</v>
      </c>
      <c r="P37" s="311">
        <f>IF(Stamoplysninger!$H$34="JA",November!DG37,CX37)</f>
        <v>1.9166666666666665</v>
      </c>
      <c r="Q37" s="311">
        <f t="shared" si="25"/>
        <v>1.6933333333333329</v>
      </c>
      <c r="R37" s="751"/>
      <c r="S37" s="315"/>
      <c r="T37" s="316"/>
      <c r="U37" s="316"/>
      <c r="V37" s="422"/>
      <c r="W37" s="422"/>
      <c r="X37" s="621"/>
      <c r="Y37">
        <f t="shared" si="26"/>
        <v>0</v>
      </c>
      <c r="Z37" s="424">
        <f t="shared" si="27"/>
        <v>0</v>
      </c>
      <c r="AA37" s="1">
        <f t="shared" si="3"/>
        <v>0</v>
      </c>
      <c r="AB37" s="1">
        <f t="shared" si="4"/>
        <v>0</v>
      </c>
      <c r="AC37" s="1">
        <f t="shared" si="5"/>
        <v>0</v>
      </c>
      <c r="AD37" s="1">
        <f t="shared" si="6"/>
        <v>0</v>
      </c>
      <c r="AE37" s="1">
        <f t="shared" si="7"/>
        <v>0</v>
      </c>
      <c r="AF37" s="1">
        <f>IF(C37="Orlov",7.4*Stamoplysninger!$E$20,0)</f>
        <v>0</v>
      </c>
      <c r="AG37" t="str">
        <f>IF(AND(C37="Skema 1",B37="ma"),Arbejdstidsoversigt!$E$77,"")</f>
        <v/>
      </c>
      <c r="AH37">
        <f>IF(AND(C37="Skema 1",B37="ti"),Arbejdstidsoversigt!$E$78,"")</f>
        <v>8.11</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8.11</v>
      </c>
      <c r="BB37" s="224">
        <f t="shared" si="8"/>
        <v>194.64</v>
      </c>
      <c r="BC37" s="1">
        <f t="shared" si="29"/>
        <v>0</v>
      </c>
      <c r="BD37" s="1">
        <f t="shared" si="9"/>
        <v>0</v>
      </c>
      <c r="BE37" s="1">
        <f t="shared" si="10"/>
        <v>0</v>
      </c>
      <c r="BF37" s="1">
        <f t="shared" si="11"/>
        <v>0</v>
      </c>
      <c r="BG37" s="207" t="str">
        <f>IF(AND(C37="Skema 1",B37="ma"),Skemaoplysninger!$E$46,"")</f>
        <v/>
      </c>
      <c r="BH37" s="207">
        <f>IF(AND(C37="Skema 1",B37="ti"),Skemaoplysninger!$G$46,"")</f>
        <v>0.1875</v>
      </c>
      <c r="BI37" s="207" t="str">
        <f>IF(AND(C37="Skema 1",B37="on"),Skemaoplysninger!$I$46,"")</f>
        <v/>
      </c>
      <c r="BJ37" s="207" t="str">
        <f>IF(AND(C37="Skema 1",B37="to"),Skemaoplysninger!$K$46,"")</f>
        <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4.5</v>
      </c>
      <c r="CB37" s="1">
        <f t="shared" si="12"/>
        <v>0</v>
      </c>
      <c r="CC37" s="1">
        <f t="shared" si="13"/>
        <v>0</v>
      </c>
      <c r="CD37" s="207" t="str">
        <f>IF(AND(C37="Skema 1",B37="ma"),Skemaoplysninger!$E$47,"")</f>
        <v/>
      </c>
      <c r="CE37" s="207">
        <f>IF(AND(C37="Skema 1",B37="ti"),Skemaoplysninger!$G$47,"")</f>
        <v>7.9861111111111105E-2</v>
      </c>
      <c r="CF37" s="207" t="str">
        <f>IF(AND(C37="Skema 1",B37="on"),Skemaoplysninger!$I$47,"")</f>
        <v/>
      </c>
      <c r="CG37" s="207" t="str">
        <f>IF(AND(C37="Skema 1",B37="to"),Skemaoplysninger!$K$47,"")</f>
        <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1.9166666666666665</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4"/>
        <v/>
      </c>
      <c r="DL37" t="str">
        <f t="shared" si="14"/>
        <v/>
      </c>
      <c r="DM37" t="str">
        <f t="shared" si="14"/>
        <v/>
      </c>
      <c r="DN37" t="str">
        <f t="shared" si="35"/>
        <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5"/>
        <v>0</v>
      </c>
      <c r="FZ37" s="634">
        <f t="shared" si="16"/>
        <v>0</v>
      </c>
      <c r="GA37">
        <f t="shared" si="17"/>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8"/>
        <v>0</v>
      </c>
      <c r="GL37">
        <f t="shared" si="19"/>
        <v>0</v>
      </c>
      <c r="GM37">
        <f t="shared" si="20"/>
        <v>0</v>
      </c>
      <c r="GN37" s="713">
        <f t="shared" si="21"/>
        <v>0</v>
      </c>
      <c r="GO37">
        <f t="shared" si="37"/>
        <v>0</v>
      </c>
      <c r="GP37" s="647">
        <f t="shared" si="38"/>
        <v>0</v>
      </c>
    </row>
    <row r="38" spans="1:198">
      <c r="A38" s="239">
        <f t="shared" si="22"/>
        <v>25</v>
      </c>
      <c r="B38" s="125" t="str">
        <f t="shared" si="0"/>
        <v>on</v>
      </c>
      <c r="C38" s="126" t="s">
        <v>203</v>
      </c>
      <c r="D38" s="127" t="str">
        <f t="shared" si="1"/>
        <v/>
      </c>
      <c r="E38" s="1060"/>
      <c r="F38" s="1061"/>
      <c r="G38" s="1062"/>
      <c r="H38" s="292"/>
      <c r="I38" s="745"/>
      <c r="J38" s="746" t="str">
        <f t="shared" si="2"/>
        <v/>
      </c>
      <c r="K38" s="368"/>
      <c r="L38" s="368"/>
      <c r="M38" s="368"/>
      <c r="N38" s="311">
        <f t="shared" si="23"/>
        <v>8.11</v>
      </c>
      <c r="O38" s="311">
        <f t="shared" si="24"/>
        <v>2.75</v>
      </c>
      <c r="P38" s="311">
        <f>IF(Stamoplysninger!$H$34="JA",November!DG38,CX38)</f>
        <v>1.25</v>
      </c>
      <c r="Q38" s="311">
        <f t="shared" si="25"/>
        <v>4.1099999999999994</v>
      </c>
      <c r="R38" s="751"/>
      <c r="S38" s="315"/>
      <c r="T38" s="316"/>
      <c r="U38" s="316"/>
      <c r="V38" s="422"/>
      <c r="W38" s="422"/>
      <c r="X38" s="621"/>
      <c r="Y38">
        <f t="shared" si="26"/>
        <v>0</v>
      </c>
      <c r="Z38" s="424">
        <f t="shared" si="27"/>
        <v>0</v>
      </c>
      <c r="AA38" s="1">
        <f t="shared" si="3"/>
        <v>0</v>
      </c>
      <c r="AB38" s="1">
        <f t="shared" si="4"/>
        <v>0</v>
      </c>
      <c r="AC38" s="1">
        <f t="shared" si="5"/>
        <v>0</v>
      </c>
      <c r="AD38" s="1">
        <f t="shared" si="6"/>
        <v>0</v>
      </c>
      <c r="AE38" s="1">
        <f t="shared" si="7"/>
        <v>0</v>
      </c>
      <c r="AF38" s="1">
        <f>IF(C38="Orlov",7.4*Stamoplysninger!$E$20,0)</f>
        <v>0</v>
      </c>
      <c r="AG38" t="str">
        <f>IF(AND(C38="Skema 1",B38="ma"),Arbejdstidsoversigt!$E$77,"")</f>
        <v/>
      </c>
      <c r="AH38" t="str">
        <f>IF(AND(C38="Skema 1",B38="ti"),Arbejdstidsoversigt!$E$78,"")</f>
        <v/>
      </c>
      <c r="AI38">
        <f>IF(AND(C38="Skema 1",B38="on"),Arbejdstidsoversigt!$E$79,"")</f>
        <v>8.11</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8.11</v>
      </c>
      <c r="BB38" s="224">
        <f t="shared" si="8"/>
        <v>194.64</v>
      </c>
      <c r="BC38" s="1">
        <f t="shared" si="29"/>
        <v>0</v>
      </c>
      <c r="BD38" s="1">
        <f t="shared" si="9"/>
        <v>0</v>
      </c>
      <c r="BE38" s="1">
        <f t="shared" si="10"/>
        <v>0</v>
      </c>
      <c r="BF38" s="1">
        <f t="shared" si="11"/>
        <v>0</v>
      </c>
      <c r="BG38" s="207" t="str">
        <f>IF(AND(C38="Skema 1",B38="ma"),Skemaoplysninger!$E$46,"")</f>
        <v/>
      </c>
      <c r="BH38" s="207" t="str">
        <f>IF(AND(C38="Skema 1",B38="ti"),Skemaoplysninger!$G$46,"")</f>
        <v/>
      </c>
      <c r="BI38" s="207">
        <f>IF(AND(C38="Skema 1",B38="on"),Skemaoplysninger!$I$46,"")</f>
        <v>0.11458333333333333</v>
      </c>
      <c r="BJ38" s="207" t="str">
        <f>IF(AND(C38="Skema 1",B38="to"),Skemaoplysninger!$K$46,"")</f>
        <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2.75</v>
      </c>
      <c r="CB38" s="1">
        <f t="shared" si="12"/>
        <v>0</v>
      </c>
      <c r="CC38" s="1">
        <f t="shared" si="13"/>
        <v>0</v>
      </c>
      <c r="CD38" s="207" t="str">
        <f>IF(AND(C38="Skema 1",B38="ma"),Skemaoplysninger!$E$47,"")</f>
        <v/>
      </c>
      <c r="CE38" s="207" t="str">
        <f>IF(AND(C38="Skema 1",B38="ti"),Skemaoplysninger!$G$47,"")</f>
        <v/>
      </c>
      <c r="CF38" s="207">
        <f>IF(AND(C38="Skema 1",B38="on"),Skemaoplysninger!$I$47,"")</f>
        <v>5.2083333333333329E-2</v>
      </c>
      <c r="CG38" s="207" t="str">
        <f>IF(AND(C38="Skema 1",B38="to"),Skemaoplysninger!$K$47,"")</f>
        <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1.25</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f t="shared" si="33"/>
        <v>0</v>
      </c>
      <c r="DJ38">
        <f t="shared" si="34"/>
        <v>0</v>
      </c>
      <c r="DK38" t="str">
        <f t="shared" si="14"/>
        <v/>
      </c>
      <c r="DL38" t="str">
        <f t="shared" si="14"/>
        <v/>
      </c>
      <c r="DM38" t="str">
        <f t="shared" si="14"/>
        <v/>
      </c>
      <c r="DN38" t="str">
        <f t="shared" si="35"/>
        <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5"/>
        <v>0</v>
      </c>
      <c r="FZ38" s="634">
        <f t="shared" si="16"/>
        <v>0</v>
      </c>
      <c r="GA38">
        <f t="shared" si="17"/>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8"/>
        <v>0</v>
      </c>
      <c r="GL38">
        <f t="shared" si="19"/>
        <v>0</v>
      </c>
      <c r="GM38">
        <f t="shared" si="20"/>
        <v>0</v>
      </c>
      <c r="GN38" s="713">
        <f t="shared" si="21"/>
        <v>0</v>
      </c>
      <c r="GO38">
        <f t="shared" si="37"/>
        <v>0</v>
      </c>
      <c r="GP38" s="647">
        <f t="shared" si="38"/>
        <v>0</v>
      </c>
    </row>
    <row r="39" spans="1:198">
      <c r="A39" s="239">
        <f t="shared" si="22"/>
        <v>26</v>
      </c>
      <c r="B39" s="125" t="str">
        <f t="shared" si="0"/>
        <v>to</v>
      </c>
      <c r="C39" s="126" t="s">
        <v>203</v>
      </c>
      <c r="D39" s="127" t="str">
        <f t="shared" si="1"/>
        <v/>
      </c>
      <c r="E39" s="1060"/>
      <c r="F39" s="1061"/>
      <c r="G39" s="1062"/>
      <c r="H39" s="292"/>
      <c r="I39" s="745"/>
      <c r="J39" s="746" t="str">
        <f t="shared" si="2"/>
        <v/>
      </c>
      <c r="K39" s="368"/>
      <c r="L39" s="368"/>
      <c r="M39" s="368"/>
      <c r="N39" s="311">
        <f t="shared" si="23"/>
        <v>9</v>
      </c>
      <c r="O39" s="311">
        <f t="shared" si="24"/>
        <v>3.75</v>
      </c>
      <c r="P39" s="311">
        <f>IF(Stamoplysninger!$H$34="JA",November!DG39,CX39)</f>
        <v>1</v>
      </c>
      <c r="Q39" s="311">
        <f t="shared" si="25"/>
        <v>4.25</v>
      </c>
      <c r="R39" s="751"/>
      <c r="S39" s="315"/>
      <c r="T39" s="316"/>
      <c r="U39" s="316"/>
      <c r="V39" s="422"/>
      <c r="W39" s="422"/>
      <c r="X39" s="621"/>
      <c r="Y39">
        <f t="shared" si="26"/>
        <v>0</v>
      </c>
      <c r="Z39" s="424">
        <f t="shared" si="27"/>
        <v>0</v>
      </c>
      <c r="AA39" s="1">
        <f t="shared" si="3"/>
        <v>0</v>
      </c>
      <c r="AB39" s="1">
        <f t="shared" si="4"/>
        <v>0</v>
      </c>
      <c r="AC39" s="1">
        <f t="shared" si="5"/>
        <v>0</v>
      </c>
      <c r="AD39" s="1">
        <f t="shared" si="6"/>
        <v>0</v>
      </c>
      <c r="AE39" s="1">
        <f t="shared" si="7"/>
        <v>0</v>
      </c>
      <c r="AF39" s="1">
        <f>IF(C39="Orlov",7.4*Stamoplysninger!$E$20,0)</f>
        <v>0</v>
      </c>
      <c r="AG39" t="str">
        <f>IF(AND(C39="Skema 1",B39="ma"),Arbejdstidsoversigt!$E$77,"")</f>
        <v/>
      </c>
      <c r="AH39" t="str">
        <f>IF(AND(C39="Skema 1",B39="ti"),Arbejdstidsoversigt!$E$78,"")</f>
        <v/>
      </c>
      <c r="AI39" t="str">
        <f>IF(AND(C39="Skema 1",B39="on"),Arbejdstidsoversigt!$E$79,"")</f>
        <v/>
      </c>
      <c r="AJ39">
        <f>IF(AND(C39="Skema 1",B39="to"),Arbejdstidsoversigt!$E$80,"")</f>
        <v>9</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9</v>
      </c>
      <c r="BB39" s="224">
        <f t="shared" si="8"/>
        <v>216</v>
      </c>
      <c r="BC39" s="1">
        <f t="shared" si="29"/>
        <v>0</v>
      </c>
      <c r="BD39" s="1">
        <f t="shared" si="9"/>
        <v>0</v>
      </c>
      <c r="BE39" s="1">
        <f t="shared" si="10"/>
        <v>0</v>
      </c>
      <c r="BF39" s="1">
        <f t="shared" si="11"/>
        <v>0</v>
      </c>
      <c r="BG39" s="207" t="str">
        <f>IF(AND(C39="Skema 1",B39="ma"),Skemaoplysninger!$E$46,"")</f>
        <v/>
      </c>
      <c r="BH39" s="207" t="str">
        <f>IF(AND(C39="Skema 1",B39="ti"),Skemaoplysninger!$G$46,"")</f>
        <v/>
      </c>
      <c r="BI39" s="207" t="str">
        <f>IF(AND(C39="Skema 1",B39="on"),Skemaoplysninger!$I$46,"")</f>
        <v/>
      </c>
      <c r="BJ39" s="207">
        <f>IF(AND(C39="Skema 1",B39="to"),Skemaoplysninger!$K$46,"")</f>
        <v>0.15625</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3.75</v>
      </c>
      <c r="CB39" s="1">
        <f t="shared" si="12"/>
        <v>0</v>
      </c>
      <c r="CC39" s="1">
        <f t="shared" si="13"/>
        <v>0</v>
      </c>
      <c r="CD39" s="207" t="str">
        <f>IF(AND(C39="Skema 1",B39="ma"),Skemaoplysninger!$E$47,"")</f>
        <v/>
      </c>
      <c r="CE39" s="207" t="str">
        <f>IF(AND(C39="Skema 1",B39="ti"),Skemaoplysninger!$G$47,"")</f>
        <v/>
      </c>
      <c r="CF39" s="207" t="str">
        <f>IF(AND(C39="Skema 1",B39="on"),Skemaoplysninger!$I$47,"")</f>
        <v/>
      </c>
      <c r="CG39" s="207">
        <f>IF(AND(C39="Skema 1",B39="to"),Skemaoplysninger!$K$47,"")</f>
        <v>4.1666666666666664E-2</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1</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4"/>
        <v/>
      </c>
      <c r="DL39" t="str">
        <f t="shared" si="14"/>
        <v/>
      </c>
      <c r="DM39" t="str">
        <f t="shared" si="14"/>
        <v/>
      </c>
      <c r="DN39" t="str">
        <f t="shared" si="35"/>
        <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5"/>
        <v>0</v>
      </c>
      <c r="FZ39" s="634">
        <f t="shared" si="16"/>
        <v>0</v>
      </c>
      <c r="GA39">
        <f t="shared" si="17"/>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8"/>
        <v>0</v>
      </c>
      <c r="GL39">
        <f t="shared" si="19"/>
        <v>0</v>
      </c>
      <c r="GM39">
        <f t="shared" si="20"/>
        <v>0</v>
      </c>
      <c r="GN39" s="713">
        <f t="shared" si="21"/>
        <v>0</v>
      </c>
      <c r="GO39">
        <f t="shared" si="37"/>
        <v>0</v>
      </c>
      <c r="GP39" s="647">
        <f t="shared" si="38"/>
        <v>0</v>
      </c>
    </row>
    <row r="40" spans="1:198">
      <c r="A40" s="239">
        <f t="shared" si="22"/>
        <v>27</v>
      </c>
      <c r="B40" s="125" t="str">
        <f t="shared" si="0"/>
        <v>fr</v>
      </c>
      <c r="C40" s="126" t="s">
        <v>203</v>
      </c>
      <c r="D40" s="127" t="str">
        <f t="shared" si="1"/>
        <v/>
      </c>
      <c r="E40" s="1060"/>
      <c r="F40" s="1061"/>
      <c r="G40" s="1062"/>
      <c r="H40" s="292"/>
      <c r="I40" s="745"/>
      <c r="J40" s="746" t="str">
        <f t="shared" si="2"/>
        <v/>
      </c>
      <c r="K40" s="368"/>
      <c r="L40" s="368"/>
      <c r="M40" s="368"/>
      <c r="N40" s="311">
        <f t="shared" si="23"/>
        <v>7.1</v>
      </c>
      <c r="O40" s="311">
        <f t="shared" si="24"/>
        <v>3.75</v>
      </c>
      <c r="P40" s="311">
        <f>IF(Stamoplysninger!$H$34="JA",November!DG40,CX40)</f>
        <v>1</v>
      </c>
      <c r="Q40" s="311">
        <f t="shared" si="25"/>
        <v>2.3499999999999996</v>
      </c>
      <c r="R40" s="751"/>
      <c r="S40" s="315"/>
      <c r="T40" s="316"/>
      <c r="U40" s="316"/>
      <c r="V40" s="422"/>
      <c r="W40" s="422"/>
      <c r="X40" s="621"/>
      <c r="Y40">
        <f t="shared" si="26"/>
        <v>0</v>
      </c>
      <c r="Z40" s="424">
        <f t="shared" si="27"/>
        <v>0</v>
      </c>
      <c r="AA40" s="1">
        <f t="shared" si="3"/>
        <v>0</v>
      </c>
      <c r="AB40" s="1">
        <f t="shared" si="4"/>
        <v>0</v>
      </c>
      <c r="AC40" s="1">
        <f t="shared" si="5"/>
        <v>0</v>
      </c>
      <c r="AD40" s="1">
        <f t="shared" si="6"/>
        <v>0</v>
      </c>
      <c r="AE40" s="1">
        <f t="shared" si="7"/>
        <v>0</v>
      </c>
      <c r="AF40" s="1">
        <f>IF(C40="Orlov",7.4*Stamoplysninger!$E$20,0)</f>
        <v>0</v>
      </c>
      <c r="AG40" t="str">
        <f>IF(AND(C40="Skema 1",B40="ma"),Arbejdstidsoversigt!$E$77,"")</f>
        <v/>
      </c>
      <c r="AH40" t="str">
        <f>IF(AND(C40="Skema 1",B40="ti"),Arbejdstidsoversigt!$E$78,"")</f>
        <v/>
      </c>
      <c r="AI40" t="str">
        <f>IF(AND(C40="Skema 1",B40="on"),Arbejdstidsoversigt!$E$79,"")</f>
        <v/>
      </c>
      <c r="AJ40" t="str">
        <f>IF(AND(C40="Skema 1",B40="to"),Arbejdstidsoversigt!$E$80,"")</f>
        <v/>
      </c>
      <c r="AK40">
        <f>IF(AND(C40="Skema 1",B40="fr"),Arbejdstidsoversigt!$E$81,"")</f>
        <v>7.1</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7.1</v>
      </c>
      <c r="BB40" s="224">
        <f t="shared" si="8"/>
        <v>170.39999999999998</v>
      </c>
      <c r="BC40" s="1">
        <f t="shared" si="29"/>
        <v>0</v>
      </c>
      <c r="BD40" s="1">
        <f t="shared" si="9"/>
        <v>0</v>
      </c>
      <c r="BE40" s="1">
        <f t="shared" si="10"/>
        <v>0</v>
      </c>
      <c r="BF40" s="1">
        <f t="shared" si="11"/>
        <v>0</v>
      </c>
      <c r="BG40" s="207" t="str">
        <f>IF(AND(C40="Skema 1",B40="ma"),Skemaoplysninger!$E$46,"")</f>
        <v/>
      </c>
      <c r="BH40" s="207" t="str">
        <f>IF(AND(C40="Skema 1",B40="ti"),Skemaoplysninger!$G$46,"")</f>
        <v/>
      </c>
      <c r="BI40" s="207" t="str">
        <f>IF(AND(C40="Skema 1",B40="on"),Skemaoplysninger!$I$46,"")</f>
        <v/>
      </c>
      <c r="BJ40" s="207" t="str">
        <f>IF(AND(C40="Skema 1",B40="to"),Skemaoplysninger!$K$46,"")</f>
        <v/>
      </c>
      <c r="BK40" s="207">
        <f>IF(AND(C40="Skema 1",B40="fr"),Skemaoplysninger!$M$46,"")</f>
        <v>0.15625</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0"/>
        <v>3.75</v>
      </c>
      <c r="CB40" s="1">
        <f t="shared" si="12"/>
        <v>0</v>
      </c>
      <c r="CC40" s="1">
        <f t="shared" si="13"/>
        <v>0</v>
      </c>
      <c r="CD40" s="207" t="str">
        <f>IF(AND(C40="Skema 1",B40="ma"),Skemaoplysninger!$E$47,"")</f>
        <v/>
      </c>
      <c r="CE40" s="207" t="str">
        <f>IF(AND(C40="Skema 1",B40="ti"),Skemaoplysninger!$G$47,"")</f>
        <v/>
      </c>
      <c r="CF40" s="207" t="str">
        <f>IF(AND(C40="Skema 1",B40="on"),Skemaoplysninger!$I$47,"")</f>
        <v/>
      </c>
      <c r="CG40" s="207" t="str">
        <f>IF(AND(C40="Skema 1",B40="to"),Skemaoplysninger!$K$47,"")</f>
        <v/>
      </c>
      <c r="CH40" s="207">
        <f>IF(AND(C40="Skema 1",B40="fr"),Skemaoplysninger!$M$47,"")</f>
        <v>4.1666666666666664E-2</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1</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4"/>
        <v/>
      </c>
      <c r="DL40" t="str">
        <f t="shared" si="14"/>
        <v/>
      </c>
      <c r="DM40" t="str">
        <f t="shared" si="14"/>
        <v/>
      </c>
      <c r="DN40" t="str">
        <f t="shared" si="35"/>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5"/>
        <v>0</v>
      </c>
      <c r="FZ40" s="634">
        <f t="shared" si="16"/>
        <v>0</v>
      </c>
      <c r="GA40">
        <f t="shared" si="17"/>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8"/>
        <v>0</v>
      </c>
      <c r="GL40">
        <f t="shared" si="19"/>
        <v>0</v>
      </c>
      <c r="GM40">
        <f t="shared" si="20"/>
        <v>0</v>
      </c>
      <c r="GN40" s="713">
        <f t="shared" si="21"/>
        <v>0</v>
      </c>
      <c r="GO40">
        <f t="shared" si="37"/>
        <v>0</v>
      </c>
      <c r="GP40" s="647">
        <f t="shared" si="38"/>
        <v>0</v>
      </c>
    </row>
    <row r="41" spans="1:198" ht="16" customHeight="1">
      <c r="A41" s="239">
        <f t="shared" si="22"/>
        <v>28</v>
      </c>
      <c r="B41" s="125" t="str">
        <f t="shared" si="0"/>
        <v>lø</v>
      </c>
      <c r="C41" s="126" t="s">
        <v>118</v>
      </c>
      <c r="D41" s="127" t="str">
        <f t="shared" si="1"/>
        <v/>
      </c>
      <c r="E41" s="1123"/>
      <c r="F41" s="1124"/>
      <c r="G41" s="1125"/>
      <c r="H41" s="292"/>
      <c r="I41" s="746" t="str">
        <f>IF(GO41=1,"X","")</f>
        <v/>
      </c>
      <c r="J41" s="746" t="str">
        <f t="shared" si="2"/>
        <v/>
      </c>
      <c r="K41" s="368"/>
      <c r="L41" s="368"/>
      <c r="M41" s="368"/>
      <c r="N41" s="311">
        <f t="shared" si="23"/>
        <v>0</v>
      </c>
      <c r="O41" s="311">
        <f t="shared" si="24"/>
        <v>0</v>
      </c>
      <c r="P41" s="311">
        <f>IF(Stamoplysninger!$H$34="JA",November!DG41,CX41)</f>
        <v>0</v>
      </c>
      <c r="Q41" s="311">
        <f t="shared" si="25"/>
        <v>0</v>
      </c>
      <c r="R41" s="751"/>
      <c r="S41" s="315"/>
      <c r="T41" s="316"/>
      <c r="U41" s="316"/>
      <c r="V41" s="422"/>
      <c r="W41" s="422"/>
      <c r="X41" s="621"/>
      <c r="Y41">
        <f t="shared" si="26"/>
        <v>0</v>
      </c>
      <c r="Z41" s="424">
        <f t="shared" si="27"/>
        <v>0</v>
      </c>
      <c r="AA41" s="1">
        <f t="shared" si="3"/>
        <v>0</v>
      </c>
      <c r="AB41" s="1">
        <f t="shared" si="4"/>
        <v>0</v>
      </c>
      <c r="AC41" s="1">
        <f t="shared" si="5"/>
        <v>0</v>
      </c>
      <c r="AD41" s="1">
        <f t="shared" si="6"/>
        <v>0</v>
      </c>
      <c r="AE41" s="1">
        <f t="shared" si="7"/>
        <v>0</v>
      </c>
      <c r="AF41" s="1">
        <f>IF(C41="Orlov",7.4*Stamoplysninger!$E$20,0)</f>
        <v>0</v>
      </c>
      <c r="AG41" t="str">
        <f>IF(AND(C41="Skema 1",B41="ma"),Arbejdstidsoversigt!$E$77,"")</f>
        <v/>
      </c>
      <c r="AH41" t="str">
        <f>IF(AND(C41="Skema 1",B41="ti"),Arbejdstidsoversigt!$E$78,"")</f>
        <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8"/>
        <v>0</v>
      </c>
      <c r="BC41" s="1">
        <f t="shared" si="29"/>
        <v>0</v>
      </c>
      <c r="BD41" s="1">
        <f t="shared" si="9"/>
        <v>0</v>
      </c>
      <c r="BE41" s="1">
        <f t="shared" si="10"/>
        <v>0</v>
      </c>
      <c r="BF41" s="1">
        <f t="shared" si="11"/>
        <v>0</v>
      </c>
      <c r="BG41" s="207" t="str">
        <f>IF(AND(C41="Skema 1",B41="ma"),Skemaoplysninger!$E$46,"")</f>
        <v/>
      </c>
      <c r="BH41" s="207" t="str">
        <f>IF(AND(C41="Skema 1",B41="ti"),Skemaoplysninger!$G$46,"")</f>
        <v/>
      </c>
      <c r="BI41" s="207" t="str">
        <f>IF(AND(C41="Skema 1",B41="on"),Skemaoplysninger!$I$46,"")</f>
        <v/>
      </c>
      <c r="BJ41" s="207" t="str">
        <f>IF(AND(C41="Skema 1",B41="to"),Skemaoplysninger!$K$46,"")</f>
        <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0"/>
        <v>0</v>
      </c>
      <c r="CB41" s="1">
        <f t="shared" si="12"/>
        <v>0</v>
      </c>
      <c r="CC41" s="1">
        <f t="shared" si="13"/>
        <v>0</v>
      </c>
      <c r="CD41" s="207" t="str">
        <f>IF(AND(C41="Skema 1",B41="ma"),Skemaoplysninger!$E$47,"")</f>
        <v/>
      </c>
      <c r="CE41" s="207" t="str">
        <f>IF(AND(C41="Skema 1",B41="ti"),Skemaoplysninger!$G$47,"")</f>
        <v/>
      </c>
      <c r="CF41" s="207" t="str">
        <f>IF(AND(C41="Skema 1",B41="on"),Skemaoplysninger!$I$47,"")</f>
        <v/>
      </c>
      <c r="CG41" s="207" t="str">
        <f>IF(AND(C41="Skema 1",B41="to"),Skemaoplysninger!$K$47,"")</f>
        <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4"/>
        <v/>
      </c>
      <c r="DL41" t="str">
        <f t="shared" si="14"/>
        <v/>
      </c>
      <c r="DM41" t="str">
        <f t="shared" si="14"/>
        <v/>
      </c>
      <c r="DN41" t="str">
        <f t="shared" si="35"/>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5"/>
        <v>0</v>
      </c>
      <c r="FZ41" s="634">
        <f t="shared" si="16"/>
        <v>0</v>
      </c>
      <c r="GA41">
        <f t="shared" si="17"/>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8"/>
        <v>0</v>
      </c>
      <c r="GL41">
        <f t="shared" si="19"/>
        <v>0</v>
      </c>
      <c r="GM41">
        <f t="shared" si="20"/>
        <v>0</v>
      </c>
      <c r="GN41" s="713">
        <f t="shared" si="21"/>
        <v>0</v>
      </c>
      <c r="GO41">
        <f t="shared" si="37"/>
        <v>0</v>
      </c>
      <c r="GP41" s="647">
        <f t="shared" si="38"/>
        <v>0</v>
      </c>
    </row>
    <row r="42" spans="1:198" ht="16" customHeight="1">
      <c r="A42" s="239">
        <f>IF(ISNUMBER(A41),A41+1,1)</f>
        <v>29</v>
      </c>
      <c r="B42" s="125" t="str">
        <f t="shared" si="0"/>
        <v>sø</v>
      </c>
      <c r="C42" s="126" t="s">
        <v>118</v>
      </c>
      <c r="D42" s="127" t="str">
        <f t="shared" si="1"/>
        <v/>
      </c>
      <c r="E42" s="1123"/>
      <c r="F42" s="1124"/>
      <c r="G42" s="1125"/>
      <c r="H42" s="292"/>
      <c r="I42" s="746" t="str">
        <f>IF(GO42=1,"X","")</f>
        <v/>
      </c>
      <c r="J42" s="746" t="str">
        <f t="shared" si="2"/>
        <v/>
      </c>
      <c r="K42" s="368"/>
      <c r="L42" s="368"/>
      <c r="M42" s="368"/>
      <c r="N42" s="311">
        <f t="shared" si="23"/>
        <v>0</v>
      </c>
      <c r="O42" s="311">
        <f t="shared" si="24"/>
        <v>0</v>
      </c>
      <c r="P42" s="311">
        <f>IF(Stamoplysninger!$H$34="JA",November!DG42,CX42)</f>
        <v>0</v>
      </c>
      <c r="Q42" s="311">
        <f t="shared" si="25"/>
        <v>0</v>
      </c>
      <c r="R42" s="751"/>
      <c r="S42" s="315"/>
      <c r="T42" s="316"/>
      <c r="U42" s="316"/>
      <c r="V42" s="422"/>
      <c r="W42" s="422"/>
      <c r="X42" s="621"/>
      <c r="Y42">
        <f t="shared" si="26"/>
        <v>0</v>
      </c>
      <c r="Z42" s="424">
        <f t="shared" si="27"/>
        <v>0</v>
      </c>
      <c r="AA42" s="1">
        <f t="shared" si="3"/>
        <v>0</v>
      </c>
      <c r="AB42" s="1">
        <f t="shared" si="4"/>
        <v>0</v>
      </c>
      <c r="AC42" s="1">
        <f t="shared" si="5"/>
        <v>0</v>
      </c>
      <c r="AD42" s="1">
        <f t="shared" si="6"/>
        <v>0</v>
      </c>
      <c r="AE42" s="1">
        <f t="shared" si="7"/>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0</v>
      </c>
      <c r="BB42" s="224">
        <f t="shared" si="8"/>
        <v>0</v>
      </c>
      <c r="BC42" s="1">
        <f t="shared" si="29"/>
        <v>0</v>
      </c>
      <c r="BD42" s="1">
        <f t="shared" si="9"/>
        <v>0</v>
      </c>
      <c r="BE42" s="1">
        <f t="shared" si="10"/>
        <v>0</v>
      </c>
      <c r="BF42" s="1">
        <f t="shared" si="11"/>
        <v>0</v>
      </c>
      <c r="BG42" s="207" t="str">
        <f>IF(AND(C42="Skema 1",B42="ma"),Skemaoplysninger!$E$46,"")</f>
        <v/>
      </c>
      <c r="BH42" s="207" t="str">
        <f>IF(AND(C42="Skema 1",B42="ti"),Skemaoplysninger!$G$46,"")</f>
        <v/>
      </c>
      <c r="BI42" s="207" t="str">
        <f>IF(AND(C42="Skema 1",B42="on"),Skemaoplysninger!$I$46,"")</f>
        <v/>
      </c>
      <c r="BJ42" s="207" t="str">
        <f>IF(AND(C42="Skema 1",B42="to"),Skemaoplysninger!$K$46,"")</f>
        <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 t="shared" si="30"/>
        <v>0</v>
      </c>
      <c r="CB42" s="1">
        <f t="shared" si="12"/>
        <v>0</v>
      </c>
      <c r="CC42" s="1">
        <f t="shared" si="13"/>
        <v>0</v>
      </c>
      <c r="CD42" s="207" t="str">
        <f>IF(AND(C42="Skema 1",B42="ma"),Skemaoplysninger!$E$47,"")</f>
        <v/>
      </c>
      <c r="CE42" s="207" t="str">
        <f>IF(AND(C42="Skema 1",B42="ti"),Skemaoplysninger!$G$47,"")</f>
        <v/>
      </c>
      <c r="CF42" s="207" t="str">
        <f>IF(AND(C42="Skema 1",B42="on"),Skemaoplysninger!$I$47,"")</f>
        <v/>
      </c>
      <c r="CG42" s="207" t="str">
        <f>IF(AND(C42="Skema 1",B42="to"),Skemaoplysninger!$K$47,"")</f>
        <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f t="shared" si="33"/>
        <v>0</v>
      </c>
      <c r="DJ42">
        <f t="shared" si="34"/>
        <v>0</v>
      </c>
      <c r="DK42" t="str">
        <f t="shared" si="14"/>
        <v/>
      </c>
      <c r="DL42" t="str">
        <f t="shared" si="14"/>
        <v/>
      </c>
      <c r="DM42" t="str">
        <f t="shared" si="14"/>
        <v/>
      </c>
      <c r="DN42" t="str">
        <f t="shared" si="35"/>
        <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5"/>
        <v>0</v>
      </c>
      <c r="FZ42" s="634">
        <f t="shared" si="16"/>
        <v>0</v>
      </c>
      <c r="GA42">
        <f t="shared" si="17"/>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8"/>
        <v>0</v>
      </c>
      <c r="GL42">
        <f t="shared" si="19"/>
        <v>0</v>
      </c>
      <c r="GM42">
        <f t="shared" si="20"/>
        <v>0</v>
      </c>
      <c r="GN42" s="713">
        <f t="shared" si="21"/>
        <v>0</v>
      </c>
      <c r="GO42">
        <f t="shared" si="37"/>
        <v>0</v>
      </c>
      <c r="GP42" s="647">
        <f t="shared" si="38"/>
        <v>0</v>
      </c>
    </row>
    <row r="43" spans="1:198" ht="16" customHeight="1" thickBot="1">
      <c r="A43" s="239">
        <f t="shared" si="22"/>
        <v>30</v>
      </c>
      <c r="B43" s="125" t="str">
        <f t="shared" si="0"/>
        <v>ma</v>
      </c>
      <c r="C43" s="126" t="s">
        <v>203</v>
      </c>
      <c r="D43" s="127">
        <f t="shared" si="1"/>
        <v>48.571428571428569</v>
      </c>
      <c r="E43" s="1123"/>
      <c r="F43" s="1124"/>
      <c r="G43" s="1125"/>
      <c r="H43" s="292"/>
      <c r="I43" s="745"/>
      <c r="J43" s="746" t="str">
        <f t="shared" si="2"/>
        <v/>
      </c>
      <c r="K43" s="368"/>
      <c r="L43" s="368"/>
      <c r="M43" s="368"/>
      <c r="N43" s="311">
        <f t="shared" si="23"/>
        <v>8.11</v>
      </c>
      <c r="O43" s="311">
        <f t="shared" si="24"/>
        <v>4.5</v>
      </c>
      <c r="P43" s="311">
        <f>IF(Stamoplysninger!$H$34="JA",November!DG43,CX43)</f>
        <v>1.9166666666666665</v>
      </c>
      <c r="Q43" s="311">
        <f t="shared" si="25"/>
        <v>1.6933333333333329</v>
      </c>
      <c r="R43" s="751"/>
      <c r="S43" s="315"/>
      <c r="T43" s="316"/>
      <c r="U43" s="316"/>
      <c r="V43" s="422"/>
      <c r="W43" s="422"/>
      <c r="X43" s="621"/>
      <c r="Y43">
        <f t="shared" si="26"/>
        <v>0</v>
      </c>
      <c r="Z43" s="424">
        <f t="shared" si="27"/>
        <v>0</v>
      </c>
      <c r="AA43" s="1">
        <f t="shared" si="3"/>
        <v>0</v>
      </c>
      <c r="AB43" s="1">
        <f t="shared" si="4"/>
        <v>0</v>
      </c>
      <c r="AC43" s="1">
        <f t="shared" si="5"/>
        <v>0</v>
      </c>
      <c r="AD43" s="1">
        <f t="shared" si="6"/>
        <v>0</v>
      </c>
      <c r="AE43" s="1">
        <f t="shared" si="7"/>
        <v>0</v>
      </c>
      <c r="AF43" s="1">
        <f>IF(C43="Orlov",7.4*Stamoplysninger!$E$20,0)</f>
        <v>0</v>
      </c>
      <c r="AG43">
        <f>IF(AND(C43="Skema 1",B43="ma"),Arbejdstidsoversigt!$E$77,"")</f>
        <v>8.11</v>
      </c>
      <c r="AH43" t="str">
        <f>IF(AND(C43="Skema 1",B43="ti"),Arbejdstidsoversigt!$E$78,"")</f>
        <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8.11</v>
      </c>
      <c r="BB43" s="224">
        <f t="shared" si="8"/>
        <v>194.64</v>
      </c>
      <c r="BC43" s="1">
        <f t="shared" si="29"/>
        <v>0</v>
      </c>
      <c r="BD43" s="1">
        <f t="shared" si="9"/>
        <v>0</v>
      </c>
      <c r="BE43" s="1">
        <f t="shared" si="10"/>
        <v>0</v>
      </c>
      <c r="BF43" s="1">
        <f t="shared" si="11"/>
        <v>0</v>
      </c>
      <c r="BG43" s="207">
        <f>IF(AND(C43="Skema 1",B43="ma"),Skemaoplysninger!$E$46,"")</f>
        <v>0.1875</v>
      </c>
      <c r="BH43" s="207" t="str">
        <f>IF(AND(C43="Skema 1",B43="ti"),Skemaoplysninger!$G$46,"")</f>
        <v/>
      </c>
      <c r="BI43" s="207" t="str">
        <f>IF(AND(C43="Skema 1",B43="on"),Skemaoplysninger!$I$46,"")</f>
        <v/>
      </c>
      <c r="BJ43" s="207" t="str">
        <f>IF(AND(C43="Skema 1",B43="to"),Skemaoplysninger!$K$46,"")</f>
        <v/>
      </c>
      <c r="BK43" s="207" t="str">
        <f>IF(AND(C43="Skema 1",B43="fr"),Skemaoplysninger!$M$46,"")</f>
        <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 t="shared" si="30"/>
        <v>4.5</v>
      </c>
      <c r="CB43" s="1">
        <f t="shared" si="12"/>
        <v>0</v>
      </c>
      <c r="CC43" s="1">
        <f t="shared" si="13"/>
        <v>0</v>
      </c>
      <c r="CD43" s="207">
        <f>IF(AND(C43="Skema 1",B43="ma"),Skemaoplysninger!$E$47,"")</f>
        <v>7.9861111111111105E-2</v>
      </c>
      <c r="CE43" s="207" t="str">
        <f>IF(AND(C43="Skema 1",B43="ti"),Skemaoplysninger!$G$47,"")</f>
        <v/>
      </c>
      <c r="CF43" s="207" t="str">
        <f>IF(AND(C43="Skema 1",B43="on"),Skemaoplysninger!$I$47,"")</f>
        <v/>
      </c>
      <c r="CG43" s="207" t="str">
        <f>IF(AND(C43="Skema 1",B43="to"),Skemaoplysninger!$K$47,"")</f>
        <v/>
      </c>
      <c r="CH43" s="207" t="str">
        <f>IF(AND(C43="Skema 1",B43="fr"),Skemaoplysninger!$M$47,"")</f>
        <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1.9166666666666665</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f t="shared" si="33"/>
        <v>0</v>
      </c>
      <c r="DJ43">
        <f t="shared" si="34"/>
        <v>0</v>
      </c>
      <c r="DK43" t="str">
        <f t="shared" si="14"/>
        <v/>
      </c>
      <c r="DL43" t="str">
        <f t="shared" si="14"/>
        <v/>
      </c>
      <c r="DM43" t="str">
        <f t="shared" si="14"/>
        <v/>
      </c>
      <c r="DN43" t="str">
        <f t="shared" si="35"/>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5"/>
        <v>0</v>
      </c>
      <c r="FZ43" s="634">
        <f t="shared" si="16"/>
        <v>0</v>
      </c>
      <c r="GA43">
        <f t="shared" si="17"/>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8"/>
        <v>0</v>
      </c>
      <c r="GL43">
        <f t="shared" si="19"/>
        <v>0</v>
      </c>
      <c r="GM43">
        <f t="shared" si="20"/>
        <v>0</v>
      </c>
      <c r="GN43" s="713">
        <f t="shared" si="21"/>
        <v>0</v>
      </c>
      <c r="GO43">
        <f t="shared" si="37"/>
        <v>0</v>
      </c>
      <c r="GP43" s="647">
        <f t="shared" si="38"/>
        <v>0</v>
      </c>
    </row>
    <row r="44" spans="1:198" ht="17" thickBot="1">
      <c r="A44" s="1100" t="s">
        <v>257</v>
      </c>
      <c r="B44" s="1101"/>
      <c r="C44" s="1101"/>
      <c r="D44" s="1101"/>
      <c r="E44" s="1101"/>
      <c r="F44" s="1101"/>
      <c r="G44" s="1101"/>
      <c r="H44" s="1101"/>
      <c r="I44" s="1102"/>
      <c r="J44" s="306"/>
      <c r="K44" s="369"/>
      <c r="L44" s="369"/>
      <c r="M44" s="369"/>
      <c r="N44" s="314">
        <f>SUM(N14:N43)</f>
        <v>167.71999999999997</v>
      </c>
      <c r="O44" s="314">
        <f>SUM(O14:O43)</f>
        <v>80.75</v>
      </c>
      <c r="P44" s="314">
        <f>SUM(P14:P43)</f>
        <v>29.333333333333336</v>
      </c>
      <c r="Q44" s="314">
        <f>SUM(Q14:Q43)</f>
        <v>57.63666666666667</v>
      </c>
      <c r="R44" s="752">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f>
        <v>0</v>
      </c>
      <c r="S44" s="419"/>
      <c r="T44" s="420"/>
      <c r="U44" s="420"/>
      <c r="V44"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f>
        <v>0</v>
      </c>
      <c r="W44" s="420">
        <f>IF(T13="x",W13,0)+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f>
        <v>0</v>
      </c>
      <c r="X44" s="421">
        <f>IF(U13="x",X13,0)+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f>
        <v>0</v>
      </c>
      <c r="Y44" s="208">
        <f>SUM(Y14:Y43)</f>
        <v>0</v>
      </c>
      <c r="Z44" s="386">
        <f>Z14+Z15+Z16+Z17+Z18+Z19+Z20+Z21+Z22+Z23+Z24+Z25+Z26+Z27+Z28+Z29+Z30+Z31+Z32+Z33+Z34+Z35+Z36+Z37+Z38+Z39+Z40+Z41+Z42+Z43</f>
        <v>0</v>
      </c>
      <c r="AA44" s="229">
        <f t="shared" ref="AA44:AF44" si="39">SUM(AA14:AA43)</f>
        <v>0</v>
      </c>
      <c r="AB44" s="229">
        <f t="shared" si="39"/>
        <v>6</v>
      </c>
      <c r="AC44" s="229">
        <f t="shared" si="39"/>
        <v>0</v>
      </c>
      <c r="AD44" s="229">
        <f t="shared" si="39"/>
        <v>0</v>
      </c>
      <c r="AE44" s="229">
        <f t="shared" si="39"/>
        <v>0</v>
      </c>
      <c r="AF44" s="229">
        <f t="shared" si="39"/>
        <v>0</v>
      </c>
      <c r="BA44" s="1">
        <f>SUM(BA14:BA43)</f>
        <v>167.71999999999997</v>
      </c>
      <c r="BB44" s="109"/>
      <c r="BC44" s="229">
        <f>SUM(BC14:BC43)</f>
        <v>0</v>
      </c>
      <c r="BD44" s="229">
        <f>SUM(BD14:BD43)</f>
        <v>0</v>
      </c>
      <c r="BE44" s="229">
        <f>SUM(BE14:BE43)</f>
        <v>3.75</v>
      </c>
      <c r="BF44" s="229">
        <f>SUM(BF14:BF43)</f>
        <v>0</v>
      </c>
      <c r="CA44" s="229">
        <f>SUM(CA14:CA43)</f>
        <v>80.75</v>
      </c>
      <c r="CB44" s="229">
        <f>SUM(CB14:CB43)</f>
        <v>1</v>
      </c>
      <c r="CC44" s="229">
        <f>SUM(CC14:CC43)</f>
        <v>0</v>
      </c>
      <c r="CX44" s="243"/>
      <c r="CY44" s="243">
        <f t="shared" ref="CY44:DG44" si="40">SUM(CY14:CY43)</f>
        <v>0</v>
      </c>
      <c r="CZ44" s="243">
        <f t="shared" si="40"/>
        <v>0</v>
      </c>
      <c r="DA44" s="243">
        <f t="shared" si="40"/>
        <v>0</v>
      </c>
      <c r="DB44" s="243">
        <f t="shared" si="40"/>
        <v>0</v>
      </c>
      <c r="DC44" s="243">
        <f t="shared" si="40"/>
        <v>0</v>
      </c>
      <c r="DD44" s="243">
        <f t="shared" si="40"/>
        <v>0</v>
      </c>
      <c r="DE44" s="243">
        <f t="shared" si="40"/>
        <v>0</v>
      </c>
      <c r="DF44" s="243">
        <f t="shared" si="40"/>
        <v>0</v>
      </c>
      <c r="DG44" s="243">
        <f t="shared" si="40"/>
        <v>0</v>
      </c>
      <c r="DH44" t="str">
        <f t="shared" si="32"/>
        <v/>
      </c>
      <c r="DK44" t="str">
        <f t="shared" si="14"/>
        <v/>
      </c>
      <c r="DL44" t="str">
        <f t="shared" si="14"/>
        <v/>
      </c>
      <c r="DM44" t="str">
        <f t="shared" si="14"/>
        <v/>
      </c>
      <c r="DN44" t="str">
        <f t="shared" si="35"/>
        <v/>
      </c>
      <c r="DO44" s="645">
        <f t="shared" ref="DO44:ET44" si="41">SUM(DO14:DO43)</f>
        <v>0</v>
      </c>
      <c r="DP44" s="646">
        <f t="shared" si="41"/>
        <v>0</v>
      </c>
      <c r="DQ44" s="646">
        <f t="shared" si="41"/>
        <v>0</v>
      </c>
      <c r="DR44" s="646">
        <f t="shared" si="41"/>
        <v>0</v>
      </c>
      <c r="DS44" s="649">
        <f t="shared" si="41"/>
        <v>0</v>
      </c>
      <c r="DT44" s="649">
        <f t="shared" si="41"/>
        <v>0</v>
      </c>
      <c r="DU44" s="646">
        <f t="shared" si="41"/>
        <v>0</v>
      </c>
      <c r="DV44" s="649">
        <f t="shared" si="41"/>
        <v>0</v>
      </c>
      <c r="DW44" s="646">
        <f t="shared" si="41"/>
        <v>0</v>
      </c>
      <c r="DX44" s="646">
        <f t="shared" si="41"/>
        <v>0</v>
      </c>
      <c r="DY44" s="646">
        <f t="shared" si="41"/>
        <v>0</v>
      </c>
      <c r="DZ44" s="646">
        <f t="shared" si="41"/>
        <v>0</v>
      </c>
      <c r="EA44" s="649">
        <f t="shared" si="41"/>
        <v>0</v>
      </c>
      <c r="EB44" s="649">
        <f t="shared" si="41"/>
        <v>0</v>
      </c>
      <c r="EC44" s="649">
        <f t="shared" si="41"/>
        <v>0</v>
      </c>
      <c r="ED44" s="649">
        <f t="shared" si="41"/>
        <v>0</v>
      </c>
      <c r="EE44" s="646">
        <f t="shared" si="41"/>
        <v>0</v>
      </c>
      <c r="EF44" s="646">
        <f t="shared" si="41"/>
        <v>0</v>
      </c>
      <c r="EG44" s="649">
        <f t="shared" si="41"/>
        <v>0</v>
      </c>
      <c r="EH44" s="649">
        <f t="shared" si="41"/>
        <v>0</v>
      </c>
      <c r="EI44" s="646">
        <f t="shared" si="41"/>
        <v>0</v>
      </c>
      <c r="EJ44" s="646">
        <f t="shared" si="41"/>
        <v>0</v>
      </c>
      <c r="EK44" s="649">
        <f t="shared" si="41"/>
        <v>0</v>
      </c>
      <c r="EL44" s="649">
        <f t="shared" si="41"/>
        <v>0</v>
      </c>
      <c r="EM44" s="646">
        <f t="shared" si="41"/>
        <v>0</v>
      </c>
      <c r="EN44" s="646">
        <f t="shared" si="41"/>
        <v>0</v>
      </c>
      <c r="EO44" s="649">
        <f t="shared" si="41"/>
        <v>0</v>
      </c>
      <c r="EP44" s="652">
        <f t="shared" si="41"/>
        <v>0</v>
      </c>
      <c r="EQ44" s="646">
        <f t="shared" si="41"/>
        <v>0</v>
      </c>
      <c r="ER44" s="646">
        <f t="shared" si="41"/>
        <v>0</v>
      </c>
      <c r="ES44" s="649">
        <f t="shared" si="41"/>
        <v>0</v>
      </c>
      <c r="ET44" s="652">
        <f t="shared" si="41"/>
        <v>0</v>
      </c>
      <c r="EU44" s="646">
        <f t="shared" ref="EU44:FZ44" si="42">SUM(EU14:EU43)</f>
        <v>0</v>
      </c>
      <c r="EV44" s="646">
        <f t="shared" si="42"/>
        <v>0</v>
      </c>
      <c r="EW44" s="649">
        <f t="shared" si="42"/>
        <v>0</v>
      </c>
      <c r="EX44" s="652">
        <f t="shared" si="42"/>
        <v>0</v>
      </c>
      <c r="EY44" s="646">
        <f t="shared" si="42"/>
        <v>0</v>
      </c>
      <c r="EZ44" s="646">
        <f t="shared" si="42"/>
        <v>0</v>
      </c>
      <c r="FA44" s="649">
        <f t="shared" si="42"/>
        <v>0</v>
      </c>
      <c r="FB44" s="652">
        <f t="shared" si="42"/>
        <v>0</v>
      </c>
      <c r="FC44" s="646">
        <f t="shared" si="42"/>
        <v>0</v>
      </c>
      <c r="FD44" s="646">
        <f t="shared" si="42"/>
        <v>0</v>
      </c>
      <c r="FE44" s="649">
        <f t="shared" si="42"/>
        <v>0</v>
      </c>
      <c r="FF44" s="652">
        <f t="shared" si="42"/>
        <v>0</v>
      </c>
      <c r="FG44" s="646">
        <f t="shared" si="42"/>
        <v>0</v>
      </c>
      <c r="FH44" s="646">
        <f t="shared" si="42"/>
        <v>0</v>
      </c>
      <c r="FI44" s="649">
        <f t="shared" si="42"/>
        <v>0</v>
      </c>
      <c r="FJ44" s="652">
        <f t="shared" si="42"/>
        <v>0</v>
      </c>
      <c r="FK44" s="661">
        <f t="shared" si="42"/>
        <v>0</v>
      </c>
      <c r="FL44" s="646">
        <f t="shared" si="42"/>
        <v>0</v>
      </c>
      <c r="FM44" s="661">
        <f t="shared" si="42"/>
        <v>0</v>
      </c>
      <c r="FN44" s="649">
        <f t="shared" si="42"/>
        <v>0</v>
      </c>
      <c r="FO44" s="661">
        <f t="shared" si="42"/>
        <v>0</v>
      </c>
      <c r="FP44" s="646">
        <f t="shared" si="42"/>
        <v>0</v>
      </c>
      <c r="FQ44" s="661">
        <f t="shared" si="42"/>
        <v>0</v>
      </c>
      <c r="FR44" s="649">
        <f t="shared" si="42"/>
        <v>0</v>
      </c>
      <c r="FS44" s="661">
        <f t="shared" si="42"/>
        <v>0</v>
      </c>
      <c r="FT44" s="661">
        <f t="shared" si="42"/>
        <v>0</v>
      </c>
      <c r="FU44" s="661">
        <f t="shared" si="42"/>
        <v>0</v>
      </c>
      <c r="FV44" s="646">
        <f t="shared" si="42"/>
        <v>0</v>
      </c>
      <c r="FW44" s="661">
        <f t="shared" si="42"/>
        <v>0</v>
      </c>
      <c r="FX44" s="652">
        <f t="shared" si="42"/>
        <v>0</v>
      </c>
      <c r="FY44" s="665">
        <f t="shared" si="42"/>
        <v>0</v>
      </c>
      <c r="FZ44" s="666">
        <f t="shared" si="42"/>
        <v>0</v>
      </c>
      <c r="GA44" s="666">
        <f t="shared" ref="GA44:GI44" si="43">SUM(GA14:GA43)</f>
        <v>0</v>
      </c>
      <c r="GB44" s="665">
        <f t="shared" si="43"/>
        <v>0</v>
      </c>
      <c r="GC44" s="666">
        <f t="shared" si="43"/>
        <v>0</v>
      </c>
      <c r="GD44" s="665">
        <f t="shared" si="43"/>
        <v>0</v>
      </c>
      <c r="GE44" s="666">
        <f t="shared" si="43"/>
        <v>0</v>
      </c>
      <c r="GF44" s="661">
        <f t="shared" si="43"/>
        <v>0</v>
      </c>
      <c r="GG44" s="661">
        <f t="shared" si="43"/>
        <v>0</v>
      </c>
      <c r="GH44" s="661">
        <f t="shared" si="43"/>
        <v>0</v>
      </c>
      <c r="GI44" s="661">
        <f t="shared" si="43"/>
        <v>0</v>
      </c>
      <c r="GP44" s="647">
        <f>SUM(GP14:GP43)</f>
        <v>0</v>
      </c>
    </row>
    <row r="45" spans="1:198" ht="17" thickBot="1">
      <c r="A45" s="227"/>
      <c r="B45" s="227"/>
      <c r="C45" s="227"/>
      <c r="D45" s="227"/>
      <c r="E45" s="227"/>
      <c r="F45" s="227"/>
      <c r="G45" s="227"/>
      <c r="H45" s="227"/>
      <c r="I45" s="227"/>
      <c r="J45" s="227"/>
      <c r="K45" s="233"/>
      <c r="L45" s="233"/>
      <c r="M45" s="233"/>
      <c r="N45" s="233"/>
      <c r="O45" s="233"/>
      <c r="P45" s="233"/>
      <c r="Q45" s="233"/>
      <c r="R45" s="233"/>
      <c r="S45" s="233"/>
      <c r="T45" s="233"/>
      <c r="U45" s="233"/>
      <c r="V45" s="233"/>
      <c r="W45" s="233"/>
      <c r="X45" s="233"/>
      <c r="Y45" s="241"/>
      <c r="Z45" s="208"/>
      <c r="AA45" s="229"/>
      <c r="AB45" s="208"/>
      <c r="AC45" s="208"/>
      <c r="AD45" s="229"/>
      <c r="AE45" s="229"/>
      <c r="AF45" s="229"/>
      <c r="AG45" s="229"/>
      <c r="BC45" s="229"/>
      <c r="BD45" s="229"/>
      <c r="BE45" s="229"/>
      <c r="BF45" s="229"/>
      <c r="BG45" s="109"/>
      <c r="CB45" s="229"/>
      <c r="CC45" s="229"/>
      <c r="CD45" s="109"/>
      <c r="CX45" s="242"/>
      <c r="CZ45"/>
      <c r="DO45" s="728"/>
      <c r="DP45" s="728"/>
      <c r="DQ45" s="728"/>
      <c r="DR45" s="728"/>
      <c r="DS45" s="728"/>
      <c r="DT45" s="728"/>
      <c r="DU45" s="728"/>
      <c r="DV45" s="728"/>
      <c r="DW45" s="729"/>
      <c r="DX45" s="729"/>
      <c r="DY45" s="729"/>
      <c r="DZ45" s="729"/>
      <c r="EA45" s="729"/>
      <c r="EB45" s="729"/>
      <c r="EC45" s="729"/>
      <c r="ED45" s="729"/>
      <c r="EE45" s="732"/>
      <c r="EF45" s="732"/>
      <c r="EG45" s="732"/>
      <c r="EH45" s="732"/>
      <c r="EI45" s="732"/>
      <c r="EJ45" s="732"/>
      <c r="EM45" s="734"/>
      <c r="EN45" s="734"/>
      <c r="EO45" s="734"/>
      <c r="EP45" s="734"/>
      <c r="EQ45" s="734"/>
      <c r="ER45" s="734"/>
      <c r="EU45" s="736"/>
      <c r="EV45" s="736"/>
      <c r="EW45" s="736"/>
      <c r="EX45" s="736"/>
      <c r="EY45" s="738"/>
      <c r="EZ45" s="738"/>
      <c r="FA45" s="738"/>
      <c r="FB45" s="738"/>
      <c r="FC45" s="740"/>
      <c r="FD45" s="740"/>
      <c r="FE45" s="740"/>
      <c r="FF45" s="740"/>
      <c r="FG45" s="742"/>
      <c r="FH45" s="742"/>
      <c r="FI45" s="742"/>
      <c r="FJ45" s="742"/>
      <c r="FK45" s="726"/>
      <c r="FM45" s="744"/>
      <c r="FO45" s="726"/>
      <c r="FS45" s="726"/>
      <c r="FT45" s="744"/>
      <c r="FU45" s="726"/>
      <c r="FW45" s="744"/>
      <c r="GA45" s="744"/>
      <c r="GB45" s="726"/>
      <c r="GC45" s="744"/>
      <c r="GD45" s="726"/>
      <c r="GE45" s="744"/>
      <c r="GF45" s="726"/>
      <c r="GG45" s="744"/>
      <c r="GH45" s="726"/>
      <c r="GI45" s="744"/>
      <c r="GP45" s="743" t="s">
        <v>663</v>
      </c>
    </row>
    <row r="46" spans="1:198" ht="70" customHeight="1">
      <c r="A46" s="1086" t="str">
        <f>"Arbejdstid for "&amp;A12&amp;" måned:"</f>
        <v>Arbejdstid for November måned:</v>
      </c>
      <c r="B46" s="1087"/>
      <c r="C46" s="1087"/>
      <c r="D46" s="1087"/>
      <c r="E46" s="1087"/>
      <c r="F46" s="1087"/>
      <c r="G46" s="1087"/>
      <c r="H46" s="321" t="s">
        <v>252</v>
      </c>
      <c r="I46" s="1087" t="s">
        <v>218</v>
      </c>
      <c r="J46" s="1088"/>
      <c r="K46" s="1089"/>
      <c r="L46" s="256"/>
      <c r="M46" s="1134" t="str">
        <f>"Ulempetimer og weekendtimer i "&amp;A10&amp;""</f>
        <v>Ulempetimer og weekendtimer i November måneds kalender for: Beate Simonsen. Måneden vedr. normperioden:  - .</v>
      </c>
      <c r="N46" s="1117"/>
      <c r="O46" s="1117"/>
      <c r="P46" s="1117"/>
      <c r="Q46" s="1117"/>
      <c r="R46" s="1117"/>
      <c r="S46" s="1117"/>
      <c r="T46" s="1117"/>
      <c r="U46" s="1117"/>
      <c r="V46" s="1117"/>
      <c r="W46" s="1117"/>
      <c r="X46" s="1118"/>
      <c r="Y46" s="233"/>
      <c r="Z46" s="233"/>
      <c r="AD46" s="87"/>
      <c r="AE46" s="87"/>
      <c r="BM46" s="1"/>
      <c r="CJ46" s="1"/>
      <c r="CU46" s="242"/>
      <c r="CV46" s="242"/>
      <c r="CY46"/>
      <c r="CZ46"/>
    </row>
    <row r="47" spans="1:198">
      <c r="A47" s="1090" t="str">
        <f>August!A49</f>
        <v>Arbejdstid eks. lørdage og søndage</v>
      </c>
      <c r="B47" s="1091"/>
      <c r="C47" s="1091"/>
      <c r="D47" s="1091"/>
      <c r="E47" s="1091"/>
      <c r="F47" s="1091"/>
      <c r="G47" s="1091"/>
      <c r="H47" s="250">
        <f>D82</f>
        <v>21</v>
      </c>
      <c r="I47" s="1103">
        <f>IF(Stamoplysninger!$E$17="Ja",1924/Arbejdstidsoversigt!$K$14*Stamoplysninger!$E$20*$H$47,H47*7.4*Stamoplysninger!$E$20)</f>
        <v>155.4</v>
      </c>
      <c r="J47" s="1104"/>
      <c r="K47" s="1105"/>
      <c r="L47" s="252"/>
      <c r="M47" s="1135" t="s">
        <v>480</v>
      </c>
      <c r="N47" s="1136"/>
      <c r="O47" s="1136"/>
      <c r="P47" s="1136"/>
      <c r="Q47" s="1136"/>
      <c r="R47" s="1136"/>
      <c r="S47" s="1136"/>
      <c r="T47" s="1136"/>
      <c r="U47" s="1137"/>
      <c r="V47" s="1138">
        <f>P69+P73+P76+P78</f>
        <v>0</v>
      </c>
      <c r="W47" s="1139"/>
      <c r="X47" s="1140"/>
      <c r="Y47" s="233"/>
      <c r="Z47" s="233"/>
      <c r="AD47" s="87"/>
      <c r="AE47" s="87"/>
      <c r="BM47" s="1"/>
      <c r="CJ47" s="1"/>
      <c r="CU47" s="242"/>
      <c r="CV47" s="242"/>
      <c r="CY47"/>
      <c r="CZ47"/>
    </row>
    <row r="48" spans="1:198">
      <c r="A48" s="1090" t="str">
        <f>"Ferie "&amp;A12&amp;" måned"</f>
        <v>Ferie November måned</v>
      </c>
      <c r="B48" s="1091"/>
      <c r="C48" s="1091"/>
      <c r="D48" s="1091"/>
      <c r="E48" s="1091"/>
      <c r="F48" s="1091"/>
      <c r="G48" s="1091"/>
      <c r="H48" s="251" t="str">
        <f>IF(D77&gt;0,$D$77,"0")</f>
        <v>0</v>
      </c>
      <c r="I48" s="1093">
        <f>H48*7.4*Stamoplysninger!$E$20</f>
        <v>0</v>
      </c>
      <c r="J48" s="1284"/>
      <c r="K48" s="1285"/>
      <c r="L48" s="252"/>
      <c r="M48" s="1233" t="s">
        <v>256</v>
      </c>
      <c r="N48" s="1234"/>
      <c r="O48" s="1234"/>
      <c r="P48" s="1234"/>
      <c r="Q48" s="1234"/>
      <c r="R48" s="1234"/>
      <c r="S48" s="1234"/>
      <c r="T48" s="1234"/>
      <c r="U48" s="1234"/>
      <c r="V48" s="1144">
        <f>Q70+Q72+Q75+Q77</f>
        <v>0</v>
      </c>
      <c r="W48" s="1145"/>
      <c r="X48" s="1146"/>
      <c r="Y48" s="233"/>
      <c r="Z48" s="233"/>
      <c r="AD48" s="87"/>
      <c r="AE48" s="87"/>
      <c r="BM48" s="1"/>
      <c r="CJ48" s="1"/>
      <c r="CU48" s="242"/>
      <c r="CV48" s="242"/>
      <c r="CY48"/>
      <c r="CZ48"/>
    </row>
    <row r="49" spans="1:110">
      <c r="A49" s="1090" t="str">
        <f>"Søgnehelligdage i "&amp;A12&amp;" måned"</f>
        <v>Søgnehelligdage i November måned</v>
      </c>
      <c r="B49" s="1091"/>
      <c r="C49" s="1091"/>
      <c r="D49" s="1091"/>
      <c r="E49" s="1091"/>
      <c r="F49" s="1091"/>
      <c r="G49" s="1091"/>
      <c r="H49" s="251">
        <f>IF(D76&gt;0,D76,0)</f>
        <v>0</v>
      </c>
      <c r="I49" s="1092">
        <f>H49*7.4*Stamoplysninger!$E$20</f>
        <v>0</v>
      </c>
      <c r="J49" s="1093"/>
      <c r="K49" s="1094"/>
      <c r="L49" s="380"/>
      <c r="M49" s="1147" t="s">
        <v>292</v>
      </c>
      <c r="N49" s="1148"/>
      <c r="O49" s="1148"/>
      <c r="P49" s="1148"/>
      <c r="Q49" s="1148"/>
      <c r="R49" s="1148"/>
      <c r="S49" s="1148"/>
      <c r="T49" s="1148"/>
      <c r="U49" s="1148"/>
      <c r="V49" s="1231">
        <f>Oktober!V58</f>
        <v>0</v>
      </c>
      <c r="W49" s="1231"/>
      <c r="X49" s="1232"/>
      <c r="Y49" s="233"/>
      <c r="Z49" s="233"/>
      <c r="AD49" s="87"/>
      <c r="AE49" s="87"/>
      <c r="BM49" s="1"/>
      <c r="CJ49" s="1"/>
      <c r="CU49" s="242"/>
      <c r="CV49" s="242"/>
      <c r="CY49"/>
      <c r="CZ49"/>
    </row>
    <row r="50" spans="1:110">
      <c r="A50" s="1090" t="str">
        <f>"Nettoarbejdstid ialt i "&amp;A12&amp;" måned"</f>
        <v>Nettoarbejdstid ialt i November måned</v>
      </c>
      <c r="B50" s="1091"/>
      <c r="C50" s="1091"/>
      <c r="D50" s="1091"/>
      <c r="E50" s="1091"/>
      <c r="F50" s="1091"/>
      <c r="G50" s="1091"/>
      <c r="H50" s="254">
        <f>H47-H48-H49</f>
        <v>21</v>
      </c>
      <c r="I50" s="1092">
        <f>I47-I48-I49</f>
        <v>155.4</v>
      </c>
      <c r="J50" s="1093"/>
      <c r="K50" s="1094"/>
      <c r="L50" s="380"/>
      <c r="M50" s="1261" t="s">
        <v>298</v>
      </c>
      <c r="N50" s="1262"/>
      <c r="O50" s="1262"/>
      <c r="P50" s="1262"/>
      <c r="Q50" s="1262"/>
      <c r="R50" s="1262"/>
      <c r="S50" s="1262"/>
      <c r="T50" s="1262"/>
      <c r="U50" s="1262"/>
      <c r="V50" s="1256">
        <f>V48+V49</f>
        <v>0</v>
      </c>
      <c r="W50" s="1256"/>
      <c r="X50" s="1257"/>
      <c r="Y50" s="233"/>
      <c r="Z50" s="233"/>
      <c r="AD50" s="87"/>
      <c r="AE50" s="87"/>
      <c r="BM50" s="1"/>
      <c r="CJ50" s="1"/>
      <c r="CU50" s="242"/>
      <c r="CV50" s="242"/>
      <c r="CY50"/>
      <c r="CZ50"/>
    </row>
    <row r="51" spans="1:110">
      <c r="A51" s="1106" t="str">
        <f>"Planlagt arbejdstid efter ovennstående "&amp;A12&amp;" måned kalender"</f>
        <v>Planlagt arbejdstid efter ovennstående November måned kalender</v>
      </c>
      <c r="B51" s="1107"/>
      <c r="C51" s="1107"/>
      <c r="D51" s="1107"/>
      <c r="E51" s="1107"/>
      <c r="F51" s="1107"/>
      <c r="G51" s="1107"/>
      <c r="H51" s="461">
        <f>D68+D69+D70+D71+D72+D73+D74</f>
        <v>21</v>
      </c>
      <c r="I51" s="1108">
        <f>N44+R44+V109</f>
        <v>167.71999999999997</v>
      </c>
      <c r="J51" s="1109"/>
      <c r="K51" s="1110"/>
      <c r="L51" s="380"/>
      <c r="M51" s="1258" t="s">
        <v>290</v>
      </c>
      <c r="N51" s="1259"/>
      <c r="O51" s="1259"/>
      <c r="P51" s="1259"/>
      <c r="Q51" s="1259"/>
      <c r="R51" s="1259"/>
      <c r="S51" s="1259"/>
      <c r="T51" s="1259"/>
      <c r="U51" s="1259"/>
      <c r="V51" s="1259"/>
      <c r="W51" s="1259"/>
      <c r="X51" s="1260"/>
      <c r="Y51" s="233"/>
      <c r="Z51" s="233"/>
      <c r="AD51" s="87"/>
      <c r="AE51" s="87"/>
      <c r="BM51" s="1"/>
      <c r="CJ51" s="1"/>
      <c r="CU51" s="242"/>
      <c r="CV51" s="242"/>
      <c r="CY51"/>
      <c r="CZ51"/>
    </row>
    <row r="52" spans="1:110">
      <c r="A52" s="1114" t="str">
        <f>August!A54</f>
        <v>Heraf planlagte weekendtimer til afspadsering, udb. eller indgået lokalaftale - Ovf. til afsp/udb.(box til højre) eller jv. lokalaftale</v>
      </c>
      <c r="B52" s="1115"/>
      <c r="C52" s="1115"/>
      <c r="D52" s="1115"/>
      <c r="E52" s="1115"/>
      <c r="F52" s="1115"/>
      <c r="G52" s="1115"/>
      <c r="H52" s="1116"/>
      <c r="I52" s="1111">
        <f>(FK44+FO44+FS44+FU44+GB44+GD44+GF44+GH44)*-1+FM44+FT44+FW44+GC44+GE44+GG44+GI44+GA44</f>
        <v>0</v>
      </c>
      <c r="J52" s="1112"/>
      <c r="K52" s="1113"/>
      <c r="L52" s="381"/>
      <c r="M52" s="1263" t="s">
        <v>450</v>
      </c>
      <c r="N52" s="1264"/>
      <c r="O52" s="1264"/>
      <c r="P52" s="1264"/>
      <c r="Q52" s="1264"/>
      <c r="R52" s="1264"/>
      <c r="S52" s="1264"/>
      <c r="T52" s="1264"/>
      <c r="U52" s="1264"/>
      <c r="V52" s="1250" t="s">
        <v>218</v>
      </c>
      <c r="W52" s="1250"/>
      <c r="X52" s="1251"/>
      <c r="Y52" s="233"/>
      <c r="Z52" s="233"/>
      <c r="AD52" s="87"/>
      <c r="AE52" s="87"/>
      <c r="BM52" s="1"/>
      <c r="CJ52" s="1"/>
      <c r="CU52" s="242"/>
      <c r="CV52" s="242"/>
      <c r="CY52"/>
      <c r="CZ52"/>
    </row>
    <row r="53" spans="1:110">
      <c r="A53" s="1128" t="str">
        <f>"Arbejde særligt planlagt for "&amp;A12&amp;" måned efter fanen skemaoplysninger"</f>
        <v>Arbejde særligt planlagt for November måned efter fanen skemaoplysninger</v>
      </c>
      <c r="B53" s="1129"/>
      <c r="C53" s="1129"/>
      <c r="D53" s="1129"/>
      <c r="E53" s="1129"/>
      <c r="F53" s="1129"/>
      <c r="G53" s="1129"/>
      <c r="H53" s="1130"/>
      <c r="I53" s="1109">
        <f>IF(I51&gt;0,Skemaoplysninger!N107,0)</f>
        <v>0</v>
      </c>
      <c r="J53" s="1126"/>
      <c r="K53" s="1127"/>
      <c r="L53" s="382"/>
      <c r="M53" s="1265"/>
      <c r="N53" s="1266"/>
      <c r="O53" s="1266"/>
      <c r="P53" s="1266"/>
      <c r="Q53" s="1266"/>
      <c r="R53" s="1266"/>
      <c r="S53" s="1266"/>
      <c r="T53" s="1266"/>
      <c r="U53" s="1267"/>
      <c r="V53" s="1170"/>
      <c r="W53" s="1170"/>
      <c r="X53" s="1171"/>
      <c r="Y53"/>
      <c r="Z53" s="233"/>
      <c r="AA53" s="233"/>
      <c r="AG53" s="87"/>
      <c r="AH53" s="87"/>
      <c r="BA53" s="233"/>
      <c r="BO53" s="1"/>
      <c r="CL53" s="1"/>
      <c r="CV53" s="242"/>
      <c r="CW53" s="242"/>
      <c r="CY53"/>
      <c r="CZ53"/>
    </row>
    <row r="54" spans="1:110">
      <c r="A54" s="1095" t="s">
        <v>288</v>
      </c>
      <c r="B54" s="1096"/>
      <c r="C54" s="1096"/>
      <c r="D54" s="1096"/>
      <c r="E54" s="1096"/>
      <c r="F54" s="1096"/>
      <c r="G54" s="1096"/>
      <c r="H54" s="1096"/>
      <c r="I54" s="1097">
        <f>V44+X44+R109-GP44+T109</f>
        <v>0</v>
      </c>
      <c r="J54" s="1098"/>
      <c r="K54" s="1099"/>
      <c r="L54" s="382"/>
      <c r="M54" s="1229"/>
      <c r="N54" s="1230"/>
      <c r="O54" s="1230"/>
      <c r="P54" s="1230"/>
      <c r="Q54" s="1230"/>
      <c r="R54" s="1230"/>
      <c r="S54" s="1230"/>
      <c r="T54" s="1230"/>
      <c r="U54" s="1230"/>
      <c r="V54" s="1039"/>
      <c r="W54" s="1040"/>
      <c r="X54" s="1041"/>
      <c r="Y54"/>
      <c r="Z54" s="233"/>
      <c r="AA54" s="233"/>
      <c r="AE54" s="87"/>
      <c r="AG54" s="87"/>
      <c r="BN54" s="1"/>
      <c r="CK54" s="1"/>
      <c r="CV54" s="242"/>
      <c r="CW54" s="242"/>
      <c r="CY54"/>
      <c r="CZ54"/>
    </row>
    <row r="55" spans="1:110" ht="17" thickBot="1">
      <c r="A55" s="255" t="str">
        <f>"Faktisk arbejdstid ialt i "&amp;A12&amp;" måned"</f>
        <v>Faktisk arbejdstid ialt i November måned</v>
      </c>
      <c r="B55" s="307"/>
      <c r="C55" s="308"/>
      <c r="D55" s="308"/>
      <c r="E55" s="308"/>
      <c r="F55" s="308"/>
      <c r="G55" s="308"/>
      <c r="H55" s="309"/>
      <c r="I55" s="1131">
        <f>I51+I54+I53+I52</f>
        <v>167.71999999999997</v>
      </c>
      <c r="J55" s="1132"/>
      <c r="K55" s="1133"/>
      <c r="L55" s="382"/>
      <c r="M55" s="1229"/>
      <c r="N55" s="1230"/>
      <c r="O55" s="1230"/>
      <c r="P55" s="1230"/>
      <c r="Q55" s="1230"/>
      <c r="R55" s="1230"/>
      <c r="S55" s="1230"/>
      <c r="T55" s="1230"/>
      <c r="U55" s="1230"/>
      <c r="V55" s="1039"/>
      <c r="W55" s="1040"/>
      <c r="X55" s="1041"/>
      <c r="Y55" s="233"/>
      <c r="Z55" s="233"/>
      <c r="AA55" s="211"/>
      <c r="AB55" s="241"/>
      <c r="AC55" s="241"/>
      <c r="AD55" s="241"/>
      <c r="AE55" s="233"/>
      <c r="AF55" s="241"/>
      <c r="AH55" s="233"/>
      <c r="AI55" s="233"/>
      <c r="AM55" s="87"/>
      <c r="AN55" s="87"/>
      <c r="BU55" s="1"/>
      <c r="CR55" s="1"/>
      <c r="CY55"/>
      <c r="CZ55"/>
      <c r="DC55" s="242"/>
      <c r="DD55" s="242"/>
    </row>
    <row r="56" spans="1:110" ht="17" thickBot="1">
      <c r="A56" s="249"/>
      <c r="B56" s="249"/>
      <c r="C56" s="249"/>
      <c r="D56" s="249"/>
      <c r="E56" s="249"/>
      <c r="F56" s="249"/>
      <c r="G56" s="249"/>
      <c r="H56" s="249"/>
      <c r="I56" s="507"/>
      <c r="J56" s="507"/>
      <c r="K56" s="507"/>
      <c r="L56" s="485"/>
      <c r="M56" s="1229"/>
      <c r="N56" s="1230"/>
      <c r="O56" s="1230"/>
      <c r="P56" s="1230"/>
      <c r="Q56" s="1230"/>
      <c r="R56" s="1230"/>
      <c r="S56" s="1230"/>
      <c r="T56" s="1230"/>
      <c r="U56" s="1230"/>
      <c r="V56" s="1039"/>
      <c r="W56" s="1040"/>
      <c r="X56" s="1041"/>
      <c r="Y56" s="233"/>
      <c r="Z56" s="233"/>
      <c r="AA56" s="233"/>
      <c r="AB56" s="233"/>
      <c r="AC56" s="211"/>
      <c r="AD56" s="241"/>
      <c r="AE56" s="241"/>
      <c r="AF56" s="241"/>
      <c r="AG56" s="241"/>
      <c r="AH56" s="233"/>
      <c r="AJ56" s="233"/>
      <c r="AK56" s="233"/>
      <c r="AO56" s="87"/>
      <c r="AP56" s="87"/>
      <c r="BW56" s="1"/>
      <c r="CT56" s="1"/>
      <c r="CY56"/>
      <c r="CZ56"/>
      <c r="DE56" s="242"/>
      <c r="DF56" s="242"/>
    </row>
    <row r="57" spans="1:110" ht="25" thickBot="1">
      <c r="A57" s="1086" t="s">
        <v>463</v>
      </c>
      <c r="B57" s="1087"/>
      <c r="C57" s="1087"/>
      <c r="D57" s="1087"/>
      <c r="E57" s="1087"/>
      <c r="F57" s="1087"/>
      <c r="G57" s="1087"/>
      <c r="H57" s="681" t="s">
        <v>608</v>
      </c>
      <c r="I57" s="1276" t="s">
        <v>462</v>
      </c>
      <c r="J57" s="1276"/>
      <c r="K57" s="1277"/>
      <c r="L57" s="485"/>
      <c r="M57" s="1244" t="s">
        <v>291</v>
      </c>
      <c r="N57" s="1245"/>
      <c r="O57" s="1245"/>
      <c r="P57" s="1245"/>
      <c r="Q57" s="1245"/>
      <c r="R57" s="1245"/>
      <c r="S57" s="1245"/>
      <c r="T57" s="1245"/>
      <c r="U57" s="1246"/>
      <c r="V57" s="1247">
        <f>V50-SUM(V53:X56)</f>
        <v>0</v>
      </c>
      <c r="W57" s="1248"/>
      <c r="X57" s="1249"/>
      <c r="Y57" s="233"/>
      <c r="Z57" s="233"/>
      <c r="AA57" s="233"/>
      <c r="AB57" s="233"/>
      <c r="AC57" s="211"/>
      <c r="AD57" s="241"/>
      <c r="AE57" s="241"/>
      <c r="AF57" s="241"/>
      <c r="AG57" s="241"/>
      <c r="AH57" s="233"/>
      <c r="AJ57" s="233"/>
      <c r="AK57" s="233"/>
      <c r="AO57" s="87"/>
      <c r="AP57" s="87"/>
      <c r="BW57" s="1"/>
      <c r="CT57" s="1"/>
      <c r="CY57"/>
      <c r="CZ57"/>
      <c r="DE57" s="242"/>
      <c r="DF57" s="242"/>
    </row>
    <row r="58" spans="1:110" ht="16" customHeight="1">
      <c r="A58" s="1121"/>
      <c r="B58" s="1122"/>
      <c r="C58" s="1122"/>
      <c r="D58" s="1122"/>
      <c r="E58" s="1122"/>
      <c r="F58" s="1122"/>
      <c r="G58" s="1122"/>
      <c r="H58" s="589">
        <f>Oktober!H67</f>
        <v>0</v>
      </c>
      <c r="I58" s="1250">
        <f>Oktober!I67</f>
        <v>0</v>
      </c>
      <c r="J58" s="1250"/>
      <c r="K58" s="1251"/>
      <c r="L58" s="485"/>
      <c r="M58" s="233"/>
      <c r="N58" s="233"/>
      <c r="O58" s="233"/>
      <c r="P58" s="233"/>
      <c r="Q58" s="211"/>
      <c r="R58" s="241"/>
      <c r="S58" s="241"/>
      <c r="T58" s="241"/>
      <c r="U58" s="241"/>
      <c r="V58" s="233"/>
      <c r="X58" s="233"/>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235" t="s">
        <v>466</v>
      </c>
      <c r="B59" s="1236"/>
      <c r="C59" s="1236"/>
      <c r="D59" s="1236"/>
      <c r="E59" s="1236"/>
      <c r="F59" s="1236"/>
      <c r="G59" s="1237"/>
      <c r="H59" s="587"/>
      <c r="I59" s="1281"/>
      <c r="J59" s="1282"/>
      <c r="K59" s="1283"/>
      <c r="L59" s="485"/>
      <c r="M59" s="233"/>
      <c r="N59" s="233"/>
      <c r="O59" s="233"/>
      <c r="P59" s="233"/>
      <c r="Q59" s="211"/>
      <c r="R59" s="241"/>
      <c r="S59" s="241"/>
      <c r="T59" s="241"/>
      <c r="U59" s="241"/>
      <c r="V59" s="233"/>
      <c r="X59" s="233"/>
      <c r="Y59" s="233"/>
      <c r="Z59" s="233"/>
      <c r="AA59" s="233"/>
      <c r="AB59" s="233"/>
      <c r="AC59" s="211"/>
      <c r="AD59" s="241"/>
      <c r="AE59" s="241"/>
      <c r="AF59" s="241"/>
      <c r="AG59" s="241"/>
      <c r="AH59" s="233"/>
      <c r="AJ59" s="233"/>
      <c r="AK59" s="233"/>
      <c r="AO59" s="87"/>
      <c r="AP59" s="87"/>
      <c r="BW59" s="1"/>
      <c r="CT59" s="1"/>
      <c r="CY59"/>
      <c r="CZ59"/>
      <c r="DE59" s="242"/>
      <c r="DF59" s="242"/>
    </row>
    <row r="60" spans="1:110" ht="37" customHeight="1">
      <c r="A60" s="1033" t="s">
        <v>609</v>
      </c>
      <c r="B60" s="1034"/>
      <c r="C60" s="1034"/>
      <c r="D60" s="1034"/>
      <c r="E60" s="1034"/>
      <c r="F60" s="1034"/>
      <c r="G60" s="1034"/>
      <c r="H60" s="1034"/>
      <c r="I60" s="1034"/>
      <c r="J60" s="1034"/>
      <c r="K60" s="1035"/>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5" customHeight="1">
      <c r="A61" s="1079" t="s">
        <v>610</v>
      </c>
      <c r="B61" s="1080"/>
      <c r="C61" s="1052" t="s">
        <v>492</v>
      </c>
      <c r="D61" s="1053"/>
      <c r="E61" s="1081" t="s">
        <v>493</v>
      </c>
      <c r="F61" s="1034"/>
      <c r="G61" s="1082"/>
      <c r="H61" s="1083" t="s">
        <v>464</v>
      </c>
      <c r="I61" s="1083"/>
      <c r="J61" s="1083"/>
      <c r="K61" s="1084"/>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c r="A62" s="1050"/>
      <c r="B62" s="1051"/>
      <c r="C62" s="1026"/>
      <c r="D62" s="1025"/>
      <c r="E62" s="1021"/>
      <c r="F62" s="1022"/>
      <c r="G62" s="1023"/>
      <c r="H62" s="588"/>
      <c r="I62" s="1019"/>
      <c r="J62" s="1019"/>
      <c r="K62" s="1020"/>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024"/>
      <c r="B63" s="1025"/>
      <c r="C63" s="1026"/>
      <c r="D63" s="1025"/>
      <c r="E63" s="1021"/>
      <c r="F63" s="1022"/>
      <c r="G63" s="1023"/>
      <c r="H63" s="588"/>
      <c r="I63" s="1019"/>
      <c r="J63" s="1019"/>
      <c r="K63" s="1020"/>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1024"/>
      <c r="B64" s="1025"/>
      <c r="C64" s="1026"/>
      <c r="D64" s="1025"/>
      <c r="E64" s="1021"/>
      <c r="F64" s="1022"/>
      <c r="G64" s="1023"/>
      <c r="H64" s="588"/>
      <c r="I64" s="1019"/>
      <c r="J64" s="1019"/>
      <c r="K64" s="1020"/>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c r="A65" s="1024"/>
      <c r="B65" s="1025"/>
      <c r="C65" s="1026"/>
      <c r="D65" s="1025"/>
      <c r="E65" s="1021"/>
      <c r="F65" s="1022"/>
      <c r="G65" s="1023"/>
      <c r="H65" s="588"/>
      <c r="I65" s="1019"/>
      <c r="J65" s="1019"/>
      <c r="K65" s="1020"/>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ht="17" thickBot="1">
      <c r="A66" s="1054" t="s">
        <v>465</v>
      </c>
      <c r="B66" s="1055"/>
      <c r="C66" s="1056"/>
      <c r="D66" s="1056"/>
      <c r="E66" s="1056"/>
      <c r="F66" s="1056"/>
      <c r="G66" s="1056"/>
      <c r="H66" s="590">
        <f>H59+H58-SUM(H62:H65)</f>
        <v>0</v>
      </c>
      <c r="I66" s="1063">
        <f>I58+I59-SUM(I62:K65)</f>
        <v>0</v>
      </c>
      <c r="J66" s="1064"/>
      <c r="K66" s="1065"/>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0" hidden="1">
      <c r="A67" s="481"/>
      <c r="B67" s="481"/>
      <c r="C67" s="481"/>
      <c r="D67" s="481"/>
      <c r="E67" s="481"/>
      <c r="F67" s="481"/>
      <c r="G67" s="481"/>
      <c r="H67" s="437"/>
      <c r="I67" s="491"/>
      <c r="J67" s="491"/>
      <c r="K67" s="481"/>
      <c r="L67" s="635"/>
      <c r="M67" s="635"/>
      <c r="N67" s="635"/>
      <c r="O67" s="635"/>
      <c r="P67" s="635"/>
      <c r="Q67" s="509"/>
      <c r="R67" s="510"/>
      <c r="S67" s="510"/>
      <c r="T67" s="510"/>
      <c r="U67" s="510"/>
      <c r="V67" s="508" t="s">
        <v>538</v>
      </c>
      <c r="W67" s="511"/>
      <c r="X67" s="508"/>
      <c r="Y67"/>
      <c r="Z67"/>
      <c r="AA67" s="87"/>
      <c r="AB67" s="87"/>
      <c r="BI67" s="1"/>
      <c r="CF67" s="1"/>
      <c r="CQ67" s="242"/>
      <c r="CR67" s="242"/>
      <c r="CY67"/>
      <c r="CZ67"/>
    </row>
    <row r="68" spans="1:110" hidden="1">
      <c r="A68" s="483" t="s">
        <v>203</v>
      </c>
      <c r="B68" s="483"/>
      <c r="C68" s="483"/>
      <c r="D68" s="483">
        <f>COUNTIF([0]!November,"Skema 1")</f>
        <v>20</v>
      </c>
      <c r="E68" s="484"/>
      <c r="F68" s="483" t="s">
        <v>183</v>
      </c>
      <c r="G68" s="483">
        <f>COUNTIFS($B$14:$B$43,"ma",[0]!November,"Skema 1")</f>
        <v>5</v>
      </c>
      <c r="H68" s="120"/>
      <c r="I68" s="496"/>
      <c r="J68" s="635"/>
      <c r="K68" s="635"/>
      <c r="L68" s="496"/>
      <c r="M68" s="636"/>
      <c r="N68" s="635"/>
      <c r="O68" s="636"/>
      <c r="P68" s="654" t="s">
        <v>551</v>
      </c>
      <c r="Q68" s="656" t="s">
        <v>562</v>
      </c>
      <c r="R68" s="225"/>
      <c r="S68" s="225"/>
      <c r="T68" s="225"/>
      <c r="U68" s="225"/>
      <c r="V68" s="225"/>
      <c r="W68" s="115"/>
      <c r="X68" s="115"/>
      <c r="Y68"/>
      <c r="Z68"/>
      <c r="AA68" s="87"/>
      <c r="AB68" s="87"/>
      <c r="BI68" s="1"/>
      <c r="CF68" s="1"/>
      <c r="CQ68" s="242"/>
      <c r="CR68" s="242"/>
      <c r="CY68"/>
      <c r="CZ68"/>
    </row>
    <row r="69" spans="1:110" hidden="1">
      <c r="A69" s="1271" t="s">
        <v>204</v>
      </c>
      <c r="B69" s="1271"/>
      <c r="C69" s="1271"/>
      <c r="D69" s="483">
        <f>COUNTIF([0]!November,"Skema 2")</f>
        <v>0</v>
      </c>
      <c r="E69" s="484"/>
      <c r="F69" s="483" t="s">
        <v>184</v>
      </c>
      <c r="G69" s="483">
        <f>COUNTIFS($B$14:$B$43,"ti",[0]!November,"Skema 1")</f>
        <v>3</v>
      </c>
      <c r="H69" s="120"/>
      <c r="I69" s="496" t="s">
        <v>552</v>
      </c>
      <c r="J69" s="635"/>
      <c r="K69" s="496"/>
      <c r="L69" s="638"/>
      <c r="M69" s="636"/>
      <c r="N69" s="636"/>
      <c r="O69" s="639"/>
      <c r="P69" s="654">
        <f>IF(Stamoplysninger!$B$27="Ulempetillæg udbetales med 25% af nettotimelønnen.",SUM(DO44:DR44)-SUM(DS44:DV44),0)</f>
        <v>0</v>
      </c>
      <c r="Q69" s="656"/>
      <c r="R69" s="730"/>
      <c r="S69" s="225"/>
      <c r="T69" s="225"/>
      <c r="U69" s="225"/>
      <c r="V69" s="225"/>
      <c r="W69" s="115"/>
      <c r="X69" s="115"/>
      <c r="Y69"/>
      <c r="Z69"/>
      <c r="AA69" s="87"/>
      <c r="AB69" s="87"/>
      <c r="BI69" s="1"/>
      <c r="CF69" s="1"/>
      <c r="CQ69" s="242"/>
      <c r="CR69" s="242"/>
      <c r="CY69"/>
      <c r="CZ69"/>
    </row>
    <row r="70" spans="1:110" hidden="1">
      <c r="A70" s="1271" t="s">
        <v>205</v>
      </c>
      <c r="B70" s="1271"/>
      <c r="C70" s="1271"/>
      <c r="D70" s="483">
        <f>COUNTIF([0]!November,"Skema 3")</f>
        <v>0</v>
      </c>
      <c r="E70" s="484"/>
      <c r="F70" s="483" t="s">
        <v>185</v>
      </c>
      <c r="G70" s="483">
        <f>COUNTIFS($B$14:$B$43,"on",[0]!November,"Skema 1")</f>
        <v>4</v>
      </c>
      <c r="H70" s="483"/>
      <c r="I70" s="653" t="s">
        <v>553</v>
      </c>
      <c r="J70" s="635"/>
      <c r="K70" s="496"/>
      <c r="L70" s="638"/>
      <c r="M70" s="636"/>
      <c r="N70" s="636"/>
      <c r="O70" s="636"/>
      <c r="P70" s="654"/>
      <c r="Q70" s="656">
        <f>IF(Stamoplysninger!$B$27="Ulempetillæg afspadseres med 25%(Kræver en aftale imellem ledelsen og den ansatte)",DW44+DX44+DY44+DZ44-EA44-EB44-EC44-ED44,0)</f>
        <v>0</v>
      </c>
      <c r="R70" s="731"/>
      <c r="S70" s="225"/>
      <c r="T70" s="225"/>
      <c r="U70" s="225"/>
      <c r="V70" s="225"/>
      <c r="W70" s="115"/>
      <c r="X70" s="115"/>
      <c r="Y70"/>
      <c r="Z70"/>
      <c r="AA70" s="87"/>
      <c r="AB70" s="87"/>
      <c r="BI70" s="1"/>
      <c r="CF70" s="1"/>
      <c r="CQ70" s="242"/>
      <c r="CR70" s="242"/>
      <c r="CY70"/>
      <c r="CZ70"/>
    </row>
    <row r="71" spans="1:110" hidden="1">
      <c r="A71" s="1271" t="s">
        <v>206</v>
      </c>
      <c r="B71" s="1271"/>
      <c r="C71" s="1271"/>
      <c r="D71" s="483">
        <f>COUNTIF([0]!November,"Skema 4")</f>
        <v>0</v>
      </c>
      <c r="E71" s="484"/>
      <c r="F71" s="483" t="s">
        <v>187</v>
      </c>
      <c r="G71" s="483">
        <f>COUNTIFS($B$14:$B$43,"to",[0]!November,"Skema 1")</f>
        <v>4</v>
      </c>
      <c r="H71" s="483"/>
      <c r="I71" s="653" t="s">
        <v>554</v>
      </c>
      <c r="J71" s="635"/>
      <c r="K71" s="496"/>
      <c r="L71" s="638"/>
      <c r="M71" s="641"/>
      <c r="N71" s="641"/>
      <c r="O71" s="4"/>
      <c r="P71" s="654"/>
      <c r="Q71" s="656"/>
      <c r="R71" s="225"/>
      <c r="S71" s="225"/>
      <c r="T71" s="225"/>
      <c r="U71" s="225"/>
      <c r="V71" s="225"/>
      <c r="W71" s="115"/>
      <c r="X71" s="115"/>
      <c r="Y71" s="233"/>
      <c r="Z71" s="233"/>
      <c r="AA71" s="233"/>
      <c r="AB71" s="211"/>
      <c r="AC71" s="241"/>
      <c r="AD71" s="241"/>
      <c r="AE71" s="241"/>
      <c r="AF71" s="241"/>
      <c r="AG71" s="233"/>
      <c r="AI71" s="233"/>
      <c r="AJ71" s="233"/>
      <c r="AN71" s="87"/>
      <c r="AO71" s="87"/>
      <c r="BV71" s="1"/>
      <c r="CS71" s="1"/>
      <c r="CY71"/>
      <c r="CZ71"/>
      <c r="DD71" s="242"/>
      <c r="DE71" s="242"/>
    </row>
    <row r="72" spans="1:110" hidden="1">
      <c r="A72" s="483" t="s">
        <v>111</v>
      </c>
      <c r="B72" s="483"/>
      <c r="C72" s="483"/>
      <c r="D72" s="483">
        <f>COUNTIF([0]!November,"Fagdag")+COUNTIF([0]!November,"emnedag")</f>
        <v>1</v>
      </c>
      <c r="E72" s="484"/>
      <c r="F72" s="483" t="s">
        <v>186</v>
      </c>
      <c r="G72" s="483">
        <f>COUNTIFS($B$14:$B$43,"fr",[0]!November,"Skema 1")</f>
        <v>4</v>
      </c>
      <c r="H72" s="483"/>
      <c r="I72" s="638" t="s">
        <v>555</v>
      </c>
      <c r="J72" s="635"/>
      <c r="K72" s="496"/>
      <c r="L72" s="638"/>
      <c r="M72" s="641"/>
      <c r="N72" s="641"/>
      <c r="O72" s="4"/>
      <c r="P72" s="654"/>
      <c r="Q72" s="656">
        <f>IF(Stamoplysninger!$B$31="Weekendtimer og weekendtillæg afspadseres.",EE44+EF44-EG44-EH44+EI44+EJ44,0)</f>
        <v>0</v>
      </c>
      <c r="R72" s="733"/>
      <c r="S72" s="225"/>
      <c r="T72" s="225"/>
      <c r="U72" s="225"/>
      <c r="V72" s="225"/>
      <c r="W72" s="115"/>
      <c r="X72" s="115"/>
      <c r="Y72" s="233"/>
      <c r="Z72" s="233"/>
      <c r="AA72" s="233"/>
      <c r="AB72" s="211"/>
      <c r="AC72" s="241"/>
      <c r="AD72" s="241"/>
      <c r="AE72" s="241"/>
      <c r="AF72" s="211"/>
      <c r="AG72" s="233"/>
      <c r="AI72" s="233"/>
      <c r="AJ72" s="233"/>
      <c r="AN72" s="87"/>
      <c r="AO72" s="87"/>
      <c r="BV72" s="1"/>
      <c r="CS72" s="1"/>
      <c r="CY72"/>
      <c r="CZ72"/>
      <c r="DD72" s="242"/>
      <c r="DE72" s="242"/>
    </row>
    <row r="73" spans="1:110" hidden="1">
      <c r="A73" s="487" t="s">
        <v>110</v>
      </c>
      <c r="B73" s="483"/>
      <c r="C73" s="483"/>
      <c r="D73" s="483">
        <f>COUNTIF([0]!November,"Lejrskole")+COUNTIF([0]!November,"Ekskursion")</f>
        <v>0</v>
      </c>
      <c r="E73" s="484"/>
      <c r="F73" s="483"/>
      <c r="G73" s="483"/>
      <c r="H73" s="483"/>
      <c r="I73" s="638" t="s">
        <v>556</v>
      </c>
      <c r="J73" s="638"/>
      <c r="K73" s="638"/>
      <c r="L73" s="638"/>
      <c r="M73" s="642"/>
      <c r="N73" s="642"/>
      <c r="O73" s="4"/>
      <c r="P73" s="655">
        <f>IF(Stamoplysninger!$B$31="Weekendtimer og weekendtillæg udbetales.",EM44+EN44-EO44-EP44+EQ44+ER44,0)</f>
        <v>0</v>
      </c>
      <c r="Q73" s="656"/>
      <c r="R73" s="735"/>
      <c r="S73" s="225"/>
      <c r="T73" s="225"/>
      <c r="U73" s="225"/>
      <c r="V73" s="225"/>
      <c r="W73" s="115"/>
      <c r="X73" s="115"/>
      <c r="Y73" s="233"/>
      <c r="Z73" s="233"/>
      <c r="AA73" s="233"/>
      <c r="AB73" s="211"/>
      <c r="AC73" s="241"/>
      <c r="AD73" s="241"/>
      <c r="AE73" s="241"/>
      <c r="AF73" s="211"/>
      <c r="AG73" s="233"/>
      <c r="AI73" s="233"/>
      <c r="AJ73" s="233"/>
      <c r="AN73" s="87"/>
      <c r="AO73" s="87"/>
      <c r="BV73" s="1"/>
      <c r="CS73" s="1"/>
      <c r="CY73"/>
      <c r="CZ73"/>
      <c r="DD73" s="242"/>
      <c r="DE73" s="242"/>
    </row>
    <row r="74" spans="1:110" hidden="1">
      <c r="A74" s="483" t="s">
        <v>109</v>
      </c>
      <c r="B74" s="483"/>
      <c r="C74" s="483"/>
      <c r="D74" s="483">
        <f>COUNTIF([0]!November,"Pæd.dag")</f>
        <v>0</v>
      </c>
      <c r="E74" s="484"/>
      <c r="F74" s="483" t="s">
        <v>188</v>
      </c>
      <c r="G74" s="483">
        <f>COUNTIFS($B$14:$B$43,"ma",[0]!November,"Skema 2")</f>
        <v>0</v>
      </c>
      <c r="H74" s="483"/>
      <c r="I74" s="638" t="s">
        <v>557</v>
      </c>
      <c r="J74" s="638"/>
      <c r="K74" s="638"/>
      <c r="L74" s="638"/>
      <c r="M74" s="642"/>
      <c r="N74" s="642"/>
      <c r="O74" s="4"/>
      <c r="P74" s="654"/>
      <c r="Q74" s="656"/>
      <c r="R74" s="225"/>
      <c r="S74" s="225"/>
      <c r="T74" s="225"/>
      <c r="U74" s="225"/>
      <c r="V74" s="225"/>
      <c r="W74" s="115"/>
      <c r="X74" s="115"/>
      <c r="Y74" s="233"/>
      <c r="Z74" s="233"/>
      <c r="AA74" s="233"/>
      <c r="AB74" s="211"/>
      <c r="AC74" s="241"/>
      <c r="AD74" s="241"/>
      <c r="AE74" s="241"/>
      <c r="AF74" s="211"/>
      <c r="AG74" s="233"/>
      <c r="AI74" s="233"/>
      <c r="AJ74" s="233"/>
      <c r="AN74" s="87"/>
      <c r="AO74" s="87"/>
      <c r="BV74" s="1"/>
      <c r="CS74" s="1"/>
      <c r="CY74"/>
      <c r="CZ74"/>
      <c r="DD74" s="242"/>
      <c r="DE74" s="242"/>
    </row>
    <row r="75" spans="1:110" hidden="1">
      <c r="A75" s="483" t="s">
        <v>118</v>
      </c>
      <c r="B75" s="483"/>
      <c r="C75" s="483"/>
      <c r="D75" s="483">
        <f>COUNTIF([0]!November,"Weekend")</f>
        <v>9</v>
      </c>
      <c r="E75" s="484"/>
      <c r="F75" s="483" t="s">
        <v>189</v>
      </c>
      <c r="G75" s="483">
        <f>COUNTIFS($B$14:$B$43,"ti",[0]!November,"Skema 2")</f>
        <v>0</v>
      </c>
      <c r="H75" s="483"/>
      <c r="I75" s="638" t="s">
        <v>558</v>
      </c>
      <c r="J75" s="638"/>
      <c r="K75" s="638"/>
      <c r="L75" s="638"/>
      <c r="M75" s="643"/>
      <c r="N75" s="643"/>
      <c r="O75" s="4"/>
      <c r="P75" s="654"/>
      <c r="Q75" s="657">
        <f>IF(Stamoplysninger!$B$31="Der er indgået lokalaftale omkring weekendtimer.(Kræver aftale med TR/FSL) Weekendtillæg afspadseres.",EU44+EV44-EW44-EX44,0)</f>
        <v>0</v>
      </c>
      <c r="R75" s="737"/>
      <c r="S75" s="225"/>
      <c r="T75" s="225"/>
      <c r="U75" s="225"/>
      <c r="V75" s="225"/>
      <c r="W75" s="115"/>
      <c r="X75" s="115"/>
      <c r="Y75"/>
      <c r="Z75"/>
      <c r="AM75" s="1"/>
      <c r="BJ75" s="1"/>
      <c r="BU75" s="242"/>
      <c r="BV75" s="242"/>
      <c r="CY75"/>
      <c r="CZ75"/>
    </row>
    <row r="76" spans="1:110" hidden="1">
      <c r="A76" s="483" t="s">
        <v>125</v>
      </c>
      <c r="B76" s="483"/>
      <c r="C76" s="483"/>
      <c r="D76" s="483">
        <f>COUNTIF([0]!November,"SH-dag")</f>
        <v>0</v>
      </c>
      <c r="E76" s="484"/>
      <c r="F76" s="483" t="s">
        <v>190</v>
      </c>
      <c r="G76" s="483">
        <f>COUNTIFS($B$14:$B$43,"on",[0]!November,"Skema 2")</f>
        <v>0</v>
      </c>
      <c r="H76" s="483"/>
      <c r="I76" s="638" t="s">
        <v>559</v>
      </c>
      <c r="J76" s="638"/>
      <c r="K76" s="638"/>
      <c r="L76" s="638"/>
      <c r="M76" s="643"/>
      <c r="N76" s="643"/>
      <c r="O76" s="4"/>
      <c r="P76" s="654">
        <f>IF(Stamoplysninger!$B$31="Der er indgået lokalaftale omkring weekendtimer(Kræver aftale med TR/FSL). Weekendtillæg udbetales.",EY44+EZ44-FA44-FB44,0)</f>
        <v>0</v>
      </c>
      <c r="Q76" s="656"/>
      <c r="R76" s="739"/>
      <c r="S76" s="225"/>
      <c r="T76" s="225"/>
      <c r="U76" s="225"/>
      <c r="V76" s="225"/>
      <c r="W76" s="115"/>
      <c r="X76" s="115"/>
      <c r="Y76"/>
      <c r="Z76"/>
      <c r="AM76" s="1"/>
      <c r="BJ76" s="1"/>
      <c r="BU76" s="242"/>
      <c r="BV76" s="242"/>
      <c r="CY76"/>
      <c r="CZ76"/>
    </row>
    <row r="77" spans="1:110" hidden="1">
      <c r="A77" s="483" t="s">
        <v>108</v>
      </c>
      <c r="B77" s="483"/>
      <c r="C77" s="483"/>
      <c r="D77" s="483">
        <f>COUNTIF([0]!November,"Feriedag")</f>
        <v>0</v>
      </c>
      <c r="E77" s="484"/>
      <c r="F77" s="483" t="s">
        <v>191</v>
      </c>
      <c r="G77" s="483">
        <f>COUNTIFS($B$14:$B$43,"to",[0]!November,"Skema 2")</f>
        <v>0</v>
      </c>
      <c r="H77" s="483"/>
      <c r="I77" s="638" t="s">
        <v>560</v>
      </c>
      <c r="J77" s="638"/>
      <c r="K77" s="638"/>
      <c r="L77" s="638"/>
      <c r="M77" s="643"/>
      <c r="N77" s="643"/>
      <c r="O77" s="4"/>
      <c r="P77" s="654"/>
      <c r="Q77" s="610">
        <f>IF(Stamoplysninger!$B$31="Der er indgået lokalaftale omkring weekendtillæg(Kræver aftale med TR/FSL). Weekendtimerne afspadseres.",FC44+FD44-FE44-FF44,0)</f>
        <v>0</v>
      </c>
      <c r="R77" s="741"/>
      <c r="S77" s="38"/>
      <c r="T77" s="38"/>
      <c r="Y77"/>
      <c r="Z77"/>
      <c r="AM77" s="1"/>
      <c r="BJ77" s="1"/>
      <c r="BU77" s="242"/>
      <c r="BV77" s="242"/>
      <c r="CY77"/>
      <c r="CZ77"/>
    </row>
    <row r="78" spans="1:110" hidden="1">
      <c r="A78" s="483" t="s">
        <v>175</v>
      </c>
      <c r="B78" s="483"/>
      <c r="C78" s="483"/>
      <c r="D78" s="483">
        <f>COUNTIF([0]!November,"Nul-dag")</f>
        <v>0</v>
      </c>
      <c r="E78" s="484"/>
      <c r="F78" s="483" t="s">
        <v>192</v>
      </c>
      <c r="G78" s="483">
        <f>COUNTIFS($B$14:$B$43,"fr",[0]!November,"Skema 2")</f>
        <v>0</v>
      </c>
      <c r="H78" s="483"/>
      <c r="I78" s="638" t="s">
        <v>561</v>
      </c>
      <c r="J78" s="638"/>
      <c r="K78" s="638"/>
      <c r="L78" s="638"/>
      <c r="M78" s="643"/>
      <c r="N78" s="643"/>
      <c r="O78" s="4"/>
      <c r="P78" s="654">
        <f>IF(Stamoplysninger!$B$31="Der er indgået lokalaftale omkring weekendtillæg(Kræver aftale med TR/FSL). Weekendtimerne udbetales.",FG44+FH44-FI44-FJ44,0)</f>
        <v>0</v>
      </c>
      <c r="Q78" s="610"/>
      <c r="R78" s="742"/>
      <c r="V78" t="s">
        <v>612</v>
      </c>
      <c r="Y78"/>
      <c r="Z78"/>
      <c r="AM78" s="1"/>
      <c r="BJ78" s="1"/>
      <c r="BU78" s="242"/>
      <c r="BV78" s="242"/>
      <c r="CY78"/>
      <c r="CZ78"/>
    </row>
    <row r="79" spans="1:110" hidden="1">
      <c r="A79" s="488" t="s">
        <v>406</v>
      </c>
      <c r="B79" s="483"/>
      <c r="C79" s="483"/>
      <c r="D79" s="483">
        <f>COUNTIF([0]!November,"Orlov")</f>
        <v>0</v>
      </c>
      <c r="E79" s="484"/>
      <c r="F79" s="489"/>
      <c r="G79" s="489"/>
      <c r="H79" s="489"/>
      <c r="I79" s="638" t="s">
        <v>567</v>
      </c>
      <c r="J79" s="638"/>
      <c r="K79" s="638"/>
      <c r="L79" s="638"/>
      <c r="M79" s="644"/>
      <c r="N79" s="644"/>
      <c r="O79" s="4"/>
      <c r="P79" s="637"/>
      <c r="R79" s="727">
        <f>IF(AND(C14="ikke relevant",S14="X"),V14*-1,0)</f>
        <v>0</v>
      </c>
      <c r="T79" s="727">
        <f>IF(AND(C14="ikke relevant",U14="X"),X14*-1,0)</f>
        <v>0</v>
      </c>
      <c r="V79">
        <f>IF(AND(C14="ikke relevant",H14&gt;""),R14*-1,0)</f>
        <v>0</v>
      </c>
      <c r="Y79"/>
      <c r="Z79"/>
      <c r="AM79" s="1"/>
      <c r="BJ79" s="1"/>
      <c r="BU79" s="242"/>
      <c r="BV79" s="242"/>
      <c r="CY79"/>
      <c r="CZ79"/>
    </row>
    <row r="80" spans="1:110" hidden="1">
      <c r="A80" s="483" t="s">
        <v>158</v>
      </c>
      <c r="B80" s="483"/>
      <c r="C80" s="483"/>
      <c r="D80" s="483">
        <f>COUNTIF([0]!November,"Ikke relevant")</f>
        <v>0</v>
      </c>
      <c r="E80" s="484"/>
      <c r="F80" s="483" t="s">
        <v>193</v>
      </c>
      <c r="G80" s="483">
        <f>COUNTIFS($B$14:$B$43,"ma",[0]!November,"Skema 3")</f>
        <v>0</v>
      </c>
      <c r="H80" s="483"/>
      <c r="I80" s="638"/>
      <c r="J80" s="638"/>
      <c r="K80" s="638"/>
      <c r="L80" s="496"/>
      <c r="M80" s="644"/>
      <c r="N80" s="644"/>
      <c r="O80" s="4"/>
      <c r="P80" s="637"/>
      <c r="R80" s="727">
        <f t="shared" ref="R80:R108" si="44">IF(AND(C15="ikke relevant",S15="X"),V15*-1,0)</f>
        <v>0</v>
      </c>
      <c r="T80" s="727">
        <f t="shared" ref="T80:T107" si="45">IF(AND(C15="ikke relevant",U15="X"),X15*-1,0)</f>
        <v>0</v>
      </c>
      <c r="V80">
        <f t="shared" ref="V80:V107" si="46">IF(AND(C15="ikke relevant",H15&gt;""),R15*-1,0)</f>
        <v>0</v>
      </c>
      <c r="Y80"/>
      <c r="Z80"/>
      <c r="AM80" s="1"/>
      <c r="BJ80" s="1"/>
      <c r="BU80" s="242"/>
      <c r="BV80" s="242"/>
      <c r="CY80"/>
      <c r="CZ80"/>
    </row>
    <row r="81" spans="1:104" hidden="1">
      <c r="A81" s="483" t="s">
        <v>107</v>
      </c>
      <c r="B81" s="483"/>
      <c r="C81" s="483"/>
      <c r="D81" s="483">
        <f>SUM(D68:D80)</f>
        <v>30</v>
      </c>
      <c r="E81" s="483"/>
      <c r="F81" s="483" t="s">
        <v>194</v>
      </c>
      <c r="G81" s="483">
        <f>COUNTIFS($B$14:$B$43,"ti",[0]!November,"Skema 3")</f>
        <v>0</v>
      </c>
      <c r="H81" s="483"/>
      <c r="I81" s="638"/>
      <c r="J81" s="638"/>
      <c r="K81" s="638"/>
      <c r="L81" s="496"/>
      <c r="M81" s="644"/>
      <c r="N81" s="644"/>
      <c r="O81" s="4"/>
      <c r="P81" s="637"/>
      <c r="R81" s="727">
        <f t="shared" si="44"/>
        <v>0</v>
      </c>
      <c r="T81" s="727">
        <f t="shared" si="45"/>
        <v>0</v>
      </c>
      <c r="V81">
        <f t="shared" si="46"/>
        <v>0</v>
      </c>
      <c r="Y81"/>
      <c r="Z81"/>
      <c r="AO81" s="1"/>
      <c r="BL81" s="1"/>
      <c r="BW81" s="242"/>
      <c r="BX81" s="242"/>
      <c r="CY81"/>
      <c r="CZ81"/>
    </row>
    <row r="82" spans="1:104" hidden="1">
      <c r="A82" s="483" t="s">
        <v>236</v>
      </c>
      <c r="B82" s="483"/>
      <c r="C82" s="483"/>
      <c r="D82" s="483">
        <f>D81-D75-A91-D80</f>
        <v>21</v>
      </c>
      <c r="E82" s="490"/>
      <c r="F82" s="483" t="s">
        <v>195</v>
      </c>
      <c r="G82" s="483">
        <f>COUNTIFS($B$14:$B$43,"on",[0]!November,"Skema 3")</f>
        <v>0</v>
      </c>
      <c r="H82" s="483"/>
      <c r="I82" s="638"/>
      <c r="J82" s="638"/>
      <c r="K82" s="638"/>
      <c r="L82" s="496"/>
      <c r="M82" s="644"/>
      <c r="N82" s="644"/>
      <c r="O82" s="4"/>
      <c r="P82" s="637"/>
      <c r="R82" s="727">
        <f t="shared" si="44"/>
        <v>0</v>
      </c>
      <c r="T82" s="727">
        <f t="shared" si="45"/>
        <v>0</v>
      </c>
      <c r="V82">
        <f t="shared" si="46"/>
        <v>0</v>
      </c>
      <c r="Y82"/>
      <c r="Z82"/>
      <c r="AO82" s="1"/>
      <c r="BL82" s="1"/>
      <c r="BW82" s="242"/>
      <c r="BX82" s="242"/>
      <c r="CY82"/>
      <c r="CZ82"/>
    </row>
    <row r="83" spans="1:104" hidden="1">
      <c r="A83" s="483"/>
      <c r="B83" s="483"/>
      <c r="C83" s="483"/>
      <c r="D83" s="483"/>
      <c r="E83" s="483"/>
      <c r="F83" s="483" t="s">
        <v>196</v>
      </c>
      <c r="G83" s="483">
        <f>COUNTIFS($B$14:$B$43,"to",[0]!November,"Skema 3")</f>
        <v>0</v>
      </c>
      <c r="H83" s="483"/>
      <c r="I83" s="640"/>
      <c r="J83" s="638"/>
      <c r="K83" s="638"/>
      <c r="L83" s="496"/>
      <c r="M83" s="636"/>
      <c r="N83" s="636"/>
      <c r="O83" s="4"/>
      <c r="P83" s="637"/>
      <c r="R83" s="727">
        <f t="shared" si="44"/>
        <v>0</v>
      </c>
      <c r="T83" s="727">
        <f t="shared" si="45"/>
        <v>0</v>
      </c>
      <c r="V83">
        <f t="shared" si="46"/>
        <v>0</v>
      </c>
      <c r="Y83"/>
      <c r="Z83"/>
      <c r="AO83" s="1"/>
      <c r="BL83" s="1"/>
      <c r="BW83" s="242"/>
      <c r="BX83" s="242"/>
      <c r="CY83"/>
      <c r="CZ83"/>
    </row>
    <row r="84" spans="1:104" hidden="1">
      <c r="A84" s="483"/>
      <c r="B84" s="483"/>
      <c r="C84" s="483"/>
      <c r="D84" s="483"/>
      <c r="E84" s="483"/>
      <c r="F84" s="483" t="s">
        <v>197</v>
      </c>
      <c r="G84" s="483">
        <f>COUNTIFS($B$14:$B$43,"fr",[0]!November,"Skema 3")</f>
        <v>0</v>
      </c>
      <c r="H84" s="483"/>
      <c r="I84" s="491"/>
      <c r="J84" s="496"/>
      <c r="K84" s="496"/>
      <c r="L84" s="496"/>
      <c r="M84" s="4"/>
      <c r="N84" s="4"/>
      <c r="O84" s="4"/>
      <c r="P84" s="4"/>
      <c r="R84" s="727">
        <f t="shared" si="44"/>
        <v>0</v>
      </c>
      <c r="T84" s="727">
        <f t="shared" si="45"/>
        <v>0</v>
      </c>
      <c r="V84">
        <f t="shared" si="46"/>
        <v>0</v>
      </c>
      <c r="Y84"/>
      <c r="Z84"/>
      <c r="AO84" s="1"/>
      <c r="BL84" s="1"/>
      <c r="BW84" s="242"/>
      <c r="BX84" s="242"/>
      <c r="CY84"/>
      <c r="CZ84"/>
    </row>
    <row r="85" spans="1:104" hidden="1">
      <c r="A85" s="483" t="s">
        <v>289</v>
      </c>
      <c r="B85" s="483"/>
      <c r="C85" s="483"/>
      <c r="D85" s="483"/>
      <c r="E85" s="483"/>
      <c r="F85" s="483"/>
      <c r="G85" s="483"/>
      <c r="H85" s="483"/>
      <c r="I85" s="491"/>
      <c r="J85" s="496"/>
      <c r="K85" s="496"/>
      <c r="L85" s="496"/>
      <c r="M85" s="4"/>
      <c r="N85" s="4"/>
      <c r="O85" s="4"/>
      <c r="P85" s="4"/>
      <c r="R85" s="727">
        <f t="shared" si="44"/>
        <v>0</v>
      </c>
      <c r="T85" s="727">
        <f t="shared" si="45"/>
        <v>0</v>
      </c>
      <c r="V85">
        <f t="shared" si="46"/>
        <v>0</v>
      </c>
      <c r="Y85"/>
      <c r="Z85"/>
      <c r="AO85" s="1"/>
      <c r="BL85" s="1"/>
      <c r="BW85" s="242"/>
      <c r="BX85" s="242"/>
      <c r="CY85"/>
      <c r="CZ85"/>
    </row>
    <row r="86" spans="1:104" hidden="1">
      <c r="A86" s="483">
        <f>COUNTIF(C14,"Skema 1")+COUNTIF(C14,"Skema 2")+COUNTIF(C14,"Skema 3")+COUNTIF(C14,"Skema 4")+COUNTIF(C14,"Fagdag")+COUNTIF(C14,"Emnedag")+COUNTIF(C14,"Lejrskole")+COUNTIF(C14,"Ekskursion")+COUNTIF(C14,"Pæd.dag")</f>
        <v>0</v>
      </c>
      <c r="B86" s="483"/>
      <c r="C86" s="483"/>
      <c r="D86" s="483"/>
      <c r="E86" s="483"/>
      <c r="F86" s="483" t="s">
        <v>198</v>
      </c>
      <c r="G86" s="483">
        <f>COUNTIFS($B$14:$B$43,"ma",[0]!November,"Skema 4")</f>
        <v>0</v>
      </c>
      <c r="H86" s="483"/>
      <c r="I86" s="491"/>
      <c r="J86" s="496"/>
      <c r="K86" s="496"/>
      <c r="L86" s="496"/>
      <c r="M86" s="4"/>
      <c r="N86" s="4"/>
      <c r="O86" s="4"/>
      <c r="P86" s="4"/>
      <c r="R86" s="727">
        <f t="shared" si="44"/>
        <v>0</v>
      </c>
      <c r="T86" s="727">
        <f t="shared" si="45"/>
        <v>0</v>
      </c>
      <c r="V86">
        <f t="shared" si="46"/>
        <v>0</v>
      </c>
      <c r="Y86"/>
      <c r="Z86"/>
      <c r="AO86" s="1"/>
      <c r="BL86" s="1"/>
      <c r="BW86" s="242"/>
      <c r="BX86" s="242"/>
      <c r="CY86"/>
      <c r="CZ86"/>
    </row>
    <row r="87" spans="1:104" hidden="1">
      <c r="A87" s="483">
        <f>COUNTIF(C20:C21,"Skema 1")+COUNTIF(C20:C21,"Skema 2")+COUNTIF(C20:C21,"Skema 3")+COUNTIF(C20:C21,"Skema 4")+COUNTIF(C20:C21,"Fagdag")+COUNTIF(C20:C21,"Emnedag")+COUNTIF(C20:C21,"Lejrskole")+COUNTIF(C20:C21,"Ekskursion")+COUNTIF(C20:C21,"Pæd.dag")</f>
        <v>0</v>
      </c>
      <c r="B87" s="483"/>
      <c r="C87" s="483"/>
      <c r="D87" s="483"/>
      <c r="E87" s="483"/>
      <c r="F87" s="483" t="s">
        <v>199</v>
      </c>
      <c r="G87" s="483">
        <f>COUNTIFS($B$14:$B$43,"ti",[0]!November,"Skema 4")</f>
        <v>0</v>
      </c>
      <c r="H87" s="483"/>
      <c r="I87" s="491"/>
      <c r="J87" s="496"/>
      <c r="K87" s="496"/>
      <c r="L87" s="496"/>
      <c r="M87" s="4"/>
      <c r="N87" s="4"/>
      <c r="O87" s="4"/>
      <c r="P87" s="4"/>
      <c r="R87" s="727">
        <f t="shared" si="44"/>
        <v>0</v>
      </c>
      <c r="T87" s="727">
        <f t="shared" si="45"/>
        <v>0</v>
      </c>
      <c r="V87">
        <f t="shared" si="46"/>
        <v>0</v>
      </c>
      <c r="Y87"/>
      <c r="Z87"/>
      <c r="AO87" s="1"/>
      <c r="BL87" s="1"/>
      <c r="BW87" s="242"/>
      <c r="BX87" s="242"/>
      <c r="CY87"/>
      <c r="CZ87"/>
    </row>
    <row r="88" spans="1:104" hidden="1">
      <c r="A88" s="483">
        <f>COUNTIF(C27:C28,"Skema 1")+COUNTIF(C27:C28,"Skema 2")+COUNTIF(C27:C28,"Skema 3")+COUNTIF(C27:C28,"Skema 4")+COUNTIF(C27:C28,"Fagdag")+COUNTIF(C27:C28,"Emnedag")+COUNTIF(C27:C28,"Lejrskole")+COUNTIF(C27:C28,"Ekskursion")+COUNTIF(C27:C28,"Pæd.dag")</f>
        <v>0</v>
      </c>
      <c r="B88" s="483"/>
      <c r="C88" s="483"/>
      <c r="D88" s="483"/>
      <c r="E88" s="483"/>
      <c r="F88" s="483" t="s">
        <v>200</v>
      </c>
      <c r="G88" s="483">
        <f>COUNTIFS($B$14:$B$43,"on",[0]!November,"Skema 4")</f>
        <v>0</v>
      </c>
      <c r="H88" s="483"/>
      <c r="I88" s="491"/>
      <c r="J88" s="496"/>
      <c r="K88" s="496"/>
      <c r="L88" s="496"/>
      <c r="M88" s="4"/>
      <c r="N88" s="4"/>
      <c r="O88" s="4"/>
      <c r="P88" s="4"/>
      <c r="R88" s="727">
        <f t="shared" si="44"/>
        <v>0</v>
      </c>
      <c r="T88" s="727">
        <f t="shared" si="45"/>
        <v>0</v>
      </c>
      <c r="V88">
        <f t="shared" si="46"/>
        <v>0</v>
      </c>
      <c r="Y88"/>
      <c r="Z88"/>
      <c r="AO88" s="1"/>
      <c r="BL88" s="1"/>
      <c r="BW88" s="242"/>
      <c r="BX88" s="242"/>
      <c r="CY88"/>
      <c r="CZ88"/>
    </row>
    <row r="89" spans="1:104" hidden="1">
      <c r="A89" s="483">
        <f>COUNTIF(C34:C35,"Skema 1")+COUNTIF(C34:C35,"Skema 2")+COUNTIF(C34:C35,"Skema 3")+COUNTIF(C34:C35,"Skema 4")+COUNTIF(C34:C35,"Fagdag")+COUNTIF(C34:C35,"Emnedag")+COUNTIF(C34:C35,"Lejrskole")+COUNTIF(C34:C35,"Ekskursion")+COUNTIF(C34:C35,"Pæd.dag")</f>
        <v>0</v>
      </c>
      <c r="B89" s="483"/>
      <c r="C89" s="483"/>
      <c r="D89" s="483"/>
      <c r="E89" s="483"/>
      <c r="F89" s="483" t="s">
        <v>201</v>
      </c>
      <c r="G89" s="483">
        <f>COUNTIFS($B$14:$B$43,"to",[0]!November,"Skema 4")</f>
        <v>0</v>
      </c>
      <c r="H89" s="483"/>
      <c r="I89" s="491"/>
      <c r="J89" s="496"/>
      <c r="K89" s="496"/>
      <c r="L89" s="496"/>
      <c r="M89" s="4"/>
      <c r="N89" s="4"/>
      <c r="O89" s="4"/>
      <c r="P89" s="4"/>
      <c r="R89" s="727">
        <f t="shared" si="44"/>
        <v>0</v>
      </c>
      <c r="T89" s="727">
        <f t="shared" si="45"/>
        <v>0</v>
      </c>
      <c r="V89">
        <f t="shared" si="46"/>
        <v>0</v>
      </c>
      <c r="Y89"/>
      <c r="Z89"/>
      <c r="AO89" s="1">
        <f>SUM(N89:AN89)</f>
        <v>0</v>
      </c>
      <c r="BL89" s="1">
        <f>SUM(AI89:BK89)</f>
        <v>0</v>
      </c>
      <c r="BW89" s="242"/>
      <c r="BX89" s="242"/>
      <c r="CY89"/>
      <c r="CZ89"/>
    </row>
    <row r="90" spans="1:104" hidden="1">
      <c r="A90" s="483">
        <f>COUNTIF(C41:C42,"Skema 1")+COUNTIF(C41:C42,"Skema 2")+COUNTIF(C41:C42,"Skema 3")+COUNTIF(C41:C42,"Skema 4")+COUNTIF(C41:C42,"Fagdag")+COUNTIF(C41:C42,"Emnedag")+COUNTIF(C41:C42,"Lejrskole")+COUNTIF(C41:C42,"Ekskursion")+COUNTIF(C41:C42,"Pæd.dag")</f>
        <v>0</v>
      </c>
      <c r="B90" s="483"/>
      <c r="C90" s="483"/>
      <c r="D90" s="483"/>
      <c r="E90" s="483"/>
      <c r="F90" s="483" t="s">
        <v>202</v>
      </c>
      <c r="G90" s="483">
        <f>COUNTIFS($B$14:$B$43,"fr",[0]!November,"Skema 4")</f>
        <v>0</v>
      </c>
      <c r="H90" s="483"/>
      <c r="I90" s="483"/>
      <c r="J90" s="486"/>
      <c r="K90" s="486"/>
      <c r="L90" s="38"/>
      <c r="R90" s="727">
        <f t="shared" si="44"/>
        <v>0</v>
      </c>
      <c r="T90" s="727">
        <f t="shared" si="45"/>
        <v>0</v>
      </c>
      <c r="V90">
        <f t="shared" si="46"/>
        <v>0</v>
      </c>
      <c r="Y90"/>
      <c r="Z90"/>
      <c r="AO90" s="1">
        <f>SUM(N90:AN90)</f>
        <v>0</v>
      </c>
      <c r="BL90" s="1">
        <f>SUM(AI90:BK90)</f>
        <v>0</v>
      </c>
      <c r="BW90" s="242"/>
      <c r="BX90" s="242"/>
      <c r="CY90"/>
      <c r="CZ90"/>
    </row>
    <row r="91" spans="1:104" hidden="1">
      <c r="A91" s="483">
        <f>SUM(A86:A90)</f>
        <v>0</v>
      </c>
      <c r="B91" s="483"/>
      <c r="C91" s="483"/>
      <c r="D91" s="483"/>
      <c r="E91" s="483"/>
      <c r="F91" s="483"/>
      <c r="G91" s="488">
        <f>SUM(G68:G90)</f>
        <v>20</v>
      </c>
      <c r="H91" s="486"/>
      <c r="I91" s="483"/>
      <c r="J91" s="486"/>
      <c r="K91" s="486"/>
      <c r="L91" s="38"/>
      <c r="R91" s="727">
        <f t="shared" si="44"/>
        <v>0</v>
      </c>
      <c r="T91" s="727">
        <f t="shared" si="45"/>
        <v>0</v>
      </c>
      <c r="V91">
        <f t="shared" si="46"/>
        <v>0</v>
      </c>
      <c r="Y91"/>
      <c r="Z91"/>
      <c r="AO91" s="1">
        <f>SUM(N91:AN91)</f>
        <v>0</v>
      </c>
      <c r="BL91" s="1">
        <f>SUM(AI91:BK91)</f>
        <v>0</v>
      </c>
      <c r="BW91" s="242"/>
      <c r="BX91" s="242"/>
      <c r="CY91"/>
      <c r="CZ91"/>
    </row>
    <row r="92" spans="1:104" hidden="1">
      <c r="A92" s="486"/>
      <c r="B92" s="486"/>
      <c r="C92" s="486"/>
      <c r="D92" s="486"/>
      <c r="E92" s="483"/>
      <c r="F92" s="483"/>
      <c r="G92" s="483"/>
      <c r="H92" s="38"/>
      <c r="I92" s="486"/>
      <c r="J92" s="486"/>
      <c r="K92" s="486"/>
      <c r="L92" s="38"/>
      <c r="R92" s="727">
        <f t="shared" si="44"/>
        <v>0</v>
      </c>
      <c r="T92" s="727">
        <f t="shared" si="45"/>
        <v>0</v>
      </c>
      <c r="V92">
        <f t="shared" si="46"/>
        <v>0</v>
      </c>
      <c r="Y92"/>
      <c r="Z92"/>
      <c r="AO92" s="1">
        <f>SUM(N92:AN92)</f>
        <v>0</v>
      </c>
      <c r="BL92" s="1">
        <f>SUM(AI92:BK92)</f>
        <v>0</v>
      </c>
      <c r="BW92" s="242"/>
      <c r="BX92" s="242"/>
      <c r="CY92"/>
      <c r="CZ92"/>
    </row>
    <row r="93" spans="1:104" hidden="1">
      <c r="A93" s="486"/>
      <c r="B93" s="486"/>
      <c r="C93" s="486"/>
      <c r="D93" s="486"/>
      <c r="E93" s="483"/>
      <c r="F93" s="483"/>
      <c r="G93" s="483"/>
      <c r="H93" s="38"/>
      <c r="I93" s="38"/>
      <c r="J93" s="486"/>
      <c r="K93" s="486"/>
      <c r="L93" s="38"/>
      <c r="R93" s="727">
        <f t="shared" si="44"/>
        <v>0</v>
      </c>
      <c r="T93" s="727">
        <f t="shared" si="45"/>
        <v>0</v>
      </c>
      <c r="V93">
        <f t="shared" si="46"/>
        <v>0</v>
      </c>
      <c r="Y93"/>
      <c r="Z93"/>
      <c r="BW93" s="242"/>
      <c r="BX93" s="242"/>
      <c r="CY93"/>
      <c r="CZ93"/>
    </row>
    <row r="94" spans="1:104" hidden="1">
      <c r="A94" s="486"/>
      <c r="B94" s="486"/>
      <c r="C94" s="486"/>
      <c r="D94" s="486"/>
      <c r="E94" s="483"/>
      <c r="F94" s="483"/>
      <c r="G94" s="483"/>
      <c r="H94" s="38"/>
      <c r="I94" s="38"/>
      <c r="J94" s="38"/>
      <c r="K94" s="38"/>
      <c r="L94" s="38"/>
      <c r="R94" s="727">
        <f t="shared" si="44"/>
        <v>0</v>
      </c>
      <c r="T94" s="727">
        <f t="shared" si="45"/>
        <v>0</v>
      </c>
      <c r="V94">
        <f t="shared" si="46"/>
        <v>0</v>
      </c>
      <c r="Y94"/>
      <c r="Z94"/>
      <c r="BW94" s="242"/>
      <c r="BX94" s="242"/>
      <c r="CY94"/>
      <c r="CZ94"/>
    </row>
    <row r="95" spans="1:104" hidden="1">
      <c r="A95" s="486"/>
      <c r="B95" s="486"/>
      <c r="C95" s="486"/>
      <c r="D95" s="486"/>
      <c r="E95" s="483"/>
      <c r="F95" s="483"/>
      <c r="G95" s="483"/>
      <c r="H95" s="38"/>
      <c r="I95" s="38"/>
      <c r="J95" s="38"/>
      <c r="K95" s="38"/>
      <c r="L95" s="38"/>
      <c r="R95" s="727">
        <f t="shared" si="44"/>
        <v>0</v>
      </c>
      <c r="T95" s="727">
        <f t="shared" si="45"/>
        <v>0</v>
      </c>
      <c r="V95">
        <f t="shared" si="46"/>
        <v>0</v>
      </c>
      <c r="Y95"/>
      <c r="Z95"/>
      <c r="BW95" s="242"/>
      <c r="BX95" s="242"/>
      <c r="CY95"/>
      <c r="CZ95"/>
    </row>
    <row r="96" spans="1:104" hidden="1">
      <c r="A96" s="486"/>
      <c r="B96" s="486"/>
      <c r="C96" s="486"/>
      <c r="D96" s="486"/>
      <c r="E96" s="483"/>
      <c r="F96" s="483"/>
      <c r="G96" s="483"/>
      <c r="I96" s="38"/>
      <c r="J96" s="38"/>
      <c r="K96" s="38"/>
      <c r="L96" s="38"/>
      <c r="R96" s="727">
        <f t="shared" si="44"/>
        <v>0</v>
      </c>
      <c r="T96" s="727">
        <f>IF(AND(C31="ikke relevant",U31="X"),X31*-1,0)</f>
        <v>0</v>
      </c>
      <c r="V96">
        <f>IF(AND(C31="ikke relevant",H31&gt;""),R31*-1,0)</f>
        <v>0</v>
      </c>
      <c r="Y96"/>
      <c r="Z96"/>
      <c r="BW96" s="242"/>
      <c r="BX96" s="242"/>
      <c r="CY96"/>
      <c r="CZ96"/>
    </row>
    <row r="97" spans="1:111" hidden="1">
      <c r="A97" s="486"/>
      <c r="B97" s="486"/>
      <c r="C97" s="486"/>
      <c r="D97" s="486"/>
      <c r="E97" s="483"/>
      <c r="F97" s="483"/>
      <c r="G97" s="483"/>
      <c r="I97" s="38"/>
      <c r="J97" s="38"/>
      <c r="K97" s="38"/>
      <c r="L97" s="38"/>
      <c r="R97" s="727">
        <f t="shared" si="44"/>
        <v>0</v>
      </c>
      <c r="T97" s="727">
        <f t="shared" si="45"/>
        <v>0</v>
      </c>
      <c r="V97">
        <f t="shared" si="46"/>
        <v>0</v>
      </c>
      <c r="Y97"/>
      <c r="Z97"/>
      <c r="BW97" s="242"/>
      <c r="BX97" s="242"/>
      <c r="CY97"/>
      <c r="CZ97"/>
    </row>
    <row r="98" spans="1:111" hidden="1">
      <c r="A98" s="486"/>
      <c r="B98" s="486"/>
      <c r="C98" s="486"/>
      <c r="D98" s="486"/>
      <c r="E98" s="483"/>
      <c r="F98" s="483"/>
      <c r="G98" s="483"/>
      <c r="I98" s="38"/>
      <c r="J98" s="38"/>
      <c r="K98" s="38"/>
      <c r="L98" s="38"/>
      <c r="R98" s="727">
        <f t="shared" si="44"/>
        <v>0</v>
      </c>
      <c r="T98" s="727">
        <f t="shared" si="45"/>
        <v>0</v>
      </c>
      <c r="V98">
        <f t="shared" si="46"/>
        <v>0</v>
      </c>
      <c r="Y98"/>
      <c r="Z98"/>
      <c r="AD98" s="4"/>
      <c r="AE98" s="226"/>
      <c r="AF98" s="226"/>
      <c r="AG98" s="226"/>
      <c r="AH98" s="226"/>
      <c r="CY98"/>
      <c r="CZ98"/>
      <c r="DF98" s="242"/>
      <c r="DG98" s="242"/>
    </row>
    <row r="99" spans="1:111" hidden="1">
      <c r="A99" s="432"/>
      <c r="B99" s="432"/>
      <c r="C99" s="432"/>
      <c r="D99" s="432"/>
      <c r="E99" s="115"/>
      <c r="F99" s="115"/>
      <c r="G99" s="115"/>
      <c r="I99" s="38"/>
      <c r="J99" s="38"/>
      <c r="K99" s="38"/>
      <c r="L99" s="38"/>
      <c r="R99" s="727">
        <f t="shared" si="44"/>
        <v>0</v>
      </c>
      <c r="T99" s="727">
        <f t="shared" si="45"/>
        <v>0</v>
      </c>
      <c r="V99">
        <f t="shared" si="46"/>
        <v>0</v>
      </c>
      <c r="Y99"/>
      <c r="Z99"/>
      <c r="AD99" s="4"/>
      <c r="AE99" s="226"/>
      <c r="AF99" s="226"/>
      <c r="AG99" s="226"/>
      <c r="AH99" s="226"/>
      <c r="CY99"/>
      <c r="CZ99"/>
      <c r="DF99" s="242"/>
      <c r="DG99" s="242"/>
    </row>
    <row r="100" spans="1:111" hidden="1">
      <c r="A100" s="432"/>
      <c r="B100" s="432"/>
      <c r="C100" s="432"/>
      <c r="D100" s="432"/>
      <c r="E100" s="115"/>
      <c r="F100" s="115"/>
      <c r="G100" s="115"/>
      <c r="I100" s="38"/>
      <c r="J100" s="38"/>
      <c r="K100" s="38"/>
      <c r="L100" s="38"/>
      <c r="R100" s="727">
        <f t="shared" si="44"/>
        <v>0</v>
      </c>
      <c r="T100" s="727">
        <f t="shared" si="45"/>
        <v>0</v>
      </c>
      <c r="V100">
        <f t="shared" si="46"/>
        <v>0</v>
      </c>
    </row>
    <row r="101" spans="1:111" hidden="1">
      <c r="A101" s="432"/>
      <c r="B101" s="432"/>
      <c r="C101" s="432"/>
      <c r="D101" s="432"/>
      <c r="E101" s="115"/>
      <c r="F101" s="115"/>
      <c r="G101" s="115"/>
      <c r="I101" s="38"/>
      <c r="J101" s="38"/>
      <c r="K101" s="38"/>
      <c r="L101" s="38"/>
      <c r="R101" s="727">
        <f t="shared" si="44"/>
        <v>0</v>
      </c>
      <c r="T101" s="727">
        <f t="shared" si="45"/>
        <v>0</v>
      </c>
      <c r="V101">
        <f t="shared" si="46"/>
        <v>0</v>
      </c>
    </row>
    <row r="102" spans="1:111" hidden="1">
      <c r="A102" s="432"/>
      <c r="B102" s="432"/>
      <c r="C102" s="432"/>
      <c r="D102" s="432"/>
      <c r="E102" s="432"/>
      <c r="F102" s="432"/>
      <c r="G102" s="432"/>
      <c r="I102" s="38"/>
      <c r="J102" s="38"/>
      <c r="K102" s="38"/>
      <c r="L102" s="38"/>
      <c r="R102" s="727">
        <f t="shared" si="44"/>
        <v>0</v>
      </c>
      <c r="T102" s="727">
        <f t="shared" si="45"/>
        <v>0</v>
      </c>
      <c r="V102">
        <f t="shared" si="46"/>
        <v>0</v>
      </c>
    </row>
    <row r="103" spans="1:111" hidden="1">
      <c r="A103" s="432"/>
      <c r="B103" s="432"/>
      <c r="C103" s="432"/>
      <c r="D103" s="432"/>
      <c r="I103" s="38"/>
      <c r="J103" s="38"/>
      <c r="K103" s="38"/>
      <c r="L103" s="38"/>
      <c r="R103" s="727">
        <f t="shared" si="44"/>
        <v>0</v>
      </c>
      <c r="T103" s="727">
        <f t="shared" si="45"/>
        <v>0</v>
      </c>
      <c r="V103">
        <f t="shared" si="46"/>
        <v>0</v>
      </c>
    </row>
    <row r="104" spans="1:111" hidden="1">
      <c r="I104" s="38"/>
      <c r="J104" s="38"/>
      <c r="K104" s="38"/>
      <c r="L104" s="432"/>
      <c r="R104" s="727">
        <f t="shared" si="44"/>
        <v>0</v>
      </c>
      <c r="T104" s="727">
        <f t="shared" si="45"/>
        <v>0</v>
      </c>
      <c r="V104">
        <f t="shared" si="46"/>
        <v>0</v>
      </c>
    </row>
    <row r="105" spans="1:111" hidden="1">
      <c r="I105" s="38"/>
      <c r="J105" s="38"/>
      <c r="K105" s="38"/>
      <c r="L105" s="432"/>
      <c r="R105" s="727">
        <f t="shared" si="44"/>
        <v>0</v>
      </c>
      <c r="T105" s="727">
        <f t="shared" si="45"/>
        <v>0</v>
      </c>
      <c r="V105">
        <f t="shared" si="46"/>
        <v>0</v>
      </c>
    </row>
    <row r="106" spans="1:111" hidden="1">
      <c r="I106" s="38"/>
      <c r="J106" s="38"/>
      <c r="K106" s="38"/>
      <c r="L106" s="432"/>
      <c r="R106" s="727">
        <f t="shared" si="44"/>
        <v>0</v>
      </c>
      <c r="T106" s="727">
        <f t="shared" si="45"/>
        <v>0</v>
      </c>
      <c r="V106">
        <f t="shared" si="46"/>
        <v>0</v>
      </c>
    </row>
    <row r="107" spans="1:111" hidden="1">
      <c r="I107" s="432"/>
      <c r="J107" s="38"/>
      <c r="K107" s="38"/>
      <c r="L107" s="432"/>
      <c r="R107" s="727">
        <f t="shared" si="44"/>
        <v>0</v>
      </c>
      <c r="T107" s="727">
        <f t="shared" si="45"/>
        <v>0</v>
      </c>
      <c r="V107">
        <f t="shared" si="46"/>
        <v>0</v>
      </c>
    </row>
    <row r="108" spans="1:111" ht="10" hidden="1" customHeight="1" thickBot="1">
      <c r="I108" s="432"/>
      <c r="J108" s="432"/>
      <c r="K108" s="432"/>
      <c r="L108" s="432"/>
      <c r="R108" s="727">
        <f t="shared" si="44"/>
        <v>0</v>
      </c>
      <c r="T108" s="727">
        <f>IF(AND(C43="ikke relevant",U43="X"),X43*-1,0)</f>
        <v>0</v>
      </c>
      <c r="V108">
        <f>IF(AND(C43="ikke relevant",H43&gt;""),R43*-1,0)</f>
        <v>0</v>
      </c>
    </row>
    <row r="109" spans="1:111" ht="17" hidden="1" thickBot="1">
      <c r="I109" s="432"/>
      <c r="J109" s="432"/>
      <c r="K109" s="432"/>
      <c r="L109" s="432"/>
      <c r="P109" t="s">
        <v>664</v>
      </c>
      <c r="R109" s="669">
        <f>SUM(R79:R108)</f>
        <v>0</v>
      </c>
      <c r="S109" s="669">
        <f>SUM(S79:S108)</f>
        <v>0</v>
      </c>
      <c r="T109" s="669">
        <f>SUM(T79:T108)</f>
        <v>0</v>
      </c>
      <c r="V109" s="669">
        <f>SUM(V79:V108)</f>
        <v>0</v>
      </c>
    </row>
    <row r="110" spans="1:111" hidden="1">
      <c r="I110" s="432"/>
      <c r="J110" s="432"/>
      <c r="K110" s="432"/>
      <c r="L110" s="432"/>
      <c r="R110" s="1030" t="s">
        <v>666</v>
      </c>
      <c r="T110" s="1030" t="s">
        <v>667</v>
      </c>
    </row>
    <row r="111" spans="1:111" hidden="1">
      <c r="I111" s="432"/>
      <c r="J111" s="432"/>
      <c r="K111" s="432"/>
      <c r="L111" s="432"/>
      <c r="R111" s="884"/>
      <c r="T111" s="884"/>
    </row>
    <row r="112" spans="1:111" hidden="1">
      <c r="R112" s="884"/>
      <c r="T112" s="884"/>
    </row>
    <row r="113" spans="18:20" hidden="1">
      <c r="R113" s="884"/>
      <c r="T113" s="884"/>
    </row>
    <row r="114" spans="18:20" hidden="1"/>
    <row r="115" spans="18:20" hidden="1"/>
    <row r="116" spans="18:20" hidden="1"/>
    <row r="117" spans="18:20" hidden="1"/>
    <row r="118" spans="18:20" hidden="1"/>
    <row r="119" spans="18:20" hidden="1"/>
    <row r="120" spans="18:20" hidden="1"/>
    <row r="121" spans="18:20" hidden="1"/>
    <row r="122" spans="18:20" hidden="1"/>
    <row r="123" spans="18:20" hidden="1"/>
    <row r="124" spans="18:20" hidden="1"/>
    <row r="125" spans="18:20" hidden="1"/>
    <row r="126" spans="18:20" hidden="1"/>
    <row r="127" spans="18:20" hidden="1"/>
    <row r="128" spans="18:20"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sheetData>
  <sheetProtection sheet="1" objects="1" scenarios="1"/>
  <mergeCells count="198">
    <mergeCell ref="A6:B6"/>
    <mergeCell ref="C6:D6"/>
    <mergeCell ref="E6:F6"/>
    <mergeCell ref="G6:H6"/>
    <mergeCell ref="A7:B7"/>
    <mergeCell ref="C7:D7"/>
    <mergeCell ref="E7:F7"/>
    <mergeCell ref="G7:H7"/>
    <mergeCell ref="A3:H3"/>
    <mergeCell ref="A4:B4"/>
    <mergeCell ref="C4:D4"/>
    <mergeCell ref="E4:F4"/>
    <mergeCell ref="G4:H4"/>
    <mergeCell ref="I4:J4"/>
    <mergeCell ref="A5:B5"/>
    <mergeCell ref="C5:D5"/>
    <mergeCell ref="E5:F5"/>
    <mergeCell ref="G5:H5"/>
    <mergeCell ref="FI8:GC8"/>
    <mergeCell ref="FI9:FL9"/>
    <mergeCell ref="FO9:FR9"/>
    <mergeCell ref="DO11:DV11"/>
    <mergeCell ref="FO11:FR11"/>
    <mergeCell ref="FS11:FT11"/>
    <mergeCell ref="GB11:GC11"/>
    <mergeCell ref="FY11:FZ11"/>
    <mergeCell ref="BC11:BF11"/>
    <mergeCell ref="BG11:BK11"/>
    <mergeCell ref="S11:X11"/>
    <mergeCell ref="I11:I13"/>
    <mergeCell ref="J11:J13"/>
    <mergeCell ref="FC10:FF10"/>
    <mergeCell ref="FG10:FJ10"/>
    <mergeCell ref="FK10:FX10"/>
    <mergeCell ref="DW11:ED11"/>
    <mergeCell ref="EE11:EH11"/>
    <mergeCell ref="EI11:EL11"/>
    <mergeCell ref="DS13:DV13"/>
    <mergeCell ref="A71:C71"/>
    <mergeCell ref="M46:X46"/>
    <mergeCell ref="M47:U47"/>
    <mergeCell ref="V47:X47"/>
    <mergeCell ref="M48:U48"/>
    <mergeCell ref="V48:X48"/>
    <mergeCell ref="M49:U49"/>
    <mergeCell ref="V49:X49"/>
    <mergeCell ref="M50:U50"/>
    <mergeCell ref="V50:X50"/>
    <mergeCell ref="A47:G47"/>
    <mergeCell ref="I47:K47"/>
    <mergeCell ref="A48:G48"/>
    <mergeCell ref="I48:K48"/>
    <mergeCell ref="A60:K60"/>
    <mergeCell ref="A61:B61"/>
    <mergeCell ref="C61:D61"/>
    <mergeCell ref="E61:G61"/>
    <mergeCell ref="H61:K61"/>
    <mergeCell ref="A62:B62"/>
    <mergeCell ref="C62:D62"/>
    <mergeCell ref="E62:G62"/>
    <mergeCell ref="E42:G42"/>
    <mergeCell ref="E43:G43"/>
    <mergeCell ref="A44:I44"/>
    <mergeCell ref="A46:G46"/>
    <mergeCell ref="I46:K46"/>
    <mergeCell ref="C63:D63"/>
    <mergeCell ref="E63:G63"/>
    <mergeCell ref="I63:K63"/>
    <mergeCell ref="A51:G51"/>
    <mergeCell ref="I51:K51"/>
    <mergeCell ref="A49:G49"/>
    <mergeCell ref="I49:K49"/>
    <mergeCell ref="A50:G50"/>
    <mergeCell ref="I50:K50"/>
    <mergeCell ref="A52:H52"/>
    <mergeCell ref="I52:K52"/>
    <mergeCell ref="A54:H54"/>
    <mergeCell ref="I54:K54"/>
    <mergeCell ref="I55:K55"/>
    <mergeCell ref="I65:K65"/>
    <mergeCell ref="A66:G66"/>
    <mergeCell ref="I66:K66"/>
    <mergeCell ref="A59:G59"/>
    <mergeCell ref="I59:K59"/>
    <mergeCell ref="A53:H53"/>
    <mergeCell ref="I53:K53"/>
    <mergeCell ref="A70:C70"/>
    <mergeCell ref="M56:U56"/>
    <mergeCell ref="A57:G58"/>
    <mergeCell ref="I57:K57"/>
    <mergeCell ref="M57:U57"/>
    <mergeCell ref="I58:K58"/>
    <mergeCell ref="A64:B64"/>
    <mergeCell ref="C64:D64"/>
    <mergeCell ref="E64:G64"/>
    <mergeCell ref="I64:K64"/>
    <mergeCell ref="A65:B65"/>
    <mergeCell ref="C65:D65"/>
    <mergeCell ref="E65:G65"/>
    <mergeCell ref="I62:K62"/>
    <mergeCell ref="A63:B63"/>
    <mergeCell ref="A69:C69"/>
    <mergeCell ref="E41:G41"/>
    <mergeCell ref="A8:X8"/>
    <mergeCell ref="E16:G16"/>
    <mergeCell ref="E17:G17"/>
    <mergeCell ref="E18:G18"/>
    <mergeCell ref="E19:G19"/>
    <mergeCell ref="B2:E2"/>
    <mergeCell ref="E9:G9"/>
    <mergeCell ref="K9:L9"/>
    <mergeCell ref="A10:R10"/>
    <mergeCell ref="A9:D9"/>
    <mergeCell ref="K13:R13"/>
    <mergeCell ref="Q11:Q12"/>
    <mergeCell ref="R11:R12"/>
    <mergeCell ref="E11:G13"/>
    <mergeCell ref="K11:L11"/>
    <mergeCell ref="N11:N12"/>
    <mergeCell ref="O11:O12"/>
    <mergeCell ref="A12:D13"/>
    <mergeCell ref="H12:H13"/>
    <mergeCell ref="E14:G14"/>
    <mergeCell ref="E15:G15"/>
    <mergeCell ref="P11:P12"/>
    <mergeCell ref="S10:X10"/>
    <mergeCell ref="E20:G20"/>
    <mergeCell ref="E21:G21"/>
    <mergeCell ref="E39:G39"/>
    <mergeCell ref="E40:G40"/>
    <mergeCell ref="E28:G28"/>
    <mergeCell ref="E29:G29"/>
    <mergeCell ref="E30:G30"/>
    <mergeCell ref="E31:G31"/>
    <mergeCell ref="E32:G32"/>
    <mergeCell ref="E33:G33"/>
    <mergeCell ref="E22:G22"/>
    <mergeCell ref="E23:G23"/>
    <mergeCell ref="E24:G24"/>
    <mergeCell ref="E25:G25"/>
    <mergeCell ref="E26:G26"/>
    <mergeCell ref="E27:G27"/>
    <mergeCell ref="E34:G34"/>
    <mergeCell ref="E35:G35"/>
    <mergeCell ref="E36:G36"/>
    <mergeCell ref="E38:G38"/>
    <mergeCell ref="E37:G37"/>
    <mergeCell ref="AA11:AE11"/>
    <mergeCell ref="AG11:AK11"/>
    <mergeCell ref="S13:U13"/>
    <mergeCell ref="V13:X13"/>
    <mergeCell ref="BQ11:BU11"/>
    <mergeCell ref="BV11:BZ11"/>
    <mergeCell ref="R110:R113"/>
    <mergeCell ref="T110:T113"/>
    <mergeCell ref="M51:X51"/>
    <mergeCell ref="M52:U52"/>
    <mergeCell ref="V52:X52"/>
    <mergeCell ref="M53:U53"/>
    <mergeCell ref="V53:X53"/>
    <mergeCell ref="M54:U54"/>
    <mergeCell ref="V54:X54"/>
    <mergeCell ref="M55:U55"/>
    <mergeCell ref="V55:X55"/>
    <mergeCell ref="V56:X56"/>
    <mergeCell ref="V57:X57"/>
    <mergeCell ref="GH11:GI11"/>
    <mergeCell ref="EA13:EC13"/>
    <mergeCell ref="EG13:EH13"/>
    <mergeCell ref="EK13:EL13"/>
    <mergeCell ref="EO13:EP13"/>
    <mergeCell ref="ES13:ET13"/>
    <mergeCell ref="EW13:EX13"/>
    <mergeCell ref="FA13:FB13"/>
    <mergeCell ref="FE13:FF13"/>
    <mergeCell ref="FI13:FJ13"/>
    <mergeCell ref="FM13:FN13"/>
    <mergeCell ref="FW13:FX13"/>
    <mergeCell ref="EM11:EP11"/>
    <mergeCell ref="EQ11:ET11"/>
    <mergeCell ref="EU11:EX11"/>
    <mergeCell ref="EY11:FB11"/>
    <mergeCell ref="FC11:FF11"/>
    <mergeCell ref="FG11:FJ11"/>
    <mergeCell ref="FK11:FN11"/>
    <mergeCell ref="FU11:FX11"/>
    <mergeCell ref="FQ13:FR13"/>
    <mergeCell ref="CD11:CH11"/>
    <mergeCell ref="CI11:CM11"/>
    <mergeCell ref="CN11:CR11"/>
    <mergeCell ref="CS11:CW11"/>
    <mergeCell ref="AL11:AP11"/>
    <mergeCell ref="AQ11:AU11"/>
    <mergeCell ref="AV11:AZ11"/>
    <mergeCell ref="GD11:GE11"/>
    <mergeCell ref="GF11:GG11"/>
    <mergeCell ref="BL11:BP11"/>
    <mergeCell ref="DA11:DE11"/>
  </mergeCells>
  <phoneticPr fontId="5" type="noConversion"/>
  <conditionalFormatting sqref="A14:H43">
    <cfRule type="expression" dxfId="745" priority="48" stopIfTrue="1">
      <formula>OR($C14="Orlov")</formula>
    </cfRule>
    <cfRule type="expression" dxfId="744" priority="42">
      <formula>OR($C14="ekskursion")</formula>
    </cfRule>
    <cfRule type="expression" dxfId="743" priority="35">
      <formula>OR($C14="skema 2")</formula>
    </cfRule>
    <cfRule type="expression" dxfId="742" priority="36">
      <formula>OR($C14="Skema 3")</formula>
    </cfRule>
    <cfRule type="expression" dxfId="741" priority="37">
      <formula>OR($C14="Skema 4")</formula>
    </cfRule>
    <cfRule type="expression" dxfId="740" priority="38">
      <formula>OR($C14="Ikke relevant")</formula>
    </cfRule>
    <cfRule type="expression" dxfId="739" priority="39">
      <formula>OR($C14="pæd.dag")</formula>
    </cfRule>
    <cfRule type="expression" dxfId="738" priority="40">
      <formula>OR($C14="nul-dag")</formula>
    </cfRule>
    <cfRule type="expression" dxfId="737" priority="41">
      <formula>OR($C14="SH-dag")</formula>
    </cfRule>
    <cfRule type="expression" dxfId="736" priority="47">
      <formula>OR($C14="weekend")</formula>
    </cfRule>
    <cfRule type="expression" dxfId="735" priority="46">
      <formula>OR($C14="feriedag")</formula>
    </cfRule>
    <cfRule type="expression" dxfId="734" priority="45">
      <formula>OR($C14="fagdag")</formula>
    </cfRule>
    <cfRule type="expression" dxfId="733" priority="44">
      <formula>OR($C14="emnedag")</formula>
    </cfRule>
    <cfRule type="expression" dxfId="732" priority="34">
      <formula>OR($C14="Skema 1")</formula>
    </cfRule>
    <cfRule type="expression" dxfId="731" priority="43">
      <formula>OR($C14="lejrskole")</formula>
    </cfRule>
  </conditionalFormatting>
  <conditionalFormatting sqref="E25">
    <cfRule type="expression" dxfId="730" priority="55">
      <formula>OR($D24="fagdag")</formula>
    </cfRule>
    <cfRule type="expression" dxfId="729" priority="52">
      <formula>OR($D24="ekskursion")</formula>
    </cfRule>
    <cfRule type="expression" dxfId="728" priority="51">
      <formula>OR($D24="SH-dag")</formula>
    </cfRule>
    <cfRule type="expression" dxfId="727" priority="50">
      <formula>OR($D24="nul-dag")</formula>
    </cfRule>
    <cfRule type="expression" dxfId="726" priority="53">
      <formula>OR($D24="lejrskole")</formula>
    </cfRule>
    <cfRule type="expression" dxfId="725" priority="54">
      <formula>OR($D24="emnedag")</formula>
    </cfRule>
    <cfRule type="expression" dxfId="724" priority="56">
      <formula>OR($D24="feriedag")</formula>
    </cfRule>
    <cfRule type="expression" dxfId="723" priority="57">
      <formula>OR($D24="weekend")</formula>
    </cfRule>
    <cfRule type="expression" dxfId="722" priority="58" stopIfTrue="1">
      <formula>OR($D24="skoledag")</formula>
    </cfRule>
    <cfRule type="expression" dxfId="721" priority="59">
      <formula>OR($D24="Ikke relevant")</formula>
    </cfRule>
    <cfRule type="expression" dxfId="720" priority="49">
      <formula>OR($D24="pæd.dag")</formula>
    </cfRule>
  </conditionalFormatting>
  <conditionalFormatting sqref="H62:H65">
    <cfRule type="expression" dxfId="719" priority="1">
      <formula>OR($A62&gt;0,)</formula>
    </cfRule>
  </conditionalFormatting>
  <conditionalFormatting sqref="I62:I65">
    <cfRule type="expression" dxfId="718" priority="2">
      <formula>OR($C62&gt;0,)</formula>
    </cfRule>
  </conditionalFormatting>
  <conditionalFormatting sqref="K14:K43">
    <cfRule type="expression" dxfId="717" priority="31">
      <formula>OR($C14="Pæd.dag",)</formula>
    </cfRule>
  </conditionalFormatting>
  <conditionalFormatting sqref="K14:L43">
    <cfRule type="expression" dxfId="716" priority="33">
      <formula>OR($C14="Ekskursion",)</formula>
    </cfRule>
    <cfRule type="expression" dxfId="715" priority="32">
      <formula>OR($C14="Lejrskole",)</formula>
    </cfRule>
  </conditionalFormatting>
  <conditionalFormatting sqref="K14:M43">
    <cfRule type="expression" dxfId="714" priority="30">
      <formula>OR($C14="emnedag",)</formula>
    </cfRule>
    <cfRule type="expression" dxfId="713" priority="29">
      <formula>OR($C14="fagdag",)</formula>
    </cfRule>
  </conditionalFormatting>
  <conditionalFormatting sqref="R14:R43">
    <cfRule type="expression" dxfId="712" priority="60">
      <formula>OR($H14&gt;"0",)</formula>
    </cfRule>
  </conditionalFormatting>
  <conditionalFormatting sqref="V14:V43">
    <cfRule type="expression" dxfId="711" priority="11">
      <formula>OR($S14="X",)</formula>
    </cfRule>
  </conditionalFormatting>
  <conditionalFormatting sqref="V53:X56">
    <cfRule type="expression" dxfId="710" priority="3">
      <formula>OR($M53&gt;0,)</formula>
    </cfRule>
  </conditionalFormatting>
  <conditionalFormatting sqref="W14:W43">
    <cfRule type="expression" dxfId="709" priority="9">
      <formula>OR($T14="X",)</formula>
    </cfRule>
  </conditionalFormatting>
  <conditionalFormatting sqref="X14:X43">
    <cfRule type="expression" dxfId="708" priority="10">
      <formula>OR($U14="X",)</formula>
    </cfRule>
  </conditionalFormatting>
  <dataValidations count="1">
    <dataValidation type="list" allowBlank="1" showInputMessage="1" showErrorMessage="1" sqref="S14:U43 A62:D65" xr:uid="{EDE9D3BB-3F35-2747-835E-B54B86549652}">
      <formula1>$W$1:$W$2</formula1>
    </dataValidation>
  </dataValidations>
  <hyperlinks>
    <hyperlink ref="E4:F4" location="Arbejdstidsoversigt!A19" display="Arbejdstids-oversigt" xr:uid="{8914E971-19D6-F84F-85E2-853C54DAC98D}"/>
    <hyperlink ref="G4:H4" location="Opgørelse!B12" display="Opgørelse" xr:uid="{33177AC1-75DB-6D47-988D-A5B5E2913328}"/>
    <hyperlink ref="A5:B5" location="August!A12" display="August" xr:uid="{9FAC34CA-2972-C04B-BDFC-D19973E5FBB0}"/>
    <hyperlink ref="C5:D5" location="September!A8" display="September" xr:uid="{9660C5C4-36A0-D347-BE39-1B8B32FEAAD1}"/>
    <hyperlink ref="E5:F5" location="Oktober!A8" display="Oktober" xr:uid="{944546B2-60A1-E74C-967C-FB50F3398D73}"/>
    <hyperlink ref="G5:H5" location="November!A8" display="November" xr:uid="{B4EE51B1-E433-A747-A68C-21D874EC7E57}"/>
    <hyperlink ref="A6:B6" location="December!A8" display="December" xr:uid="{974A4DCE-4E5F-1B42-8B4F-C9EDD5A0FF87}"/>
    <hyperlink ref="C6:D6" location="Januar!A8" display="Januar" xr:uid="{C5985639-7AF9-2D45-80C3-E11D3B7F4CEA}"/>
    <hyperlink ref="E6:F6" location="Februar!A8" display="Februar" xr:uid="{ADEEAC86-5C02-894F-8637-E22F9F8592C6}"/>
    <hyperlink ref="A7:B7" location="April!A8" display="April" xr:uid="{68DCC91D-65D2-BE48-96B0-C9E1FB5D82E1}"/>
    <hyperlink ref="C7:D7" location="Maj!A8" display="Maj" xr:uid="{FBD05C87-32A8-6D4C-BEB2-9273BB4B7A80}"/>
    <hyperlink ref="E7:F7" location="Juni!A8" display="Juni" xr:uid="{EBD91B5A-0F6D-DD42-A009-D05F66330190}"/>
    <hyperlink ref="G7:H7" location="Juli!A8" display="Juli" xr:uid="{3B8D4089-022C-7F46-AC2A-AA083641CFC8}"/>
    <hyperlink ref="G6:H6" location="Marts!A8" display="Marts" xr:uid="{40E421CF-10D2-1D41-A53E-271E721A4548}"/>
    <hyperlink ref="I4:J4" location="Stamoplysninger!E18" display="Stamoplysninger" xr:uid="{0913C35C-CBFF-7C46-BA00-D754C180EF21}"/>
    <hyperlink ref="C4:D4" location="Opgaver!A8" display="Opgaver" xr:uid="{97709F13-0A4A-1A41-8630-02D241359AB3}"/>
    <hyperlink ref="A4:B4" location="Skemaoplysninger!A20" display="Skemaoplysninger" xr:uid="{414128F6-21D1-1A4A-ACF1-785B89F3C4F5}"/>
  </hyperlinks>
  <pageMargins left="0.7" right="0.7" top="0.75" bottom="0.75" header="0.3" footer="0.3"/>
  <pageSetup paperSize="9" scale="59" orientation="landscape" horizontalDpi="0" verticalDpi="0"/>
  <drawing r:id="rId1"/>
  <legacyDrawing r:id="rId2"/>
  <extLst>
    <ext xmlns:x14="http://schemas.microsoft.com/office/spreadsheetml/2009/9/main" uri="{CCE6A557-97BC-4b89-ADB6-D9C93CAAB3DF}">
      <x14:dataValidations xmlns:xm="http://schemas.microsoft.com/office/excel/2006/main" count="1">
        <x14:dataValidation type="list" allowBlank="1" showInputMessage="1" xr:uid="{2C9AEEEB-F58D-5246-BA7F-BF5F3C7C9A8D}">
          <x14:formula1>
            <xm:f>August!$A$94:$A$108</xm:f>
          </x14:formula1>
          <xm:sqref>C14:C43</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7B7D6-73EB-D74A-9E9B-2AE6D07C8FA1}">
  <sheetPr>
    <tabColor theme="4" tint="-0.249977111117893"/>
    <pageSetUpPr fitToPage="1"/>
  </sheetPr>
  <dimension ref="A1:GP122"/>
  <sheetViews>
    <sheetView topLeftCell="E12" zoomScaleNormal="100" workbookViewId="0">
      <selection activeCell="E28" sqref="E28:G28"/>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5" width="10.83203125" hidden="1" customWidth="1"/>
    <col min="186" max="214"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38"/>
      <c r="Y1" s="240"/>
      <c r="Z1" s="87"/>
      <c r="AB1" s="87"/>
      <c r="AC1" s="87"/>
      <c r="AH1" s="87"/>
      <c r="AI1" s="87"/>
      <c r="CX1" s="242"/>
      <c r="CZ1"/>
    </row>
    <row r="2" spans="1:198" ht="20">
      <c r="A2" s="89">
        <v>12</v>
      </c>
      <c r="B2" s="1252"/>
      <c r="C2" s="1252"/>
      <c r="D2" s="1252"/>
      <c r="E2" s="1252"/>
      <c r="F2" s="87"/>
      <c r="G2" s="87"/>
      <c r="H2" s="273"/>
      <c r="I2" s="272"/>
      <c r="J2" s="225"/>
      <c r="K2" s="225"/>
      <c r="L2" s="225"/>
      <c r="M2" s="225"/>
      <c r="N2" s="225"/>
      <c r="O2" s="225"/>
      <c r="P2" s="87"/>
      <c r="Q2" s="87"/>
      <c r="R2" s="87"/>
      <c r="S2" s="87"/>
      <c r="T2" s="87"/>
      <c r="U2" s="87"/>
      <c r="V2" s="87"/>
      <c r="W2" s="120" t="s">
        <v>31</v>
      </c>
      <c r="X2" s="120" t="s">
        <v>31</v>
      </c>
      <c r="Y2"/>
      <c r="Z2" s="87"/>
      <c r="AA2" s="87"/>
      <c r="AE2" s="87"/>
      <c r="AG2" s="87"/>
      <c r="CV2" s="242"/>
      <c r="CW2" s="242"/>
      <c r="CY2"/>
      <c r="CZ2"/>
    </row>
    <row r="3" spans="1:198" ht="24" customHeight="1" thickBot="1">
      <c r="A3" s="864" t="s">
        <v>689</v>
      </c>
      <c r="B3" s="864"/>
      <c r="C3" s="864"/>
      <c r="D3" s="864"/>
      <c r="E3" s="864"/>
      <c r="F3" s="864"/>
      <c r="G3" s="864"/>
      <c r="H3" s="864"/>
      <c r="I3" s="723"/>
      <c r="J3" s="723"/>
      <c r="K3" s="723"/>
      <c r="L3" s="723"/>
      <c r="M3" s="723"/>
      <c r="N3" s="723"/>
      <c r="O3" s="723"/>
      <c r="P3" s="723"/>
      <c r="Q3" s="723"/>
      <c r="R3" s="723"/>
      <c r="S3" s="723"/>
      <c r="T3" s="723"/>
      <c r="Y3"/>
      <c r="Z3"/>
      <c r="AP3" s="38"/>
      <c r="CY3"/>
      <c r="CZ3"/>
    </row>
    <row r="4" spans="1:198" ht="50" customHeight="1" thickBot="1">
      <c r="A4" s="1226" t="s">
        <v>691</v>
      </c>
      <c r="B4" s="1227"/>
      <c r="C4" s="867" t="s">
        <v>495</v>
      </c>
      <c r="D4" s="868"/>
      <c r="E4" s="869" t="s">
        <v>688</v>
      </c>
      <c r="F4" s="870"/>
      <c r="G4" s="965" t="s">
        <v>367</v>
      </c>
      <c r="H4" s="966"/>
      <c r="I4" s="871" t="s">
        <v>687</v>
      </c>
      <c r="J4" s="1018"/>
      <c r="K4" s="628"/>
      <c r="Y4"/>
      <c r="Z4"/>
      <c r="CY4"/>
      <c r="CZ4"/>
    </row>
    <row r="5" spans="1:198" ht="50" customHeight="1" thickBot="1">
      <c r="A5" s="873" t="s">
        <v>231</v>
      </c>
      <c r="B5" s="873"/>
      <c r="C5" s="1228" t="s">
        <v>233</v>
      </c>
      <c r="D5" s="1228"/>
      <c r="E5" s="873" t="s">
        <v>234</v>
      </c>
      <c r="F5" s="873"/>
      <c r="G5" s="873" t="s">
        <v>235</v>
      </c>
      <c r="H5" s="873"/>
      <c r="Y5"/>
      <c r="Z5"/>
      <c r="CY5"/>
      <c r="CZ5"/>
    </row>
    <row r="6" spans="1:198" ht="50" customHeight="1" thickBot="1">
      <c r="A6" s="873" t="s">
        <v>279</v>
      </c>
      <c r="B6" s="873"/>
      <c r="C6" s="873" t="s">
        <v>280</v>
      </c>
      <c r="D6" s="873"/>
      <c r="E6" s="873" t="s">
        <v>281</v>
      </c>
      <c r="F6" s="873"/>
      <c r="G6" s="873" t="s">
        <v>282</v>
      </c>
      <c r="H6" s="873"/>
      <c r="Y6"/>
      <c r="Z6"/>
      <c r="CY6"/>
      <c r="CZ6"/>
    </row>
    <row r="7" spans="1:198" ht="50" customHeight="1" thickBot="1">
      <c r="A7" s="873" t="s">
        <v>283</v>
      </c>
      <c r="B7" s="873"/>
      <c r="C7" s="873" t="s">
        <v>284</v>
      </c>
      <c r="D7" s="873"/>
      <c r="E7" s="873" t="s">
        <v>285</v>
      </c>
      <c r="F7" s="873"/>
      <c r="G7" s="873" t="s">
        <v>286</v>
      </c>
      <c r="H7" s="873"/>
      <c r="Y7"/>
      <c r="Z7"/>
      <c r="CY7"/>
      <c r="CZ7"/>
    </row>
    <row r="8" spans="1:198" ht="17" thickBot="1">
      <c r="A8" s="1273" t="s">
        <v>306</v>
      </c>
      <c r="B8" s="1274"/>
      <c r="C8" s="1274"/>
      <c r="D8" s="1274"/>
      <c r="E8" s="1274"/>
      <c r="F8" s="1274"/>
      <c r="G8" s="1274"/>
      <c r="H8" s="1274"/>
      <c r="I8" s="1274"/>
      <c r="J8" s="1274"/>
      <c r="K8" s="1274"/>
      <c r="L8" s="1274"/>
      <c r="M8" s="1274"/>
      <c r="N8" s="1274"/>
      <c r="O8" s="1274"/>
      <c r="P8" s="1274"/>
      <c r="Q8" s="1274"/>
      <c r="R8" s="1274"/>
      <c r="S8" s="1274"/>
      <c r="T8" s="1274"/>
      <c r="U8" s="1274"/>
      <c r="V8" s="1274"/>
      <c r="W8" s="1274"/>
      <c r="X8" s="1275"/>
      <c r="Y8" s="87"/>
      <c r="Z8"/>
      <c r="AC8" s="87"/>
      <c r="AD8" s="87"/>
      <c r="AF8" s="87"/>
      <c r="CT8" s="242"/>
      <c r="CU8" s="242"/>
      <c r="CY8"/>
      <c r="CZ8"/>
      <c r="FI8" s="1179" t="s">
        <v>584</v>
      </c>
      <c r="FJ8" s="1180"/>
      <c r="FK8" s="1180"/>
      <c r="FL8" s="1180"/>
      <c r="FM8" s="1180"/>
      <c r="FN8" s="1180"/>
      <c r="FO8" s="1180"/>
      <c r="FP8" s="1180"/>
      <c r="FQ8" s="1180"/>
      <c r="FR8" s="1180"/>
      <c r="FS8" s="1180"/>
      <c r="FT8" s="1180"/>
      <c r="FU8" s="1180"/>
      <c r="FV8" s="1180"/>
      <c r="FW8" s="1180"/>
      <c r="FX8" s="1180"/>
      <c r="FY8" s="1180"/>
      <c r="FZ8" s="1180"/>
      <c r="GA8" s="1180"/>
      <c r="GB8" s="1180"/>
      <c r="GC8" s="1181"/>
    </row>
    <row r="9" spans="1:198" ht="254" customHeight="1" thickBot="1">
      <c r="A9" s="1066" t="s">
        <v>421</v>
      </c>
      <c r="B9" s="1067"/>
      <c r="C9" s="1067"/>
      <c r="D9" s="1067"/>
      <c r="E9" s="1068" t="s">
        <v>307</v>
      </c>
      <c r="F9" s="1068"/>
      <c r="G9" s="1068"/>
      <c r="H9" s="274" t="s">
        <v>404</v>
      </c>
      <c r="I9" s="425"/>
      <c r="J9" s="425"/>
      <c r="K9" s="1078" t="s">
        <v>496</v>
      </c>
      <c r="L9" s="1078"/>
      <c r="M9" s="471" t="s">
        <v>444</v>
      </c>
      <c r="N9" s="471" t="s">
        <v>422</v>
      </c>
      <c r="O9" s="471" t="s">
        <v>423</v>
      </c>
      <c r="P9" s="472" t="s">
        <v>445</v>
      </c>
      <c r="Q9" s="472" t="s">
        <v>305</v>
      </c>
      <c r="R9" s="472" t="s">
        <v>424</v>
      </c>
      <c r="S9" s="473" t="s">
        <v>451</v>
      </c>
      <c r="T9" s="473" t="s">
        <v>425</v>
      </c>
      <c r="U9" s="473" t="s">
        <v>426</v>
      </c>
      <c r="V9" s="474" t="s">
        <v>446</v>
      </c>
      <c r="W9" s="474" t="s">
        <v>393</v>
      </c>
      <c r="X9" s="475" t="s">
        <v>392</v>
      </c>
      <c r="Y9" s="240"/>
      <c r="Z9" s="87"/>
      <c r="AB9" s="87"/>
      <c r="AC9" s="87"/>
      <c r="AH9" s="87"/>
      <c r="AI9" s="87"/>
      <c r="CX9" s="242"/>
      <c r="CZ9"/>
      <c r="FI9" s="837" t="s">
        <v>582</v>
      </c>
      <c r="FJ9" s="837"/>
      <c r="FK9" s="837"/>
      <c r="FL9" s="837"/>
      <c r="FM9" t="s">
        <v>575</v>
      </c>
      <c r="FO9" s="837" t="s">
        <v>581</v>
      </c>
      <c r="FP9" s="837"/>
      <c r="FQ9" s="837"/>
      <c r="FR9" s="837"/>
    </row>
    <row r="10" spans="1:198" ht="26" customHeight="1" thickBot="1">
      <c r="A10" s="1194" t="str">
        <f>""&amp;A12&amp;" måneds kalender for: "&amp;Stamoplysninger!E13&amp;". Måneden vedr. normperioden: "&amp;Stamoplysninger!E16&amp;" - "&amp;Stamoplysninger!G16&amp;"."</f>
        <v>December måneds kalender for: Beate Simonsen. Måneden vedr. normperioden:  - .</v>
      </c>
      <c r="B10" s="1195"/>
      <c r="C10" s="1195"/>
      <c r="D10" s="1195"/>
      <c r="E10" s="1195"/>
      <c r="F10" s="1195"/>
      <c r="G10" s="1195"/>
      <c r="H10" s="1195"/>
      <c r="I10" s="1195"/>
      <c r="J10" s="1195"/>
      <c r="K10" s="1195"/>
      <c r="L10" s="1195"/>
      <c r="M10" s="1195"/>
      <c r="N10" s="1195"/>
      <c r="O10" s="1195"/>
      <c r="P10" s="1195"/>
      <c r="Q10" s="1195"/>
      <c r="R10" s="1196"/>
      <c r="S10" s="1073" t="s">
        <v>302</v>
      </c>
      <c r="T10" s="1074"/>
      <c r="U10" s="1074"/>
      <c r="V10" s="1074"/>
      <c r="W10" s="1074"/>
      <c r="X10" s="1075"/>
      <c r="Y10" s="240"/>
      <c r="Z10" s="87"/>
      <c r="AB10" s="87"/>
      <c r="AC10" s="87"/>
      <c r="AH10" s="87"/>
      <c r="AI10" s="87"/>
      <c r="CX10" s="242"/>
      <c r="CZ10"/>
      <c r="DV10" t="s">
        <v>665</v>
      </c>
      <c r="ED10" t="s">
        <v>665</v>
      </c>
      <c r="FC10" s="1208" t="s">
        <v>654</v>
      </c>
      <c r="FD10" s="1208"/>
      <c r="FE10" s="1208"/>
      <c r="FF10" s="1208"/>
      <c r="FG10" s="1208" t="s">
        <v>654</v>
      </c>
      <c r="FH10" s="1208"/>
      <c r="FI10" s="1208"/>
      <c r="FJ10" s="1208"/>
      <c r="FK10" s="1182" t="s">
        <v>569</v>
      </c>
      <c r="FL10" s="1182"/>
      <c r="FM10" s="1182"/>
      <c r="FN10" s="1182"/>
      <c r="FO10" s="1182"/>
      <c r="FP10" s="1182"/>
      <c r="FQ10" s="1182"/>
      <c r="FR10" s="1182"/>
      <c r="FS10" s="1182"/>
      <c r="FT10" s="1182"/>
      <c r="FU10" s="1182"/>
      <c r="FV10" s="1182"/>
      <c r="FW10" s="1182"/>
      <c r="FX10" s="1182"/>
      <c r="GA10" t="s">
        <v>583</v>
      </c>
      <c r="GB10" t="s">
        <v>576</v>
      </c>
      <c r="GD10" t="s">
        <v>577</v>
      </c>
      <c r="GF10" t="s">
        <v>578</v>
      </c>
      <c r="GH10" s="511" t="s">
        <v>579</v>
      </c>
    </row>
    <row r="11" spans="1:198" ht="47" customHeight="1">
      <c r="A11" s="320">
        <f>August!A12</f>
        <v>2026</v>
      </c>
      <c r="B11" s="236"/>
      <c r="C11" s="237"/>
      <c r="D11" s="238"/>
      <c r="E11" s="1199" t="s">
        <v>455</v>
      </c>
      <c r="F11" s="1200"/>
      <c r="G11" s="1201"/>
      <c r="H11" s="317" t="s">
        <v>674</v>
      </c>
      <c r="I11" s="1031" t="s">
        <v>452</v>
      </c>
      <c r="J11" s="1032" t="s">
        <v>470</v>
      </c>
      <c r="K11" s="1197" t="s">
        <v>299</v>
      </c>
      <c r="L11" s="1198"/>
      <c r="M11" s="318" t="s">
        <v>300</v>
      </c>
      <c r="N11" s="1047" t="s">
        <v>435</v>
      </c>
      <c r="O11" s="1047" t="s">
        <v>304</v>
      </c>
      <c r="P11" s="1047" t="s">
        <v>443</v>
      </c>
      <c r="Q11" s="1047" t="s">
        <v>381</v>
      </c>
      <c r="R11" s="1215" t="s">
        <v>497</v>
      </c>
      <c r="S11" s="1223" t="s">
        <v>301</v>
      </c>
      <c r="T11" s="1224"/>
      <c r="U11" s="1224"/>
      <c r="V11" s="1224"/>
      <c r="W11" s="1224"/>
      <c r="X11" s="1225"/>
      <c r="Y11" s="209"/>
      <c r="Z11" s="209"/>
      <c r="AA11" s="1049" t="s">
        <v>258</v>
      </c>
      <c r="AB11" s="1049"/>
      <c r="AC11" s="1049"/>
      <c r="AD11" s="1049"/>
      <c r="AE11" s="1049"/>
      <c r="AF11" s="206"/>
      <c r="AG11" s="1049" t="s">
        <v>219</v>
      </c>
      <c r="AH11" s="1049"/>
      <c r="AI11" s="1049"/>
      <c r="AJ11" s="1049"/>
      <c r="AK11" s="1049"/>
      <c r="AL11" s="1049" t="s">
        <v>220</v>
      </c>
      <c r="AM11" s="1049"/>
      <c r="AN11" s="1049"/>
      <c r="AO11" s="1049"/>
      <c r="AP11" s="1049"/>
      <c r="AQ11" s="1049" t="s">
        <v>221</v>
      </c>
      <c r="AR11" s="1049"/>
      <c r="AS11" s="1049"/>
      <c r="AT11" s="1049"/>
      <c r="AU11" s="1049"/>
      <c r="AV11" s="1049" t="s">
        <v>222</v>
      </c>
      <c r="AW11" s="1049"/>
      <c r="AX11" s="1049"/>
      <c r="AY11" s="1049"/>
      <c r="AZ11" s="1049"/>
      <c r="BA11" s="293"/>
      <c r="BB11" s="206"/>
      <c r="BC11" s="1049" t="s">
        <v>261</v>
      </c>
      <c r="BD11" s="1049"/>
      <c r="BE11" s="1049"/>
      <c r="BF11" s="1049"/>
      <c r="BG11" s="1049" t="s">
        <v>224</v>
      </c>
      <c r="BH11" s="1049"/>
      <c r="BI11" s="1049"/>
      <c r="BJ11" s="1049"/>
      <c r="BK11" s="1049"/>
      <c r="BL11" s="1049" t="s">
        <v>225</v>
      </c>
      <c r="BM11" s="1049"/>
      <c r="BN11" s="1049"/>
      <c r="BO11" s="1049"/>
      <c r="BP11" s="1049"/>
      <c r="BQ11" s="1049" t="s">
        <v>226</v>
      </c>
      <c r="BR11" s="1049"/>
      <c r="BS11" s="1049"/>
      <c r="BT11" s="1049"/>
      <c r="BU11" s="1049"/>
      <c r="BV11" s="1049" t="s">
        <v>227</v>
      </c>
      <c r="BW11" s="1049"/>
      <c r="BX11" s="1049"/>
      <c r="BY11" s="1049"/>
      <c r="BZ11" s="1049"/>
      <c r="CD11" s="1049" t="s">
        <v>262</v>
      </c>
      <c r="CE11" s="1049"/>
      <c r="CF11" s="1049"/>
      <c r="CG11" s="1049"/>
      <c r="CH11" s="1049"/>
      <c r="CI11" s="1049" t="s">
        <v>264</v>
      </c>
      <c r="CJ11" s="1049"/>
      <c r="CK11" s="1049"/>
      <c r="CL11" s="1049"/>
      <c r="CM11" s="1049"/>
      <c r="CN11" s="1049" t="s">
        <v>263</v>
      </c>
      <c r="CO11" s="1049"/>
      <c r="CP11" s="1049"/>
      <c r="CQ11" s="1049"/>
      <c r="CR11" s="1049"/>
      <c r="CS11" s="1049" t="s">
        <v>265</v>
      </c>
      <c r="CT11" s="1049"/>
      <c r="CU11" s="1049"/>
      <c r="CV11" s="1049"/>
      <c r="CW11" s="1049"/>
      <c r="CX11" s="242"/>
      <c r="CZ11"/>
      <c r="DA11" s="837" t="s">
        <v>209</v>
      </c>
      <c r="DB11" s="837"/>
      <c r="DC11" s="837"/>
      <c r="DD11" s="837"/>
      <c r="DE11" s="837"/>
      <c r="DO11" s="1217" t="s">
        <v>315</v>
      </c>
      <c r="DP11" s="1218"/>
      <c r="DQ11" s="1218"/>
      <c r="DR11" s="1218"/>
      <c r="DS11" s="1218"/>
      <c r="DT11" s="1218"/>
      <c r="DU11" s="1218"/>
      <c r="DV11" s="1219"/>
      <c r="DW11" s="1220" t="s">
        <v>370</v>
      </c>
      <c r="DX11" s="1221"/>
      <c r="DY11" s="1221"/>
      <c r="DZ11" s="1221"/>
      <c r="EA11" s="1221"/>
      <c r="EB11" s="1221"/>
      <c r="EC11" s="1221"/>
      <c r="ED11" s="1222"/>
      <c r="EE11" s="1212" t="s">
        <v>316</v>
      </c>
      <c r="EF11" s="1213"/>
      <c r="EG11" s="1213"/>
      <c r="EH11" s="1214"/>
      <c r="EI11" s="1209" t="s">
        <v>655</v>
      </c>
      <c r="EJ11" s="1210"/>
      <c r="EK11" s="1210"/>
      <c r="EL11" s="1211"/>
      <c r="EM11" s="1212" t="s">
        <v>319</v>
      </c>
      <c r="EN11" s="1213"/>
      <c r="EO11" s="1213"/>
      <c r="EP11" s="1214"/>
      <c r="EQ11" s="1212" t="s">
        <v>319</v>
      </c>
      <c r="ER11" s="1213"/>
      <c r="ES11" s="1213"/>
      <c r="ET11" s="1214"/>
      <c r="EU11" s="1042" t="s">
        <v>373</v>
      </c>
      <c r="EV11" s="1043"/>
      <c r="EW11" s="1043"/>
      <c r="EX11" s="1044"/>
      <c r="EY11" s="1042" t="s">
        <v>374</v>
      </c>
      <c r="EZ11" s="1043"/>
      <c r="FA11" s="1043"/>
      <c r="FB11" s="1044"/>
      <c r="FC11" s="1042" t="s">
        <v>375</v>
      </c>
      <c r="FD11" s="1043"/>
      <c r="FE11" s="1043"/>
      <c r="FF11" s="1044"/>
      <c r="FG11" s="1042" t="s">
        <v>376</v>
      </c>
      <c r="FH11" s="1043"/>
      <c r="FI11" s="1043"/>
      <c r="FJ11" s="1044"/>
      <c r="FK11" s="1172" t="s">
        <v>658</v>
      </c>
      <c r="FL11" s="1173"/>
      <c r="FM11" s="1173"/>
      <c r="FN11" s="1174"/>
      <c r="FO11" s="1027" t="s">
        <v>659</v>
      </c>
      <c r="FP11" s="1028"/>
      <c r="FQ11" s="1028"/>
      <c r="FR11" s="1029"/>
      <c r="FS11" s="1183" t="s">
        <v>375</v>
      </c>
      <c r="FT11" s="1183"/>
      <c r="FU11" s="1172" t="s">
        <v>580</v>
      </c>
      <c r="FV11" s="1173"/>
      <c r="FW11" s="1173"/>
      <c r="FX11" s="1184"/>
      <c r="FY11" s="1185" t="s">
        <v>571</v>
      </c>
      <c r="FZ11" s="1186"/>
      <c r="GA11" t="s">
        <v>573</v>
      </c>
      <c r="GB11" s="1183" t="s">
        <v>373</v>
      </c>
      <c r="GC11" s="1183"/>
      <c r="GD11" s="1183" t="s">
        <v>374</v>
      </c>
      <c r="GE11" s="1183"/>
      <c r="GF11" s="1183" t="s">
        <v>376</v>
      </c>
      <c r="GG11" s="1183"/>
      <c r="GH11" s="1183" t="s">
        <v>372</v>
      </c>
      <c r="GI11" s="1183"/>
      <c r="GP11" s="109" t="s">
        <v>663</v>
      </c>
    </row>
    <row r="12" spans="1:198" ht="184" customHeight="1">
      <c r="A12" s="1187" t="s">
        <v>279</v>
      </c>
      <c r="B12" s="1188"/>
      <c r="C12" s="1188"/>
      <c r="D12" s="1189"/>
      <c r="E12" s="1202"/>
      <c r="F12" s="1203"/>
      <c r="G12" s="1204"/>
      <c r="H12" s="1193" t="s">
        <v>668</v>
      </c>
      <c r="I12" s="1031"/>
      <c r="J12" s="1032"/>
      <c r="K12" s="319" t="s">
        <v>498</v>
      </c>
      <c r="L12" s="319" t="s">
        <v>499</v>
      </c>
      <c r="M12" s="319" t="s">
        <v>500</v>
      </c>
      <c r="N12" s="1048"/>
      <c r="O12" s="1048"/>
      <c r="P12" s="1048"/>
      <c r="Q12" s="1048"/>
      <c r="R12" s="1216"/>
      <c r="S12" s="477" t="s">
        <v>669</v>
      </c>
      <c r="T12" s="318" t="s">
        <v>303</v>
      </c>
      <c r="U12" s="318" t="s">
        <v>672</v>
      </c>
      <c r="V12" s="430" t="s">
        <v>428</v>
      </c>
      <c r="W12" s="430" t="s">
        <v>427</v>
      </c>
      <c r="X12" s="431" t="s">
        <v>673</v>
      </c>
      <c r="Y12" s="209" t="s">
        <v>276</v>
      </c>
      <c r="Z12" s="209" t="s">
        <v>277</v>
      </c>
      <c r="AA12" s="294" t="s">
        <v>208</v>
      </c>
      <c r="AB12" t="s">
        <v>134</v>
      </c>
      <c r="AC12" t="s">
        <v>137</v>
      </c>
      <c r="AD12" t="s">
        <v>136</v>
      </c>
      <c r="AE12" t="s">
        <v>135</v>
      </c>
      <c r="AF12" t="s">
        <v>406</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223</v>
      </c>
      <c r="BB12" s="223" t="s">
        <v>210</v>
      </c>
      <c r="BC12" t="s">
        <v>260</v>
      </c>
      <c r="BD12" t="s">
        <v>259</v>
      </c>
      <c r="BE12" t="s">
        <v>245</v>
      </c>
      <c r="BF12" t="s">
        <v>246</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228</v>
      </c>
      <c r="CB12" s="228" t="s">
        <v>248</v>
      </c>
      <c r="CC12" s="294" t="s">
        <v>249</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274</v>
      </c>
      <c r="CY12" s="242" t="s">
        <v>266</v>
      </c>
      <c r="CZ12" s="242" t="s">
        <v>267</v>
      </c>
      <c r="DA12" s="242" t="s">
        <v>268</v>
      </c>
      <c r="DB12" s="242" t="s">
        <v>269</v>
      </c>
      <c r="DC12" s="242" t="s">
        <v>270</v>
      </c>
      <c r="DD12" s="242" t="s">
        <v>271</v>
      </c>
      <c r="DE12" s="242" t="s">
        <v>272</v>
      </c>
      <c r="DF12" s="242" t="s">
        <v>273</v>
      </c>
      <c r="DG12" s="242"/>
      <c r="DO12" s="626" t="s">
        <v>642</v>
      </c>
      <c r="DP12" s="294" t="s">
        <v>643</v>
      </c>
      <c r="DQ12" s="677" t="s">
        <v>644</v>
      </c>
      <c r="DR12" s="677" t="s">
        <v>645</v>
      </c>
      <c r="DS12" s="627" t="s">
        <v>670</v>
      </c>
      <c r="DT12" s="627" t="str">
        <f>DP12</f>
        <v>Ulempetillæg på weekenddage - kræver der er sat kryds i weekendarbejde. KOLONNE I. Minus ved lejrskole.</v>
      </c>
      <c r="DU12" s="679" t="s">
        <v>600</v>
      </c>
      <c r="DV12" s="678" t="str">
        <f>DR12</f>
        <v>Ulempetillæg ændringer på weekenddage. Kræver der er sat kryds i ændring i timetal og at det er en weekeend. KOLONNE I OG S. Minus lejrskole</v>
      </c>
      <c r="DW12" s="680" t="s">
        <v>646</v>
      </c>
      <c r="DX12" s="677" t="s">
        <v>647</v>
      </c>
      <c r="DY12" s="677" t="s">
        <v>648</v>
      </c>
      <c r="DZ12" s="677" t="s">
        <v>649</v>
      </c>
      <c r="EA12" s="627" t="s">
        <v>599</v>
      </c>
      <c r="EB12" s="679" t="str">
        <f>DX12</f>
        <v>Ulempetillæg på weekenddage til afspadsering. Kræver der er sat kryds i weekendarb. KOLONNE I. Minus ved lejrskole.</v>
      </c>
      <c r="EC12" s="679" t="s">
        <v>600</v>
      </c>
      <c r="ED12" s="678" t="str">
        <f>DZ12</f>
        <v>Ulempetillæg ændringer på weekenddage. Kræver der er sat kryds i ændring i timetal og at det er en weekeend. KOLONNE I OG S. Minus lejrskole</v>
      </c>
      <c r="EE12" s="632" t="s">
        <v>650</v>
      </c>
      <c r="EF12" s="630" t="s">
        <v>601</v>
      </c>
      <c r="EG12" s="631" t="s">
        <v>604</v>
      </c>
      <c r="EH12" s="633" t="s">
        <v>603</v>
      </c>
      <c r="EI12" s="715" t="s">
        <v>656</v>
      </c>
      <c r="EJ12" s="719" t="s">
        <v>660</v>
      </c>
      <c r="EK12" s="631" t="s">
        <v>604</v>
      </c>
      <c r="EL12" s="633" t="s">
        <v>603</v>
      </c>
      <c r="EM12" s="632" t="s">
        <v>650</v>
      </c>
      <c r="EN12" s="630" t="s">
        <v>653</v>
      </c>
      <c r="EO12" s="631" t="s">
        <v>604</v>
      </c>
      <c r="EP12" s="633" t="s">
        <v>603</v>
      </c>
      <c r="EQ12" s="715" t="s">
        <v>657</v>
      </c>
      <c r="ER12" s="719" t="s">
        <v>661</v>
      </c>
      <c r="ES12" s="631" t="s">
        <v>604</v>
      </c>
      <c r="ET12" s="633" t="s">
        <v>603</v>
      </c>
      <c r="EU12" s="632" t="s">
        <v>651</v>
      </c>
      <c r="EV12" s="630" t="s">
        <v>652</v>
      </c>
      <c r="EW12" s="631" t="s">
        <v>602</v>
      </c>
      <c r="EX12" s="633" t="s">
        <v>606</v>
      </c>
      <c r="EY12" s="632" t="s">
        <v>651</v>
      </c>
      <c r="EZ12" s="630" t="s">
        <v>652</v>
      </c>
      <c r="FA12" s="631" t="s">
        <v>602</v>
      </c>
      <c r="FB12" s="633" t="s">
        <v>606</v>
      </c>
      <c r="FC12" s="632" t="s">
        <v>607</v>
      </c>
      <c r="FD12" s="630" t="s">
        <v>605</v>
      </c>
      <c r="FE12" s="631" t="s">
        <v>602</v>
      </c>
      <c r="FF12" s="633" t="s">
        <v>606</v>
      </c>
      <c r="FG12" s="632" t="str">
        <f>FC12</f>
        <v>Weekendtimer på weekenddage</v>
      </c>
      <c r="FH12" s="630" t="s">
        <v>605</v>
      </c>
      <c r="FI12" s="631" t="s">
        <v>602</v>
      </c>
      <c r="FJ12" s="633" t="s">
        <v>606</v>
      </c>
      <c r="FK12" s="658" t="s">
        <v>568</v>
      </c>
      <c r="FL12" s="630" t="s">
        <v>550</v>
      </c>
      <c r="FM12" s="658" t="s">
        <v>568</v>
      </c>
      <c r="FN12" s="633" t="s">
        <v>550</v>
      </c>
      <c r="FO12" s="715" t="s">
        <v>568</v>
      </c>
      <c r="FP12" s="630" t="s">
        <v>550</v>
      </c>
      <c r="FQ12" s="658" t="s">
        <v>568</v>
      </c>
      <c r="FR12" s="633" t="s">
        <v>550</v>
      </c>
      <c r="FS12" s="659" t="s">
        <v>563</v>
      </c>
      <c r="FT12" s="660" t="s">
        <v>564</v>
      </c>
      <c r="FU12" s="658" t="s">
        <v>549</v>
      </c>
      <c r="FV12" s="630" t="s">
        <v>550</v>
      </c>
      <c r="FW12" s="662" t="s">
        <v>549</v>
      </c>
      <c r="FX12" s="663" t="s">
        <v>550</v>
      </c>
      <c r="FY12" s="667" t="s">
        <v>570</v>
      </c>
      <c r="FZ12" s="660" t="s">
        <v>570</v>
      </c>
      <c r="GA12" s="294" t="s">
        <v>572</v>
      </c>
      <c r="GB12" s="659" t="s">
        <v>574</v>
      </c>
      <c r="GC12" s="659" t="s">
        <v>574</v>
      </c>
      <c r="GD12" s="659" t="s">
        <v>574</v>
      </c>
      <c r="GE12" s="659" t="s">
        <v>574</v>
      </c>
      <c r="GF12" s="659" t="s">
        <v>565</v>
      </c>
      <c r="GG12" s="660" t="s">
        <v>566</v>
      </c>
      <c r="GH12" s="659" t="s">
        <v>565</v>
      </c>
      <c r="GI12" s="660" t="s">
        <v>566</v>
      </c>
      <c r="GJ12" s="712" t="s">
        <v>635</v>
      </c>
      <c r="GK12" s="712" t="s">
        <v>636</v>
      </c>
      <c r="GL12" s="712" t="s">
        <v>637</v>
      </c>
      <c r="GM12" s="712" t="s">
        <v>638</v>
      </c>
      <c r="GN12" s="712" t="s">
        <v>640</v>
      </c>
      <c r="GO12" s="712" t="s">
        <v>639</v>
      </c>
      <c r="GP12" s="722" t="s">
        <v>662</v>
      </c>
    </row>
    <row r="13" spans="1:198" ht="20" customHeight="1">
      <c r="A13" s="1190"/>
      <c r="B13" s="1191"/>
      <c r="C13" s="1191"/>
      <c r="D13" s="1192"/>
      <c r="E13" s="1205"/>
      <c r="F13" s="1206"/>
      <c r="G13" s="1207"/>
      <c r="H13" s="1048"/>
      <c r="I13" s="1031"/>
      <c r="J13" s="1032"/>
      <c r="K13" s="1076" t="s">
        <v>320</v>
      </c>
      <c r="L13" s="1058"/>
      <c r="M13" s="1058"/>
      <c r="N13" s="1058"/>
      <c r="O13" s="1058"/>
      <c r="P13" s="1058"/>
      <c r="Q13" s="1058"/>
      <c r="R13" s="1077"/>
      <c r="S13" s="1057" t="s">
        <v>377</v>
      </c>
      <c r="T13" s="1058"/>
      <c r="U13" s="1059"/>
      <c r="V13" s="1076" t="s">
        <v>378</v>
      </c>
      <c r="W13" s="1058"/>
      <c r="X13" s="1077"/>
      <c r="Y13" s="209"/>
      <c r="Z13" s="209"/>
      <c r="AA13" s="294"/>
      <c r="BB13" s="223"/>
      <c r="CA13" s="109"/>
      <c r="CB13" s="228"/>
      <c r="CC13" s="294"/>
      <c r="CX13" s="242"/>
      <c r="DA13" s="242"/>
      <c r="DB13" s="242"/>
      <c r="DC13" s="242"/>
      <c r="DD13" s="242"/>
      <c r="DE13" s="242"/>
      <c r="DF13" s="242"/>
      <c r="DG13" s="242"/>
      <c r="DH13" t="s">
        <v>476</v>
      </c>
      <c r="DI13" t="s">
        <v>477</v>
      </c>
      <c r="DJ13" t="s">
        <v>478</v>
      </c>
      <c r="DO13" s="628"/>
      <c r="DP13" s="714" t="s">
        <v>641</v>
      </c>
      <c r="DS13" s="1176" t="s">
        <v>160</v>
      </c>
      <c r="DT13" s="1176"/>
      <c r="DU13" s="1176"/>
      <c r="DV13" s="1177"/>
      <c r="EA13" s="1178" t="s">
        <v>160</v>
      </c>
      <c r="EB13" s="1178"/>
      <c r="EC13" s="1178"/>
      <c r="ED13" s="629"/>
      <c r="EE13" s="277"/>
      <c r="EF13" s="245"/>
      <c r="EG13" s="1045" t="s">
        <v>160</v>
      </c>
      <c r="EH13" s="1046"/>
      <c r="EI13" s="277"/>
      <c r="EJ13" s="245"/>
      <c r="EK13" s="1045" t="s">
        <v>160</v>
      </c>
      <c r="EL13" s="1046"/>
      <c r="EM13" s="277"/>
      <c r="EN13" s="245"/>
      <c r="EO13" s="1045" t="s">
        <v>160</v>
      </c>
      <c r="EP13" s="1046"/>
      <c r="EQ13" s="277"/>
      <c r="ER13" s="245"/>
      <c r="ES13" s="1045" t="s">
        <v>160</v>
      </c>
      <c r="ET13" s="1046"/>
      <c r="EU13" s="277"/>
      <c r="EV13" s="245"/>
      <c r="EW13" s="1045" t="s">
        <v>160</v>
      </c>
      <c r="EX13" s="1046"/>
      <c r="EY13" s="277"/>
      <c r="EZ13" s="245"/>
      <c r="FA13" s="1045" t="s">
        <v>160</v>
      </c>
      <c r="FB13" s="1046"/>
      <c r="FC13" s="277"/>
      <c r="FD13" s="245"/>
      <c r="FE13" s="1045" t="s">
        <v>160</v>
      </c>
      <c r="FF13" s="1046"/>
      <c r="FG13" s="277"/>
      <c r="FH13" s="245"/>
      <c r="FI13" s="1045" t="s">
        <v>160</v>
      </c>
      <c r="FJ13" s="1046"/>
      <c r="FK13" s="277"/>
      <c r="FL13" s="245"/>
      <c r="FM13" s="1045" t="s">
        <v>160</v>
      </c>
      <c r="FN13" s="1046"/>
      <c r="FO13" s="277"/>
      <c r="FP13" s="245"/>
      <c r="FQ13" s="1045" t="s">
        <v>160</v>
      </c>
      <c r="FR13" s="1046"/>
      <c r="FT13" s="622" t="s">
        <v>158</v>
      </c>
      <c r="FU13" s="277"/>
      <c r="FV13" s="245"/>
      <c r="FW13" s="1045" t="s">
        <v>160</v>
      </c>
      <c r="FX13" s="1175"/>
      <c r="FY13" s="277"/>
      <c r="FZ13" s="668" t="s">
        <v>158</v>
      </c>
      <c r="GC13" s="622" t="s">
        <v>158</v>
      </c>
      <c r="GE13" s="622" t="s">
        <v>158</v>
      </c>
      <c r="GG13" s="622" t="s">
        <v>158</v>
      </c>
      <c r="GI13" s="622" t="s">
        <v>158</v>
      </c>
    </row>
    <row r="14" spans="1:198">
      <c r="A14" s="239">
        <f>IF(ISNUMBER(A12),A12+1,1)</f>
        <v>1</v>
      </c>
      <c r="B14" s="125" t="str">
        <f t="shared" ref="B14:B44" si="0">CHOOSE(MOD(WEEKDAY(DATE(A$11,A$2,A14)),7)+1,"lø","sø","ma","ti","on","to","fr",)</f>
        <v>ti</v>
      </c>
      <c r="C14" s="126" t="s">
        <v>208</v>
      </c>
      <c r="D14" s="127" t="str">
        <f t="shared" ref="D14:D42" si="1">IF(B14="ma",(DATE(A$11,A$2,A14)-DATE(A$11,1,1)+7)/7,"")</f>
        <v/>
      </c>
      <c r="E14" s="1060" t="s">
        <v>755</v>
      </c>
      <c r="F14" s="1061"/>
      <c r="G14" s="1062"/>
      <c r="H14" s="292"/>
      <c r="I14" s="745"/>
      <c r="J14" s="746" t="str">
        <f t="shared" ref="J14:J44" si="2">IF(C14="Lejrskole","X","")</f>
        <v/>
      </c>
      <c r="K14" s="368">
        <v>6</v>
      </c>
      <c r="L14" s="368">
        <v>3.75</v>
      </c>
      <c r="M14" s="368">
        <v>1</v>
      </c>
      <c r="N14" s="311">
        <f>BA14</f>
        <v>6</v>
      </c>
      <c r="O14" s="311">
        <f>CA14</f>
        <v>3.75</v>
      </c>
      <c r="P14" s="311">
        <f>IF(Stamoplysninger!$H$34="JA",December!DG14,CX14)</f>
        <v>1</v>
      </c>
      <c r="Q14" s="311">
        <f>IF(OR(OR(C14="Lejrskole",C14="Ekskursion",C14="pæd.dag")),0,N14-O14-P14)</f>
        <v>1.25</v>
      </c>
      <c r="R14" s="751"/>
      <c r="S14" s="315"/>
      <c r="T14" s="316"/>
      <c r="U14" s="316"/>
      <c r="V14" s="422"/>
      <c r="W14" s="400"/>
      <c r="X14" s="619"/>
      <c r="Y14">
        <f>IF($S$14="x",V14-N15,0)</f>
        <v>0</v>
      </c>
      <c r="Z14">
        <f t="shared" ref="Z14:Z44" si="3">IF(T14="x",W14-O15,0)</f>
        <v>0</v>
      </c>
      <c r="AA14" s="1">
        <f t="shared" ref="AA14:AA44" si="4">IF(C14="emnedag",K14,0)</f>
        <v>6</v>
      </c>
      <c r="AB14" s="1">
        <f t="shared" ref="AB14:AB44" si="5">IF(C14="fagdag",K14,0)</f>
        <v>0</v>
      </c>
      <c r="AC14" s="1">
        <f t="shared" ref="AC14:AC44" si="6">IF(C14="Pæd.dag",K14,0)</f>
        <v>0</v>
      </c>
      <c r="AD14" s="1">
        <f t="shared" ref="AD14:AD44" si="7">IF(C14="Ekskursion",K14,0)</f>
        <v>0</v>
      </c>
      <c r="AE14" s="1">
        <f t="shared" ref="AE14:AE44" si="8">IF(C14="Lejrskole",K14,0)</f>
        <v>0</v>
      </c>
      <c r="AF14" s="1">
        <f>IF(C14="Orlov",7.4*Stamoplysninger!$E$20,0)</f>
        <v>0</v>
      </c>
      <c r="AG14" t="str">
        <f>IF(AND(C14="Skema 1",B14="ma"),Arbejdstidsoversigt!$E$77,"")</f>
        <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6</v>
      </c>
      <c r="BB14" s="224">
        <f t="shared" ref="BB14:BB44" si="9">SUM(AG14:AK14)*24</f>
        <v>0</v>
      </c>
      <c r="BC14" s="1">
        <f>IF($C$14="Lejrskole",$L$14,0)</f>
        <v>0</v>
      </c>
      <c r="BD14" s="1">
        <f t="shared" ref="BD14:BD44" si="10">IF(C14="Ekskursion",L14,0)</f>
        <v>0</v>
      </c>
      <c r="BE14" s="1">
        <f t="shared" ref="BE14:BE44" si="11">IF(C14="fagdag",L14,0)</f>
        <v>0</v>
      </c>
      <c r="BF14" s="1">
        <f t="shared" ref="BF14:BF44" si="12">IF(C14="emnedag",L14,0)</f>
        <v>3.75</v>
      </c>
      <c r="BG14" s="207" t="str">
        <f>IF(AND(C14="Skema 1",B14="ma"),Skemaoplysninger!$E$46,"")</f>
        <v/>
      </c>
      <c r="BH14" s="207" t="str">
        <f>IF(AND(C14="Skema 1",B14="ti"),Skemaoplysninger!$G$46,"")</f>
        <v/>
      </c>
      <c r="BI14" s="207" t="str">
        <f>IF(AND(C14="Skema 1",B14="on"),Skemaoplysninger!$I$46,"")</f>
        <v/>
      </c>
      <c r="BJ14" s="207" t="str">
        <f>IF(AND(C14="Skema 1",B14="to"),Skemaoplysninger!$K$46,"")</f>
        <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3.75</v>
      </c>
      <c r="CB14" s="1">
        <f t="shared" ref="CB14:CB44" si="13">IF(C14="fagdag",M14,0)</f>
        <v>0</v>
      </c>
      <c r="CC14" s="1">
        <f t="shared" ref="CC14:CC44" si="14">IF(C14="emnedag",M14,0)</f>
        <v>1</v>
      </c>
      <c r="CD14" s="207" t="str">
        <f>IF(AND(C14="Skema 1",B14="ma"),Skemaoplysninger!$E$47,"")</f>
        <v/>
      </c>
      <c r="CE14" s="207" t="str">
        <f>IF(AND(C14="Skema 1",B14="ti"),Skemaoplysninger!$G$47,"")</f>
        <v/>
      </c>
      <c r="CF14" s="207" t="str">
        <f>IF(AND(C14="Skema 1",B14="on"),Skemaoplysninger!$I$47,"")</f>
        <v/>
      </c>
      <c r="CG14" s="207" t="str">
        <f>IF(AND(C14="Skema 1",B14="to"),Skemaoplysninger!$K$47,"")</f>
        <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1</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t="str">
        <f>IF(H14="",E14,"")</f>
        <v>Juleklippedag</v>
      </c>
      <c r="DJ14" t="str">
        <f>IF(E14="",H14,"")</f>
        <v/>
      </c>
      <c r="DK14" t="str">
        <f t="shared" ref="DK14:DM43" si="15">IF(DH14=0,"",DH14)</f>
        <v/>
      </c>
      <c r="DL14" t="str">
        <f>IF(DI14=0,"",DI14)</f>
        <v>Juleklippedag</v>
      </c>
      <c r="DM14" t="str">
        <f>IF(DJ14=0,"",DJ14)</f>
        <v/>
      </c>
      <c r="DN14" t="str">
        <f>DK14&amp;""&amp;DL14&amp;""&amp;DM14</f>
        <v>Juleklippedag</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4" si="16">IF(AND(I14="X",S14="X"),V14,0)</f>
        <v>0</v>
      </c>
      <c r="FZ14" s="634">
        <f t="shared" ref="FZ14:FZ44" si="17">IF(AND(AND(C14="ikke relevant",I14="X",S14="X")),V14,0)</f>
        <v>0</v>
      </c>
      <c r="GA14">
        <f t="shared" ref="GA14:GA44" si="18">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t="str">
        <f t="shared" ref="GK14:GK44" si="19">IF(C14="emnedag","X",0)</f>
        <v>X</v>
      </c>
      <c r="GL14">
        <f t="shared" ref="GL14:GL44" si="20">IF(C14="ekskursion","X",0)</f>
        <v>0</v>
      </c>
      <c r="GM14">
        <f t="shared" ref="GM14:GM44" si="21">IF(C14="pæd.dag","X",0)</f>
        <v>0</v>
      </c>
      <c r="GN14" s="713">
        <f t="shared" ref="GN14:GN44" si="22">IF(C14="lejrskole","X",0)</f>
        <v>0</v>
      </c>
      <c r="GO14">
        <f>COUNTIF(GJ14:GN14,"X")</f>
        <v>1</v>
      </c>
      <c r="GP14" s="647">
        <f>IF(AND(I14="X",S14="X"),V14,0)</f>
        <v>0</v>
      </c>
    </row>
    <row r="15" spans="1:198">
      <c r="A15" s="239">
        <f t="shared" ref="A15:A43" si="23">IF(ISNUMBER(A14),A14+1,1)</f>
        <v>2</v>
      </c>
      <c r="B15" s="125" t="str">
        <f t="shared" si="0"/>
        <v>on</v>
      </c>
      <c r="C15" s="126" t="s">
        <v>203</v>
      </c>
      <c r="D15" s="127" t="str">
        <f t="shared" si="1"/>
        <v/>
      </c>
      <c r="E15" s="1060"/>
      <c r="F15" s="1061"/>
      <c r="G15" s="1062"/>
      <c r="H15" s="292"/>
      <c r="I15" s="745"/>
      <c r="J15" s="746" t="str">
        <f t="shared" si="2"/>
        <v/>
      </c>
      <c r="K15" s="368"/>
      <c r="L15" s="368"/>
      <c r="M15" s="368"/>
      <c r="N15" s="311">
        <f t="shared" ref="N15:N44" si="24">BA15</f>
        <v>8.11</v>
      </c>
      <c r="O15" s="311">
        <f t="shared" ref="O15:O44" si="25">CA15</f>
        <v>2.75</v>
      </c>
      <c r="P15" s="311">
        <f>IF(Stamoplysninger!$H$34="JA",December!DG15,CX15)</f>
        <v>1.25</v>
      </c>
      <c r="Q15" s="311">
        <f t="shared" ref="Q15:Q44" si="26">IF(OR(OR(C15="Lejrskole",C15="Ekskursion",C15="pæd.dag")),0,N15-O15-P15)</f>
        <v>4.1099999999999994</v>
      </c>
      <c r="R15" s="751"/>
      <c r="S15" s="315"/>
      <c r="T15" s="316"/>
      <c r="U15" s="316"/>
      <c r="V15" s="422"/>
      <c r="W15" s="400"/>
      <c r="X15" s="619"/>
      <c r="Y15">
        <f t="shared" ref="Y15:Y44" si="27">IF(S15="x",V15-N16,0)</f>
        <v>0</v>
      </c>
      <c r="Z15">
        <f t="shared" si="3"/>
        <v>0</v>
      </c>
      <c r="AA15" s="1">
        <f t="shared" si="4"/>
        <v>0</v>
      </c>
      <c r="AB15" s="1">
        <f t="shared" si="5"/>
        <v>0</v>
      </c>
      <c r="AC15" s="1">
        <f t="shared" si="6"/>
        <v>0</v>
      </c>
      <c r="AD15" s="1">
        <f t="shared" si="7"/>
        <v>0</v>
      </c>
      <c r="AE15" s="1">
        <f t="shared" si="8"/>
        <v>0</v>
      </c>
      <c r="AF15" s="1">
        <f>IF(C15="Orlov",7.4*Stamoplysninger!$E$20,0)</f>
        <v>0</v>
      </c>
      <c r="AG15" t="str">
        <f>IF(AND(C15="Skema 1",B15="ma"),Arbejdstidsoversigt!$E$77,"")</f>
        <v/>
      </c>
      <c r="AH15" t="str">
        <f>IF(AND(C15="Skema 1",B15="ti"),Arbejdstidsoversigt!$E$78,"")</f>
        <v/>
      </c>
      <c r="AI15">
        <f>IF(AND(C15="Skema 1",B15="on"),Arbejdstidsoversigt!$E$79,"")</f>
        <v>8.11</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4" si="28">SUM(AA15:AZ15)</f>
        <v>8.11</v>
      </c>
      <c r="BB15" s="224">
        <f t="shared" si="9"/>
        <v>194.64</v>
      </c>
      <c r="BC15" s="1">
        <f t="shared" ref="BC15:BC44" si="29">IF(C15="Lejrskole",L15,0)</f>
        <v>0</v>
      </c>
      <c r="BD15" s="1">
        <f t="shared" si="10"/>
        <v>0</v>
      </c>
      <c r="BE15" s="1">
        <f t="shared" si="11"/>
        <v>0</v>
      </c>
      <c r="BF15" s="1">
        <f t="shared" si="12"/>
        <v>0</v>
      </c>
      <c r="BG15" s="207" t="str">
        <f>IF(AND(C15="Skema 1",B15="ma"),Skemaoplysninger!$E$46,"")</f>
        <v/>
      </c>
      <c r="BH15" s="207" t="str">
        <f>IF(AND(C15="Skema 1",B15="ti"),Skemaoplysninger!$G$46,"")</f>
        <v/>
      </c>
      <c r="BI15" s="207">
        <f>IF(AND(C15="Skema 1",B15="on"),Skemaoplysninger!$I$46,"")</f>
        <v>0.11458333333333333</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44" si="30">SUM(BG15:BZ15)*24+SUM(BC15:BF15)</f>
        <v>2.75</v>
      </c>
      <c r="CB15" s="1">
        <f t="shared" si="13"/>
        <v>0</v>
      </c>
      <c r="CC15" s="1">
        <f t="shared" si="14"/>
        <v>0</v>
      </c>
      <c r="CD15" s="207" t="str">
        <f>IF(AND(C15="Skema 1",B15="ma"),Skemaoplysninger!$E$47,"")</f>
        <v/>
      </c>
      <c r="CE15" s="207" t="str">
        <f>IF(AND(C15="Skema 1",B15="ti"),Skemaoplysninger!$G$47,"")</f>
        <v/>
      </c>
      <c r="CF15" s="207">
        <f>IF(AND(C15="Skema 1",B15="on"),Skemaoplysninger!$I$47,"")</f>
        <v>5.2083333333333329E-2</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1.25</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4" si="31">SUM(CY15:DF15)</f>
        <v>0</v>
      </c>
      <c r="DH15" t="str">
        <f t="shared" ref="DH15:DH43" si="32">IF(AND(E15&gt;0,H15&gt;0),""&amp;E15&amp;" og "&amp;H15&amp;"","")</f>
        <v/>
      </c>
      <c r="DI15">
        <f t="shared" ref="DI15:DI43" si="33">IF(H15="",E15,"")</f>
        <v>0</v>
      </c>
      <c r="DJ15">
        <f t="shared" ref="DJ15:DJ43" si="34">IF(E15="",H15,"")</f>
        <v>0</v>
      </c>
      <c r="DK15" t="str">
        <f t="shared" si="15"/>
        <v/>
      </c>
      <c r="DL15" t="str">
        <f t="shared" si="15"/>
        <v/>
      </c>
      <c r="DM15" t="str">
        <f t="shared" si="15"/>
        <v/>
      </c>
      <c r="DN15" t="str">
        <f t="shared" ref="DN15:DN43" si="35">DK15&amp;""&amp;DL15&amp;""&amp;DM15</f>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6"/>
        <v>0</v>
      </c>
      <c r="FZ15" s="634">
        <f t="shared" si="17"/>
        <v>0</v>
      </c>
      <c r="GA15">
        <f t="shared" si="18"/>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4" si="36">IF(C15="fagdag","X",0)</f>
        <v>0</v>
      </c>
      <c r="GK15">
        <f t="shared" si="19"/>
        <v>0</v>
      </c>
      <c r="GL15">
        <f t="shared" si="20"/>
        <v>0</v>
      </c>
      <c r="GM15">
        <f t="shared" si="21"/>
        <v>0</v>
      </c>
      <c r="GN15" s="713">
        <f t="shared" si="22"/>
        <v>0</v>
      </c>
      <c r="GO15">
        <f t="shared" ref="GO15:GO44" si="37">COUNTIF(GJ15:GN15,"X")</f>
        <v>0</v>
      </c>
      <c r="GP15" s="647">
        <f t="shared" ref="GP15:GP44" si="38">IF(AND(I15="X",S15="X"),V15,0)</f>
        <v>0</v>
      </c>
    </row>
    <row r="16" spans="1:198">
      <c r="A16" s="239">
        <f t="shared" si="23"/>
        <v>3</v>
      </c>
      <c r="B16" s="125" t="str">
        <f t="shared" si="0"/>
        <v>to</v>
      </c>
      <c r="C16" s="126" t="s">
        <v>203</v>
      </c>
      <c r="D16" s="127" t="str">
        <f t="shared" si="1"/>
        <v/>
      </c>
      <c r="E16" s="1060"/>
      <c r="F16" s="1061"/>
      <c r="G16" s="1062"/>
      <c r="H16" s="292"/>
      <c r="I16" s="745"/>
      <c r="J16" s="746" t="str">
        <f t="shared" si="2"/>
        <v/>
      </c>
      <c r="K16" s="368"/>
      <c r="L16" s="368"/>
      <c r="M16" s="368"/>
      <c r="N16" s="311">
        <f t="shared" si="24"/>
        <v>9</v>
      </c>
      <c r="O16" s="311">
        <f t="shared" si="25"/>
        <v>3.75</v>
      </c>
      <c r="P16" s="311">
        <f>IF(Stamoplysninger!$H$34="JA",December!DG16,CX16)</f>
        <v>1</v>
      </c>
      <c r="Q16" s="311">
        <f t="shared" si="26"/>
        <v>4.25</v>
      </c>
      <c r="R16" s="751"/>
      <c r="S16" s="315"/>
      <c r="T16" s="316"/>
      <c r="U16" s="316"/>
      <c r="V16" s="422"/>
      <c r="W16" s="400"/>
      <c r="X16" s="619"/>
      <c r="Y16">
        <f t="shared" si="27"/>
        <v>0</v>
      </c>
      <c r="Z16">
        <f t="shared" si="3"/>
        <v>0</v>
      </c>
      <c r="AA16" s="1">
        <f t="shared" si="4"/>
        <v>0</v>
      </c>
      <c r="AB16" s="1">
        <f t="shared" si="5"/>
        <v>0</v>
      </c>
      <c r="AC16" s="1">
        <f t="shared" si="6"/>
        <v>0</v>
      </c>
      <c r="AD16" s="1">
        <f t="shared" si="7"/>
        <v>0</v>
      </c>
      <c r="AE16" s="1">
        <f t="shared" si="8"/>
        <v>0</v>
      </c>
      <c r="AF16" s="1">
        <f>IF(C16="Orlov",7.4*Stamoplysninger!$E$20,0)</f>
        <v>0</v>
      </c>
      <c r="AG16" t="str">
        <f>IF(AND(C16="Skema 1",B16="ma"),Arbejdstidsoversigt!$E$77,"")</f>
        <v/>
      </c>
      <c r="AH16" t="str">
        <f>IF(AND(C16="Skema 1",B16="ti"),Arbejdstidsoversigt!$E$78,"")</f>
        <v/>
      </c>
      <c r="AI16" t="str">
        <f>IF(AND(C16="Skema 1",B16="on"),Arbejdstidsoversigt!$E$79,"")</f>
        <v/>
      </c>
      <c r="AJ16">
        <f>IF(AND(C16="Skema 1",B16="to"),Arbejdstidsoversigt!$E$80,"")</f>
        <v>9</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9</v>
      </c>
      <c r="BB16" s="224">
        <f t="shared" si="9"/>
        <v>216</v>
      </c>
      <c r="BC16" s="1">
        <f t="shared" si="29"/>
        <v>0</v>
      </c>
      <c r="BD16" s="1">
        <f t="shared" si="10"/>
        <v>0</v>
      </c>
      <c r="BE16" s="1">
        <f t="shared" si="11"/>
        <v>0</v>
      </c>
      <c r="BF16" s="1">
        <f t="shared" si="12"/>
        <v>0</v>
      </c>
      <c r="BG16" s="207" t="str">
        <f>IF(AND(C16="Skema 1",B16="ma"),Skemaoplysninger!$E$46,"")</f>
        <v/>
      </c>
      <c r="BH16" s="207" t="str">
        <f>IF(AND(C16="Skema 1",B16="ti"),Skemaoplysninger!$G$46,"")</f>
        <v/>
      </c>
      <c r="BI16" s="207" t="str">
        <f>IF(AND(C16="Skema 1",B16="on"),Skemaoplysninger!$I$46,"")</f>
        <v/>
      </c>
      <c r="BJ16" s="207">
        <f>IF(AND(C16="Skema 1",B16="to"),Skemaoplysninger!$K$46,"")</f>
        <v>0.15625</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0"/>
        <v>3.75</v>
      </c>
      <c r="CB16" s="1">
        <f t="shared" si="13"/>
        <v>0</v>
      </c>
      <c r="CC16" s="1">
        <f t="shared" si="14"/>
        <v>0</v>
      </c>
      <c r="CD16" s="207" t="str">
        <f>IF(AND(C16="Skema 1",B16="ma"),Skemaoplysninger!$E$47,"")</f>
        <v/>
      </c>
      <c r="CE16" s="207" t="str">
        <f>IF(AND(C16="Skema 1",B16="ti"),Skemaoplysninger!$G$47,"")</f>
        <v/>
      </c>
      <c r="CF16" s="207" t="str">
        <f>IF(AND(C16="Skema 1",B16="on"),Skemaoplysninger!$I$47,"")</f>
        <v/>
      </c>
      <c r="CG16" s="207">
        <f>IF(AND(C16="Skema 1",B16="to"),Skemaoplysninger!$K$47,"")</f>
        <v>4.1666666666666664E-2</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1</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5"/>
        <v/>
      </c>
      <c r="DL16" t="str">
        <f t="shared" si="15"/>
        <v/>
      </c>
      <c r="DM16" t="str">
        <f t="shared" si="15"/>
        <v/>
      </c>
      <c r="DN16" t="str">
        <f t="shared" si="35"/>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6"/>
        <v>0</v>
      </c>
      <c r="FZ16" s="634">
        <f t="shared" si="17"/>
        <v>0</v>
      </c>
      <c r="GA16">
        <f t="shared" si="18"/>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9"/>
        <v>0</v>
      </c>
      <c r="GL16">
        <f t="shared" si="20"/>
        <v>0</v>
      </c>
      <c r="GM16">
        <f t="shared" si="21"/>
        <v>0</v>
      </c>
      <c r="GN16" s="713">
        <f t="shared" si="22"/>
        <v>0</v>
      </c>
      <c r="GO16">
        <f t="shared" si="37"/>
        <v>0</v>
      </c>
      <c r="GP16" s="647">
        <f t="shared" si="38"/>
        <v>0</v>
      </c>
    </row>
    <row r="17" spans="1:198">
      <c r="A17" s="239">
        <f t="shared" si="23"/>
        <v>4</v>
      </c>
      <c r="B17" s="125" t="str">
        <f t="shared" si="0"/>
        <v>fr</v>
      </c>
      <c r="C17" s="126" t="s">
        <v>203</v>
      </c>
      <c r="D17" s="127" t="str">
        <f t="shared" si="1"/>
        <v/>
      </c>
      <c r="E17" s="1060"/>
      <c r="F17" s="1061"/>
      <c r="G17" s="1062"/>
      <c r="H17" s="292"/>
      <c r="I17" s="745"/>
      <c r="J17" s="746" t="str">
        <f t="shared" si="2"/>
        <v/>
      </c>
      <c r="K17" s="368"/>
      <c r="L17" s="368"/>
      <c r="M17" s="368"/>
      <c r="N17" s="311">
        <f t="shared" si="24"/>
        <v>7.1</v>
      </c>
      <c r="O17" s="311">
        <f t="shared" si="25"/>
        <v>3.75</v>
      </c>
      <c r="P17" s="311">
        <f>IF(Stamoplysninger!$H$34="JA",December!DG17,CX17)</f>
        <v>1</v>
      </c>
      <c r="Q17" s="311">
        <f t="shared" si="26"/>
        <v>2.3499999999999996</v>
      </c>
      <c r="R17" s="751"/>
      <c r="S17" s="315"/>
      <c r="T17" s="316"/>
      <c r="U17" s="316"/>
      <c r="V17" s="422"/>
      <c r="W17" s="400"/>
      <c r="X17" s="619"/>
      <c r="Y17">
        <f t="shared" si="27"/>
        <v>0</v>
      </c>
      <c r="Z17">
        <f t="shared" si="3"/>
        <v>0</v>
      </c>
      <c r="AA17" s="1">
        <f t="shared" si="4"/>
        <v>0</v>
      </c>
      <c r="AB17" s="1">
        <f t="shared" si="5"/>
        <v>0</v>
      </c>
      <c r="AC17" s="1">
        <f t="shared" si="6"/>
        <v>0</v>
      </c>
      <c r="AD17" s="1">
        <f t="shared" si="7"/>
        <v>0</v>
      </c>
      <c r="AE17" s="1">
        <f t="shared" si="8"/>
        <v>0</v>
      </c>
      <c r="AF17" s="1">
        <f>IF(C17="Orlov",7.4*Stamoplysninger!$E$20,0)</f>
        <v>0</v>
      </c>
      <c r="AG17" t="str">
        <f>IF(AND(C17="Skema 1",B17="ma"),Arbejdstidsoversigt!$E$77,"")</f>
        <v/>
      </c>
      <c r="AH17" t="str">
        <f>IF(AND(C17="Skema 1",B17="ti"),Arbejdstidsoversigt!$E$78,"")</f>
        <v/>
      </c>
      <c r="AI17" t="str">
        <f>IF(AND(C17="Skema 1",B17="on"),Arbejdstidsoversigt!$E$79,"")</f>
        <v/>
      </c>
      <c r="AJ17" t="str">
        <f>IF(AND(C17="Skema 1",B17="to"),Arbejdstidsoversigt!$E$80,"")</f>
        <v/>
      </c>
      <c r="AK17">
        <f>IF(AND(C17="Skema 1",B17="fr"),Arbejdstidsoversigt!$E$81,"")</f>
        <v>7.1</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7.1</v>
      </c>
      <c r="BB17" s="224">
        <f t="shared" si="9"/>
        <v>170.39999999999998</v>
      </c>
      <c r="BC17" s="1">
        <f t="shared" si="29"/>
        <v>0</v>
      </c>
      <c r="BD17" s="1">
        <f t="shared" si="10"/>
        <v>0</v>
      </c>
      <c r="BE17" s="1">
        <f t="shared" si="11"/>
        <v>0</v>
      </c>
      <c r="BF17" s="1">
        <f t="shared" si="12"/>
        <v>0</v>
      </c>
      <c r="BG17" s="207" t="str">
        <f>IF(AND(C17="Skema 1",B17="ma"),Skemaoplysninger!$E$46,"")</f>
        <v/>
      </c>
      <c r="BH17" s="207" t="str">
        <f>IF(AND(C17="Skema 1",B17="ti"),Skemaoplysninger!$G$46,"")</f>
        <v/>
      </c>
      <c r="BI17" s="207" t="str">
        <f>IF(AND(C17="Skema 1",B17="on"),Skemaoplysninger!$I$46,"")</f>
        <v/>
      </c>
      <c r="BJ17" s="207" t="str">
        <f>IF(AND(C17="Skema 1",B17="to"),Skemaoplysninger!$K$46,"")</f>
        <v/>
      </c>
      <c r="BK17" s="207">
        <f>IF(AND(C17="Skema 1",B17="fr"),Skemaoplysninger!$M$46,"")</f>
        <v>0.15625</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3.75</v>
      </c>
      <c r="CB17" s="1">
        <f t="shared" si="13"/>
        <v>0</v>
      </c>
      <c r="CC17" s="1">
        <f t="shared" si="14"/>
        <v>0</v>
      </c>
      <c r="CD17" s="207" t="str">
        <f>IF(AND(C17="Skema 1",B17="ma"),Skemaoplysninger!$E$47,"")</f>
        <v/>
      </c>
      <c r="CE17" s="207" t="str">
        <f>IF(AND(C17="Skema 1",B17="ti"),Skemaoplysninger!$G$47,"")</f>
        <v/>
      </c>
      <c r="CF17" s="207" t="str">
        <f>IF(AND(C17="Skema 1",B17="on"),Skemaoplysninger!$I$47,"")</f>
        <v/>
      </c>
      <c r="CG17" s="207" t="str">
        <f>IF(AND(C17="Skema 1",B17="to"),Skemaoplysninger!$K$47,"")</f>
        <v/>
      </c>
      <c r="CH17" s="207">
        <f>IF(AND(C17="Skema 1",B17="fr"),Skemaoplysninger!$M$47,"")</f>
        <v>4.1666666666666664E-2</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1</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5"/>
        <v/>
      </c>
      <c r="DL17" t="str">
        <f t="shared" si="15"/>
        <v/>
      </c>
      <c r="DM17" t="str">
        <f t="shared" si="15"/>
        <v/>
      </c>
      <c r="DN17" t="str">
        <f t="shared" si="3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6"/>
        <v>0</v>
      </c>
      <c r="FZ17" s="634">
        <f t="shared" si="17"/>
        <v>0</v>
      </c>
      <c r="GA17">
        <f t="shared" si="18"/>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9"/>
        <v>0</v>
      </c>
      <c r="GL17">
        <f t="shared" si="20"/>
        <v>0</v>
      </c>
      <c r="GM17">
        <f t="shared" si="21"/>
        <v>0</v>
      </c>
      <c r="GN17" s="713">
        <f t="shared" si="22"/>
        <v>0</v>
      </c>
      <c r="GO17">
        <f t="shared" si="37"/>
        <v>0</v>
      </c>
      <c r="GP17" s="647">
        <f t="shared" si="38"/>
        <v>0</v>
      </c>
    </row>
    <row r="18" spans="1:198">
      <c r="A18" s="239">
        <f t="shared" si="23"/>
        <v>5</v>
      </c>
      <c r="B18" s="125" t="str">
        <f t="shared" si="0"/>
        <v>lø</v>
      </c>
      <c r="C18" s="126" t="s">
        <v>118</v>
      </c>
      <c r="D18" s="127" t="str">
        <f t="shared" si="1"/>
        <v/>
      </c>
      <c r="E18" s="1060"/>
      <c r="F18" s="1061"/>
      <c r="G18" s="1062"/>
      <c r="H18" s="292"/>
      <c r="I18" s="746" t="str">
        <f>IF(GO18=1,"X","")</f>
        <v/>
      </c>
      <c r="J18" s="746" t="str">
        <f t="shared" si="2"/>
        <v/>
      </c>
      <c r="K18" s="368"/>
      <c r="L18" s="368"/>
      <c r="M18" s="368"/>
      <c r="N18" s="311">
        <f t="shared" si="24"/>
        <v>0</v>
      </c>
      <c r="O18" s="311">
        <f t="shared" si="25"/>
        <v>0</v>
      </c>
      <c r="P18" s="311">
        <f>IF(Stamoplysninger!$H$34="JA",December!DG18,CX18)</f>
        <v>0</v>
      </c>
      <c r="Q18" s="311">
        <f t="shared" si="26"/>
        <v>0</v>
      </c>
      <c r="R18" s="751"/>
      <c r="S18" s="315"/>
      <c r="T18" s="316"/>
      <c r="U18" s="316"/>
      <c r="V18" s="422"/>
      <c r="W18" s="400"/>
      <c r="X18" s="619"/>
      <c r="Y18">
        <f t="shared" si="27"/>
        <v>0</v>
      </c>
      <c r="Z18">
        <f t="shared" si="3"/>
        <v>0</v>
      </c>
      <c r="AA18" s="1">
        <f t="shared" si="4"/>
        <v>0</v>
      </c>
      <c r="AB18" s="1">
        <f t="shared" si="5"/>
        <v>0</v>
      </c>
      <c r="AC18" s="1">
        <f t="shared" si="6"/>
        <v>0</v>
      </c>
      <c r="AD18" s="1">
        <f t="shared" si="7"/>
        <v>0</v>
      </c>
      <c r="AE18" s="1">
        <f t="shared" si="8"/>
        <v>0</v>
      </c>
      <c r="AF18" s="1">
        <f>IF(C18="Orlov",7.4*Stamoplysninger!$E$20,0)</f>
        <v>0</v>
      </c>
      <c r="AG18" t="str">
        <f>IF(AND(C18="Skema 1",B18="ma"),Arbejdstidsoversigt!$E$77,"")</f>
        <v/>
      </c>
      <c r="AH18" t="str">
        <f>IF(AND(C18="Skema 1",B18="ti"),Arbejdstidsoversigt!$E$78,"")</f>
        <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9"/>
        <v>0</v>
      </c>
      <c r="BC18" s="1">
        <f t="shared" si="29"/>
        <v>0</v>
      </c>
      <c r="BD18" s="1">
        <f t="shared" si="10"/>
        <v>0</v>
      </c>
      <c r="BE18" s="1">
        <f t="shared" si="11"/>
        <v>0</v>
      </c>
      <c r="BF18" s="1">
        <f t="shared" si="12"/>
        <v>0</v>
      </c>
      <c r="BG18" s="207" t="str">
        <f>IF(AND(C18="Skema 1",B18="ma"),Skemaoplysninger!$E$46,"")</f>
        <v/>
      </c>
      <c r="BH18" s="207" t="str">
        <f>IF(AND(C18="Skema 1",B18="ti"),Skemaoplysninger!$G$46,"")</f>
        <v/>
      </c>
      <c r="BI18" s="207" t="str">
        <f>IF(AND(C18="Skema 1",B18="on"),Skemaoplysninger!$I$46,"")</f>
        <v/>
      </c>
      <c r="BJ18" s="207" t="str">
        <f>IF(AND(C18="Skema 1",B18="to"),Skemaoplysninger!$K$46,"")</f>
        <v/>
      </c>
      <c r="BK18" s="207" t="str">
        <f>IF(AND(C18="Skema 1",B18="fr"),Skemaoplysninger!$M$46,"")</f>
        <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0</v>
      </c>
      <c r="CB18" s="1">
        <f t="shared" si="13"/>
        <v>0</v>
      </c>
      <c r="CC18" s="1">
        <f t="shared" si="14"/>
        <v>0</v>
      </c>
      <c r="CD18" s="207" t="str">
        <f>IF(AND(C18="Skema 1",B18="ma"),Skemaoplysninger!$E$47,"")</f>
        <v/>
      </c>
      <c r="CE18" s="207" t="str">
        <f>IF(AND(C18="Skema 1",B18="ti"),Skemaoplysninger!$G$47,"")</f>
        <v/>
      </c>
      <c r="CF18" s="207" t="str">
        <f>IF(AND(C18="Skema 1",B18="on"),Skemaoplysninger!$I$47,"")</f>
        <v/>
      </c>
      <c r="CG18" s="207" t="str">
        <f>IF(AND(C18="Skema 1",B18="to"),Skemaoplysninger!$K$47,"")</f>
        <v/>
      </c>
      <c r="CH18" s="207" t="str">
        <f>IF(AND(C18="Skema 1",B18="fr"),Skemaoplysninger!$M$47,"")</f>
        <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5"/>
        <v/>
      </c>
      <c r="DL18" t="str">
        <f t="shared" si="15"/>
        <v/>
      </c>
      <c r="DM18" t="str">
        <f t="shared" si="15"/>
        <v/>
      </c>
      <c r="DN18" t="str">
        <f t="shared" si="35"/>
        <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6"/>
        <v>0</v>
      </c>
      <c r="FZ18" s="634">
        <f t="shared" si="17"/>
        <v>0</v>
      </c>
      <c r="GA18">
        <f t="shared" si="18"/>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9"/>
        <v>0</v>
      </c>
      <c r="GL18">
        <f t="shared" si="20"/>
        <v>0</v>
      </c>
      <c r="GM18">
        <f t="shared" si="21"/>
        <v>0</v>
      </c>
      <c r="GN18" s="713">
        <f t="shared" si="22"/>
        <v>0</v>
      </c>
      <c r="GO18">
        <f t="shared" si="37"/>
        <v>0</v>
      </c>
      <c r="GP18" s="647">
        <f t="shared" si="38"/>
        <v>0</v>
      </c>
    </row>
    <row r="19" spans="1:198" ht="16" customHeight="1">
      <c r="A19" s="239">
        <f t="shared" si="23"/>
        <v>6</v>
      </c>
      <c r="B19" s="125" t="str">
        <f t="shared" si="0"/>
        <v>sø</v>
      </c>
      <c r="C19" s="126" t="s">
        <v>118</v>
      </c>
      <c r="D19" s="127" t="str">
        <f t="shared" si="1"/>
        <v/>
      </c>
      <c r="E19" s="1060"/>
      <c r="F19" s="1061"/>
      <c r="G19" s="1062"/>
      <c r="H19" s="292"/>
      <c r="I19" s="746" t="str">
        <f>IF(GO19=1,"X","")</f>
        <v/>
      </c>
      <c r="J19" s="746" t="str">
        <f t="shared" si="2"/>
        <v/>
      </c>
      <c r="K19" s="368"/>
      <c r="L19" s="368"/>
      <c r="M19" s="368"/>
      <c r="N19" s="311">
        <f t="shared" si="24"/>
        <v>0</v>
      </c>
      <c r="O19" s="311">
        <f t="shared" si="25"/>
        <v>0</v>
      </c>
      <c r="P19" s="311">
        <f>IF(Stamoplysninger!$H$34="JA",December!DG19,CX19)</f>
        <v>0</v>
      </c>
      <c r="Q19" s="311">
        <f t="shared" si="26"/>
        <v>0</v>
      </c>
      <c r="R19" s="751"/>
      <c r="S19" s="315"/>
      <c r="T19" s="316"/>
      <c r="U19" s="316"/>
      <c r="V19" s="422"/>
      <c r="W19" s="400"/>
      <c r="X19" s="619"/>
      <c r="Y19">
        <f t="shared" si="27"/>
        <v>0</v>
      </c>
      <c r="Z19">
        <f t="shared" si="3"/>
        <v>0</v>
      </c>
      <c r="AA19" s="1">
        <f t="shared" si="4"/>
        <v>0</v>
      </c>
      <c r="AB19" s="1">
        <f t="shared" si="5"/>
        <v>0</v>
      </c>
      <c r="AC19" s="1">
        <f t="shared" si="6"/>
        <v>0</v>
      </c>
      <c r="AD19" s="1">
        <f t="shared" si="7"/>
        <v>0</v>
      </c>
      <c r="AE19" s="1">
        <f t="shared" si="8"/>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9"/>
        <v>0</v>
      </c>
      <c r="BC19" s="1">
        <f t="shared" si="29"/>
        <v>0</v>
      </c>
      <c r="BD19" s="1">
        <f t="shared" si="10"/>
        <v>0</v>
      </c>
      <c r="BE19" s="1">
        <f t="shared" si="11"/>
        <v>0</v>
      </c>
      <c r="BF19" s="1">
        <f t="shared" si="12"/>
        <v>0</v>
      </c>
      <c r="BG19" s="207" t="str">
        <f>IF(AND(C19="Skema 1",B19="ma"),Skemaoplysninger!$E$46,"")</f>
        <v/>
      </c>
      <c r="BH19" s="207" t="str">
        <f>IF(AND(C19="Skema 1",B19="ti"),Skemaoplysninger!$G$46,"")</f>
        <v/>
      </c>
      <c r="BI19" s="207" t="str">
        <f>IF(AND(C19="Skema 1",B19="on"),Skemaoplysninger!$I$46,"")</f>
        <v/>
      </c>
      <c r="BJ19" s="207" t="str">
        <f>IF(AND(C19="Skema 1",B19="to"),Skemaoplysninger!$K$46,"")</f>
        <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0</v>
      </c>
      <c r="CB19" s="1">
        <f t="shared" si="13"/>
        <v>0</v>
      </c>
      <c r="CC19" s="1">
        <f t="shared" si="14"/>
        <v>0</v>
      </c>
      <c r="CD19" s="207" t="str">
        <f>IF(AND(C19="Skema 1",B19="ma"),Skemaoplysninger!$E$47,"")</f>
        <v/>
      </c>
      <c r="CE19" s="207" t="str">
        <f>IF(AND(C19="Skema 1",B19="ti"),Skemaoplysninger!$G$47,"")</f>
        <v/>
      </c>
      <c r="CF19" s="207" t="str">
        <f>IF(AND(C19="Skema 1",B19="on"),Skemaoplysninger!$I$47,"")</f>
        <v/>
      </c>
      <c r="CG19" s="207" t="str">
        <f>IF(AND(C19="Skema 1",B19="to"),Skemaoplysninger!$K$47,"")</f>
        <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5"/>
        <v/>
      </c>
      <c r="DL19" t="str">
        <f t="shared" si="15"/>
        <v/>
      </c>
      <c r="DM19" t="str">
        <f t="shared" si="15"/>
        <v/>
      </c>
      <c r="DN19" t="str">
        <f t="shared" si="35"/>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6"/>
        <v>0</v>
      </c>
      <c r="FZ19" s="634">
        <f t="shared" si="17"/>
        <v>0</v>
      </c>
      <c r="GA19">
        <f t="shared" si="18"/>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9"/>
        <v>0</v>
      </c>
      <c r="GL19">
        <f t="shared" si="20"/>
        <v>0</v>
      </c>
      <c r="GM19">
        <f t="shared" si="21"/>
        <v>0</v>
      </c>
      <c r="GN19" s="713">
        <f t="shared" si="22"/>
        <v>0</v>
      </c>
      <c r="GO19">
        <f t="shared" si="37"/>
        <v>0</v>
      </c>
      <c r="GP19" s="647">
        <f t="shared" si="38"/>
        <v>0</v>
      </c>
    </row>
    <row r="20" spans="1:198" ht="16" customHeight="1">
      <c r="A20" s="239">
        <f t="shared" si="23"/>
        <v>7</v>
      </c>
      <c r="B20" s="125" t="str">
        <f t="shared" si="0"/>
        <v>ma</v>
      </c>
      <c r="C20" s="126" t="s">
        <v>203</v>
      </c>
      <c r="D20" s="127">
        <f t="shared" si="1"/>
        <v>49.571428571428569</v>
      </c>
      <c r="E20" s="1060"/>
      <c r="F20" s="1061"/>
      <c r="G20" s="1062"/>
      <c r="H20" s="292"/>
      <c r="I20" s="745"/>
      <c r="J20" s="746" t="str">
        <f t="shared" si="2"/>
        <v/>
      </c>
      <c r="K20" s="368"/>
      <c r="L20" s="368"/>
      <c r="M20" s="368"/>
      <c r="N20" s="311">
        <f t="shared" si="24"/>
        <v>8.11</v>
      </c>
      <c r="O20" s="311">
        <f t="shared" si="25"/>
        <v>4.5</v>
      </c>
      <c r="P20" s="311">
        <f>IF(Stamoplysninger!$H$34="JA",December!DG20,CX20)</f>
        <v>1.9166666666666665</v>
      </c>
      <c r="Q20" s="311">
        <f t="shared" si="26"/>
        <v>1.6933333333333329</v>
      </c>
      <c r="R20" s="751"/>
      <c r="S20" s="315"/>
      <c r="T20" s="316"/>
      <c r="U20" s="316"/>
      <c r="V20" s="422"/>
      <c r="W20" s="400"/>
      <c r="X20" s="619"/>
      <c r="Y20">
        <f t="shared" si="27"/>
        <v>0</v>
      </c>
      <c r="Z20">
        <f t="shared" si="3"/>
        <v>0</v>
      </c>
      <c r="AA20" s="1">
        <f t="shared" si="4"/>
        <v>0</v>
      </c>
      <c r="AB20" s="1">
        <f t="shared" si="5"/>
        <v>0</v>
      </c>
      <c r="AC20" s="1">
        <f t="shared" si="6"/>
        <v>0</v>
      </c>
      <c r="AD20" s="1">
        <f t="shared" si="7"/>
        <v>0</v>
      </c>
      <c r="AE20" s="1">
        <f t="shared" si="8"/>
        <v>0</v>
      </c>
      <c r="AF20" s="1">
        <f>IF(C20="Orlov",7.4*Stamoplysninger!$E$20,0)</f>
        <v>0</v>
      </c>
      <c r="AG20">
        <f>IF(AND(C20="Skema 1",B20="ma"),Arbejdstidsoversigt!$E$77,"")</f>
        <v>8.11</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8.11</v>
      </c>
      <c r="BB20" s="224">
        <f t="shared" si="9"/>
        <v>194.64</v>
      </c>
      <c r="BC20" s="1">
        <f t="shared" si="29"/>
        <v>0</v>
      </c>
      <c r="BD20" s="1">
        <f t="shared" si="10"/>
        <v>0</v>
      </c>
      <c r="BE20" s="1">
        <f t="shared" si="11"/>
        <v>0</v>
      </c>
      <c r="BF20" s="1">
        <f t="shared" si="12"/>
        <v>0</v>
      </c>
      <c r="BG20" s="207">
        <f>IF(AND(C20="Skema 1",B20="ma"),Skemaoplysninger!$E$46,"")</f>
        <v>0.1875</v>
      </c>
      <c r="BH20" s="207" t="str">
        <f>IF(AND(C20="Skema 1",B20="ti"),Skemaoplysninger!$G$46,"")</f>
        <v/>
      </c>
      <c r="BI20" s="207" t="str">
        <f>IF(AND(C20="Skema 1",B20="on"),Skemaoplysninger!$I$46,"")</f>
        <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4.5</v>
      </c>
      <c r="CB20" s="1">
        <f t="shared" si="13"/>
        <v>0</v>
      </c>
      <c r="CC20" s="1">
        <f t="shared" si="14"/>
        <v>0</v>
      </c>
      <c r="CD20" s="207">
        <f>IF(AND(C20="Skema 1",B20="ma"),Skemaoplysninger!$E$47,"")</f>
        <v>7.9861111111111105E-2</v>
      </c>
      <c r="CE20" s="207" t="str">
        <f>IF(AND(C20="Skema 1",B20="ti"),Skemaoplysninger!$G$47,"")</f>
        <v/>
      </c>
      <c r="CF20" s="207" t="str">
        <f>IF(AND(C20="Skema 1",B20="on"),Skemaoplysninger!$I$47,"")</f>
        <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1.9166666666666665</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5"/>
        <v/>
      </c>
      <c r="DL20" t="str">
        <f t="shared" si="15"/>
        <v/>
      </c>
      <c r="DM20" t="str">
        <f t="shared" si="15"/>
        <v/>
      </c>
      <c r="DN20" t="str">
        <f t="shared" si="35"/>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6"/>
        <v>0</v>
      </c>
      <c r="FZ20" s="634">
        <f t="shared" si="17"/>
        <v>0</v>
      </c>
      <c r="GA20">
        <f t="shared" si="18"/>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9"/>
        <v>0</v>
      </c>
      <c r="GL20">
        <f t="shared" si="20"/>
        <v>0</v>
      </c>
      <c r="GM20">
        <f t="shared" si="21"/>
        <v>0</v>
      </c>
      <c r="GN20" s="713">
        <f t="shared" si="22"/>
        <v>0</v>
      </c>
      <c r="GO20">
        <f t="shared" si="37"/>
        <v>0</v>
      </c>
      <c r="GP20" s="647">
        <f t="shared" si="38"/>
        <v>0</v>
      </c>
    </row>
    <row r="21" spans="1:198">
      <c r="A21" s="239">
        <f t="shared" si="23"/>
        <v>8</v>
      </c>
      <c r="B21" s="125" t="str">
        <f t="shared" si="0"/>
        <v>ti</v>
      </c>
      <c r="C21" s="126" t="s">
        <v>203</v>
      </c>
      <c r="D21" s="127" t="str">
        <f t="shared" si="1"/>
        <v/>
      </c>
      <c r="E21" s="1060"/>
      <c r="F21" s="1061"/>
      <c r="G21" s="1062"/>
      <c r="H21" s="292"/>
      <c r="I21" s="745"/>
      <c r="J21" s="746" t="str">
        <f t="shared" si="2"/>
        <v/>
      </c>
      <c r="K21" s="368"/>
      <c r="L21" s="368"/>
      <c r="M21" s="368"/>
      <c r="N21" s="311">
        <f t="shared" si="24"/>
        <v>8.11</v>
      </c>
      <c r="O21" s="311">
        <f t="shared" si="25"/>
        <v>4.5</v>
      </c>
      <c r="P21" s="311">
        <f>IF(Stamoplysninger!$H$34="JA",December!DG21,CX21)</f>
        <v>1.9166666666666665</v>
      </c>
      <c r="Q21" s="311">
        <f t="shared" si="26"/>
        <v>1.6933333333333329</v>
      </c>
      <c r="R21" s="751"/>
      <c r="S21" s="315"/>
      <c r="T21" s="316"/>
      <c r="U21" s="316"/>
      <c r="V21" s="422"/>
      <c r="W21" s="400"/>
      <c r="X21" s="619"/>
      <c r="Y21">
        <f t="shared" si="27"/>
        <v>0</v>
      </c>
      <c r="Z21">
        <f t="shared" si="3"/>
        <v>0</v>
      </c>
      <c r="AA21" s="1">
        <f t="shared" si="4"/>
        <v>0</v>
      </c>
      <c r="AB21" s="1">
        <f t="shared" si="5"/>
        <v>0</v>
      </c>
      <c r="AC21" s="1">
        <f t="shared" si="6"/>
        <v>0</v>
      </c>
      <c r="AD21" s="1">
        <f t="shared" si="7"/>
        <v>0</v>
      </c>
      <c r="AE21" s="1">
        <f t="shared" si="8"/>
        <v>0</v>
      </c>
      <c r="AF21" s="1">
        <f>IF(C21="Orlov",7.4*Stamoplysninger!$E$20,0)</f>
        <v>0</v>
      </c>
      <c r="AG21" t="str">
        <f>IF(AND(C21="Skema 1",B21="ma"),Arbejdstidsoversigt!$E$77,"")</f>
        <v/>
      </c>
      <c r="AH21">
        <f>IF(AND(C21="Skema 1",B21="ti"),Arbejdstidsoversigt!$E$78,"")</f>
        <v>8.11</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8.11</v>
      </c>
      <c r="BB21" s="224">
        <f t="shared" si="9"/>
        <v>194.64</v>
      </c>
      <c r="BC21" s="1">
        <f t="shared" si="29"/>
        <v>0</v>
      </c>
      <c r="BD21" s="1">
        <f t="shared" si="10"/>
        <v>0</v>
      </c>
      <c r="BE21" s="1">
        <f t="shared" si="11"/>
        <v>0</v>
      </c>
      <c r="BF21" s="1">
        <f t="shared" si="12"/>
        <v>0</v>
      </c>
      <c r="BG21" s="207" t="str">
        <f>IF(AND(C21="Skema 1",B21="ma"),Skemaoplysninger!$E$46,"")</f>
        <v/>
      </c>
      <c r="BH21" s="207">
        <f>IF(AND(C21="Skema 1",B21="ti"),Skemaoplysninger!$G$46,"")</f>
        <v>0.1875</v>
      </c>
      <c r="BI21" s="207" t="str">
        <f>IF(AND(C21="Skema 1",B21="on"),Skemaoplysninger!$I$46,"")</f>
        <v/>
      </c>
      <c r="BJ21" s="207" t="str">
        <f>IF(AND(C21="Skema 1",B21="to"),Skemaoplysninger!$K$46,"")</f>
        <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4.5</v>
      </c>
      <c r="CB21" s="1">
        <f t="shared" si="13"/>
        <v>0</v>
      </c>
      <c r="CC21" s="1">
        <f t="shared" si="14"/>
        <v>0</v>
      </c>
      <c r="CD21" s="207" t="str">
        <f>IF(AND(C21="Skema 1",B21="ma"),Skemaoplysninger!$E$47,"")</f>
        <v/>
      </c>
      <c r="CE21" s="207">
        <f>IF(AND(C21="Skema 1",B21="ti"),Skemaoplysninger!$G$47,"")</f>
        <v>7.9861111111111105E-2</v>
      </c>
      <c r="CF21" s="207" t="str">
        <f>IF(AND(C21="Skema 1",B21="on"),Skemaoplysninger!$I$47,"")</f>
        <v/>
      </c>
      <c r="CG21" s="207" t="str">
        <f>IF(AND(C21="Skema 1",B21="to"),Skemaoplysninger!$K$47,"")</f>
        <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1.9166666666666665</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5"/>
        <v/>
      </c>
      <c r="DL21" t="str">
        <f t="shared" si="15"/>
        <v/>
      </c>
      <c r="DM21" t="str">
        <f t="shared" si="15"/>
        <v/>
      </c>
      <c r="DN21" t="str">
        <f t="shared" si="35"/>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6"/>
        <v>0</v>
      </c>
      <c r="FZ21" s="634">
        <f t="shared" si="17"/>
        <v>0</v>
      </c>
      <c r="GA21">
        <f t="shared" si="18"/>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9"/>
        <v>0</v>
      </c>
      <c r="GL21">
        <f t="shared" si="20"/>
        <v>0</v>
      </c>
      <c r="GM21">
        <f t="shared" si="21"/>
        <v>0</v>
      </c>
      <c r="GN21" s="713">
        <f t="shared" si="22"/>
        <v>0</v>
      </c>
      <c r="GO21">
        <f t="shared" si="37"/>
        <v>0</v>
      </c>
      <c r="GP21" s="647">
        <f t="shared" si="38"/>
        <v>0</v>
      </c>
    </row>
    <row r="22" spans="1:198">
      <c r="A22" s="239">
        <f t="shared" si="23"/>
        <v>9</v>
      </c>
      <c r="B22" s="125" t="str">
        <f t="shared" si="0"/>
        <v>on</v>
      </c>
      <c r="C22" s="126" t="s">
        <v>203</v>
      </c>
      <c r="D22" s="127" t="str">
        <f t="shared" si="1"/>
        <v/>
      </c>
      <c r="E22" s="1060"/>
      <c r="F22" s="1061"/>
      <c r="G22" s="1062"/>
      <c r="H22" s="292"/>
      <c r="I22" s="745"/>
      <c r="J22" s="746" t="str">
        <f t="shared" si="2"/>
        <v/>
      </c>
      <c r="K22" s="368"/>
      <c r="L22" s="368"/>
      <c r="M22" s="368"/>
      <c r="N22" s="311">
        <f t="shared" si="24"/>
        <v>8.11</v>
      </c>
      <c r="O22" s="311">
        <f t="shared" si="25"/>
        <v>2.75</v>
      </c>
      <c r="P22" s="311">
        <f>IF(Stamoplysninger!$H$34="JA",December!DG22,CX22)</f>
        <v>1.25</v>
      </c>
      <c r="Q22" s="311">
        <f t="shared" si="26"/>
        <v>4.1099999999999994</v>
      </c>
      <c r="R22" s="751"/>
      <c r="S22" s="315"/>
      <c r="T22" s="316"/>
      <c r="U22" s="316"/>
      <c r="V22" s="422"/>
      <c r="W22" s="400"/>
      <c r="X22" s="619"/>
      <c r="Y22">
        <f t="shared" si="27"/>
        <v>0</v>
      </c>
      <c r="Z22">
        <f t="shared" si="3"/>
        <v>0</v>
      </c>
      <c r="AA22" s="1">
        <f t="shared" si="4"/>
        <v>0</v>
      </c>
      <c r="AB22" s="1">
        <f t="shared" si="5"/>
        <v>0</v>
      </c>
      <c r="AC22" s="1">
        <f t="shared" si="6"/>
        <v>0</v>
      </c>
      <c r="AD22" s="1">
        <f t="shared" si="7"/>
        <v>0</v>
      </c>
      <c r="AE22" s="1">
        <f t="shared" si="8"/>
        <v>0</v>
      </c>
      <c r="AF22" s="1">
        <f>IF(C22="Orlov",7.4*Stamoplysninger!$E$20,0)</f>
        <v>0</v>
      </c>
      <c r="AG22" t="str">
        <f>IF(AND(C22="Skema 1",B22="ma"),Arbejdstidsoversigt!$E$77,"")</f>
        <v/>
      </c>
      <c r="AH22" t="str">
        <f>IF(AND(C22="Skema 1",B22="ti"),Arbejdstidsoversigt!$E$78,"")</f>
        <v/>
      </c>
      <c r="AI22">
        <f>IF(AND(C22="Skema 1",B22="on"),Arbejdstidsoversigt!$E$79,"")</f>
        <v>8.11</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8.11</v>
      </c>
      <c r="BB22" s="224">
        <f t="shared" si="9"/>
        <v>194.64</v>
      </c>
      <c r="BC22" s="1">
        <f t="shared" si="29"/>
        <v>0</v>
      </c>
      <c r="BD22" s="1">
        <f t="shared" si="10"/>
        <v>0</v>
      </c>
      <c r="BE22" s="1">
        <f t="shared" si="11"/>
        <v>0</v>
      </c>
      <c r="BF22" s="1">
        <f t="shared" si="12"/>
        <v>0</v>
      </c>
      <c r="BG22" s="207" t="str">
        <f>IF(AND(C22="Skema 1",B22="ma"),Skemaoplysninger!$E$46,"")</f>
        <v/>
      </c>
      <c r="BH22" s="207" t="str">
        <f>IF(AND(C22="Skema 1",B22="ti"),Skemaoplysninger!$G$46,"")</f>
        <v/>
      </c>
      <c r="BI22" s="207">
        <f>IF(AND(C22="Skema 1",B22="on"),Skemaoplysninger!$I$46,"")</f>
        <v>0.11458333333333333</v>
      </c>
      <c r="BJ22" s="207" t="str">
        <f>IF(AND(C22="Skema 1",B22="to"),Skemaoplysninger!$K$46,"")</f>
        <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2.75</v>
      </c>
      <c r="CB22" s="1">
        <f t="shared" si="13"/>
        <v>0</v>
      </c>
      <c r="CC22" s="1">
        <f t="shared" si="14"/>
        <v>0</v>
      </c>
      <c r="CD22" s="207" t="str">
        <f>IF(AND(C22="Skema 1",B22="ma"),Skemaoplysninger!$E$47,"")</f>
        <v/>
      </c>
      <c r="CE22" s="207" t="str">
        <f>IF(AND(C22="Skema 1",B22="ti"),Skemaoplysninger!$G$47,"")</f>
        <v/>
      </c>
      <c r="CF22" s="207">
        <f>IF(AND(C22="Skema 1",B22="on"),Skemaoplysninger!$I$47,"")</f>
        <v>5.2083333333333329E-2</v>
      </c>
      <c r="CG22" s="207" t="str">
        <f>IF(AND(C22="Skema 1",B22="to"),Skemaoplysninger!$K$47,"")</f>
        <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1.25</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5"/>
        <v/>
      </c>
      <c r="DL22" t="str">
        <f t="shared" si="15"/>
        <v/>
      </c>
      <c r="DM22" t="str">
        <f t="shared" si="15"/>
        <v/>
      </c>
      <c r="DN22" t="str">
        <f t="shared" si="35"/>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6"/>
        <v>0</v>
      </c>
      <c r="FZ22" s="634">
        <f t="shared" si="17"/>
        <v>0</v>
      </c>
      <c r="GA22">
        <f t="shared" si="18"/>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9"/>
        <v>0</v>
      </c>
      <c r="GL22">
        <f t="shared" si="20"/>
        <v>0</v>
      </c>
      <c r="GM22">
        <f t="shared" si="21"/>
        <v>0</v>
      </c>
      <c r="GN22" s="713">
        <f t="shared" si="22"/>
        <v>0</v>
      </c>
      <c r="GO22">
        <f t="shared" si="37"/>
        <v>0</v>
      </c>
      <c r="GP22" s="647">
        <f t="shared" si="38"/>
        <v>0</v>
      </c>
    </row>
    <row r="23" spans="1:198">
      <c r="A23" s="239">
        <f t="shared" si="23"/>
        <v>10</v>
      </c>
      <c r="B23" s="125" t="str">
        <f t="shared" si="0"/>
        <v>to</v>
      </c>
      <c r="C23" s="126" t="s">
        <v>203</v>
      </c>
      <c r="D23" s="127" t="str">
        <f t="shared" si="1"/>
        <v/>
      </c>
      <c r="E23" s="1060" t="s">
        <v>769</v>
      </c>
      <c r="F23" s="1061"/>
      <c r="G23" s="1062"/>
      <c r="H23" s="292"/>
      <c r="I23" s="745"/>
      <c r="J23" s="746" t="str">
        <f t="shared" si="2"/>
        <v/>
      </c>
      <c r="K23" s="368"/>
      <c r="L23" s="368"/>
      <c r="M23" s="368"/>
      <c r="N23" s="311">
        <f t="shared" si="24"/>
        <v>9</v>
      </c>
      <c r="O23" s="311">
        <f t="shared" si="25"/>
        <v>3.75</v>
      </c>
      <c r="P23" s="311">
        <f>IF(Stamoplysninger!$H$34="JA",December!DG23,CX23)</f>
        <v>1</v>
      </c>
      <c r="Q23" s="311">
        <f t="shared" si="26"/>
        <v>4.25</v>
      </c>
      <c r="R23" s="751"/>
      <c r="S23" s="315"/>
      <c r="T23" s="316"/>
      <c r="U23" s="316"/>
      <c r="V23" s="422"/>
      <c r="W23" s="400"/>
      <c r="X23" s="619"/>
      <c r="Y23">
        <f t="shared" si="27"/>
        <v>0</v>
      </c>
      <c r="Z23">
        <f t="shared" si="3"/>
        <v>0</v>
      </c>
      <c r="AA23" s="1">
        <f t="shared" si="4"/>
        <v>0</v>
      </c>
      <c r="AB23" s="1">
        <f t="shared" si="5"/>
        <v>0</v>
      </c>
      <c r="AC23" s="1">
        <f t="shared" si="6"/>
        <v>0</v>
      </c>
      <c r="AD23" s="1">
        <f t="shared" si="7"/>
        <v>0</v>
      </c>
      <c r="AE23" s="1">
        <f t="shared" si="8"/>
        <v>0</v>
      </c>
      <c r="AF23" s="1">
        <f>IF(C23="Orlov",7.4*Stamoplysninger!$E$20,0)</f>
        <v>0</v>
      </c>
      <c r="AG23" t="str">
        <f>IF(AND(C23="Skema 1",B23="ma"),Arbejdstidsoversigt!$E$77,"")</f>
        <v/>
      </c>
      <c r="AH23" t="str">
        <f>IF(AND(C23="Skema 1",B23="ti"),Arbejdstidsoversigt!$E$78,"")</f>
        <v/>
      </c>
      <c r="AI23" t="str">
        <f>IF(AND(C23="Skema 1",B23="on"),Arbejdstidsoversigt!$E$79,"")</f>
        <v/>
      </c>
      <c r="AJ23">
        <f>IF(AND(C23="Skema 1",B23="to"),Arbejdstidsoversigt!$E$80,"")</f>
        <v>9</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9</v>
      </c>
      <c r="BB23" s="224">
        <f t="shared" si="9"/>
        <v>216</v>
      </c>
      <c r="BC23" s="1">
        <f t="shared" si="29"/>
        <v>0</v>
      </c>
      <c r="BD23" s="1">
        <f t="shared" si="10"/>
        <v>0</v>
      </c>
      <c r="BE23" s="1">
        <f t="shared" si="11"/>
        <v>0</v>
      </c>
      <c r="BF23" s="1">
        <f t="shared" si="12"/>
        <v>0</v>
      </c>
      <c r="BG23" s="207" t="str">
        <f>IF(AND(C23="Skema 1",B23="ma"),Skemaoplysninger!$E$46,"")</f>
        <v/>
      </c>
      <c r="BH23" s="207" t="str">
        <f>IF(AND(C23="Skema 1",B23="ti"),Skemaoplysninger!$G$46,"")</f>
        <v/>
      </c>
      <c r="BI23" s="207" t="str">
        <f>IF(AND(C23="Skema 1",B23="on"),Skemaoplysninger!$I$46,"")</f>
        <v/>
      </c>
      <c r="BJ23" s="207">
        <f>IF(AND(C23="Skema 1",B23="to"),Skemaoplysninger!$K$46,"")</f>
        <v>0.15625</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3.75</v>
      </c>
      <c r="CB23" s="1">
        <f t="shared" si="13"/>
        <v>0</v>
      </c>
      <c r="CC23" s="1">
        <f t="shared" si="14"/>
        <v>0</v>
      </c>
      <c r="CD23" s="207" t="str">
        <f>IF(AND(C23="Skema 1",B23="ma"),Skemaoplysninger!$E$47,"")</f>
        <v/>
      </c>
      <c r="CE23" s="207" t="str">
        <f>IF(AND(C23="Skema 1",B23="ti"),Skemaoplysninger!$G$47,"")</f>
        <v/>
      </c>
      <c r="CF23" s="207" t="str">
        <f>IF(AND(C23="Skema 1",B23="on"),Skemaoplysninger!$I$47,"")</f>
        <v/>
      </c>
      <c r="CG23" s="207">
        <f>IF(AND(C23="Skema 1",B23="to"),Skemaoplysninger!$K$47,"")</f>
        <v>4.1666666666666664E-2</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1</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t="str">
        <f t="shared" si="33"/>
        <v>Lærermøde</v>
      </c>
      <c r="DJ23" t="str">
        <f t="shared" si="34"/>
        <v/>
      </c>
      <c r="DK23" t="str">
        <f t="shared" si="15"/>
        <v/>
      </c>
      <c r="DL23" t="str">
        <f t="shared" si="15"/>
        <v>Lærermøde</v>
      </c>
      <c r="DM23" t="str">
        <f t="shared" si="15"/>
        <v/>
      </c>
      <c r="DN23" t="str">
        <f t="shared" si="35"/>
        <v>Lærermøde</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6"/>
        <v>0</v>
      </c>
      <c r="FZ23" s="634">
        <f t="shared" si="17"/>
        <v>0</v>
      </c>
      <c r="GA23">
        <f t="shared" si="18"/>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9"/>
        <v>0</v>
      </c>
      <c r="GL23">
        <f t="shared" si="20"/>
        <v>0</v>
      </c>
      <c r="GM23">
        <f t="shared" si="21"/>
        <v>0</v>
      </c>
      <c r="GN23" s="713">
        <f t="shared" si="22"/>
        <v>0</v>
      </c>
      <c r="GO23">
        <f t="shared" si="37"/>
        <v>0</v>
      </c>
      <c r="GP23" s="647">
        <f t="shared" si="38"/>
        <v>0</v>
      </c>
    </row>
    <row r="24" spans="1:198">
      <c r="A24" s="239">
        <f t="shared" si="23"/>
        <v>11</v>
      </c>
      <c r="B24" s="125" t="str">
        <f t="shared" si="0"/>
        <v>fr</v>
      </c>
      <c r="C24" s="126" t="s">
        <v>203</v>
      </c>
      <c r="D24" s="127" t="str">
        <f t="shared" si="1"/>
        <v/>
      </c>
      <c r="E24" s="1060"/>
      <c r="F24" s="1061"/>
      <c r="G24" s="1062"/>
      <c r="H24" s="292"/>
      <c r="I24" s="745"/>
      <c r="J24" s="746" t="str">
        <f t="shared" si="2"/>
        <v/>
      </c>
      <c r="K24" s="368"/>
      <c r="L24" s="368"/>
      <c r="M24" s="368"/>
      <c r="N24" s="311">
        <f t="shared" si="24"/>
        <v>7.1</v>
      </c>
      <c r="O24" s="311">
        <f t="shared" si="25"/>
        <v>3.75</v>
      </c>
      <c r="P24" s="311">
        <f>IF(Stamoplysninger!$H$34="JA",December!DG24,CX24)</f>
        <v>1</v>
      </c>
      <c r="Q24" s="311">
        <f t="shared" si="26"/>
        <v>2.3499999999999996</v>
      </c>
      <c r="R24" s="751"/>
      <c r="S24" s="315"/>
      <c r="T24" s="316"/>
      <c r="U24" s="316"/>
      <c r="V24" s="422"/>
      <c r="W24" s="400"/>
      <c r="X24" s="619"/>
      <c r="Y24">
        <f t="shared" si="27"/>
        <v>0</v>
      </c>
      <c r="Z24">
        <f t="shared" si="3"/>
        <v>0</v>
      </c>
      <c r="AA24" s="1">
        <f t="shared" si="4"/>
        <v>0</v>
      </c>
      <c r="AB24" s="1">
        <f t="shared" si="5"/>
        <v>0</v>
      </c>
      <c r="AC24" s="1">
        <f t="shared" si="6"/>
        <v>0</v>
      </c>
      <c r="AD24" s="1">
        <f t="shared" si="7"/>
        <v>0</v>
      </c>
      <c r="AE24" s="1">
        <f t="shared" si="8"/>
        <v>0</v>
      </c>
      <c r="AF24" s="1">
        <f>IF(C24="Orlov",7.4*Stamoplysninger!$E$20,0)</f>
        <v>0</v>
      </c>
      <c r="AG24" t="str">
        <f>IF(AND(C24="Skema 1",B24="ma"),Arbejdstidsoversigt!$E$77,"")</f>
        <v/>
      </c>
      <c r="AH24" t="str">
        <f>IF(AND(C24="Skema 1",B24="ti"),Arbejdstidsoversigt!$E$78,"")</f>
        <v/>
      </c>
      <c r="AI24" t="str">
        <f>IF(AND(C24="Skema 1",B24="on"),Arbejdstidsoversigt!$E$79,"")</f>
        <v/>
      </c>
      <c r="AJ24" t="str">
        <f>IF(AND(C24="Skema 1",B24="to"),Arbejdstidsoversigt!$E$80,"")</f>
        <v/>
      </c>
      <c r="AK24">
        <f>IF(AND(C24="Skema 1",B24="fr"),Arbejdstidsoversigt!$E$81,"")</f>
        <v>7.1</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7.1</v>
      </c>
      <c r="BB24" s="224">
        <f t="shared" si="9"/>
        <v>170.39999999999998</v>
      </c>
      <c r="BC24" s="1">
        <f t="shared" si="29"/>
        <v>0</v>
      </c>
      <c r="BD24" s="1">
        <f t="shared" si="10"/>
        <v>0</v>
      </c>
      <c r="BE24" s="1">
        <f t="shared" si="11"/>
        <v>0</v>
      </c>
      <c r="BF24" s="1">
        <f t="shared" si="12"/>
        <v>0</v>
      </c>
      <c r="BG24" s="207" t="str">
        <f>IF(AND(C24="Skema 1",B24="ma"),Skemaoplysninger!$E$46,"")</f>
        <v/>
      </c>
      <c r="BH24" s="207" t="str">
        <f>IF(AND(C24="Skema 1",B24="ti"),Skemaoplysninger!$G$46,"")</f>
        <v/>
      </c>
      <c r="BI24" s="207" t="str">
        <f>IF(AND(C24="Skema 1",B24="on"),Skemaoplysninger!$I$46,"")</f>
        <v/>
      </c>
      <c r="BJ24" s="207" t="str">
        <f>IF(AND(C24="Skema 1",B24="to"),Skemaoplysninger!$K$46,"")</f>
        <v/>
      </c>
      <c r="BK24" s="207">
        <f>IF(AND(C24="Skema 1",B24="fr"),Skemaoplysninger!$M$46,"")</f>
        <v>0.15625</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3.75</v>
      </c>
      <c r="CB24" s="1">
        <f t="shared" si="13"/>
        <v>0</v>
      </c>
      <c r="CC24" s="1">
        <f t="shared" si="14"/>
        <v>0</v>
      </c>
      <c r="CD24" s="207" t="str">
        <f>IF(AND(C24="Skema 1",B24="ma"),Skemaoplysninger!$E$47,"")</f>
        <v/>
      </c>
      <c r="CE24" s="207" t="str">
        <f>IF(AND(C24="Skema 1",B24="ti"),Skemaoplysninger!$G$47,"")</f>
        <v/>
      </c>
      <c r="CF24" s="207" t="str">
        <f>IF(AND(C24="Skema 1",B24="on"),Skemaoplysninger!$I$47,"")</f>
        <v/>
      </c>
      <c r="CG24" s="207" t="str">
        <f>IF(AND(C24="Skema 1",B24="to"),Skemaoplysninger!$K$47,"")</f>
        <v/>
      </c>
      <c r="CH24" s="207">
        <f>IF(AND(C24="Skema 1",B24="fr"),Skemaoplysninger!$M$47,"")</f>
        <v>4.1666666666666664E-2</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1</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5"/>
        <v/>
      </c>
      <c r="DL24" t="str">
        <f t="shared" si="15"/>
        <v/>
      </c>
      <c r="DM24" t="str">
        <f t="shared" si="15"/>
        <v/>
      </c>
      <c r="DN24" t="str">
        <f t="shared" si="35"/>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6"/>
        <v>0</v>
      </c>
      <c r="FZ24" s="634">
        <f t="shared" si="17"/>
        <v>0</v>
      </c>
      <c r="GA24">
        <f t="shared" si="18"/>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9"/>
        <v>0</v>
      </c>
      <c r="GL24">
        <f t="shared" si="20"/>
        <v>0</v>
      </c>
      <c r="GM24">
        <f t="shared" si="21"/>
        <v>0</v>
      </c>
      <c r="GN24" s="713">
        <f t="shared" si="22"/>
        <v>0</v>
      </c>
      <c r="GO24">
        <f t="shared" si="37"/>
        <v>0</v>
      </c>
      <c r="GP24" s="647">
        <f t="shared" si="38"/>
        <v>0</v>
      </c>
    </row>
    <row r="25" spans="1:198">
      <c r="A25" s="239">
        <f>IF(ISNUMBER(A24),A24+1,1)</f>
        <v>12</v>
      </c>
      <c r="B25" s="125" t="str">
        <f t="shared" si="0"/>
        <v>lø</v>
      </c>
      <c r="C25" s="126" t="s">
        <v>118</v>
      </c>
      <c r="D25" s="127" t="str">
        <f t="shared" si="1"/>
        <v/>
      </c>
      <c r="E25" s="1060"/>
      <c r="F25" s="1061"/>
      <c r="G25" s="1062"/>
      <c r="H25" s="292"/>
      <c r="I25" s="746" t="str">
        <f>IF(GO25=1,"X","")</f>
        <v/>
      </c>
      <c r="J25" s="746" t="str">
        <f t="shared" si="2"/>
        <v/>
      </c>
      <c r="K25" s="368"/>
      <c r="L25" s="368"/>
      <c r="M25" s="368"/>
      <c r="N25" s="311">
        <f t="shared" si="24"/>
        <v>0</v>
      </c>
      <c r="O25" s="311">
        <f t="shared" si="25"/>
        <v>0</v>
      </c>
      <c r="P25" s="311">
        <f>IF(Stamoplysninger!$H$34="JA",December!DG25,CX25)</f>
        <v>0</v>
      </c>
      <c r="Q25" s="311">
        <f t="shared" si="26"/>
        <v>0</v>
      </c>
      <c r="R25" s="751"/>
      <c r="S25" s="315"/>
      <c r="T25" s="316"/>
      <c r="U25" s="316"/>
      <c r="V25" s="422"/>
      <c r="W25" s="400"/>
      <c r="X25" s="619"/>
      <c r="Y25">
        <f t="shared" si="27"/>
        <v>0</v>
      </c>
      <c r="Z25">
        <f t="shared" si="3"/>
        <v>0</v>
      </c>
      <c r="AA25" s="1">
        <f t="shared" si="4"/>
        <v>0</v>
      </c>
      <c r="AB25" s="1">
        <f t="shared" si="5"/>
        <v>0</v>
      </c>
      <c r="AC25" s="1">
        <f t="shared" si="6"/>
        <v>0</v>
      </c>
      <c r="AD25" s="1">
        <f t="shared" si="7"/>
        <v>0</v>
      </c>
      <c r="AE25" s="1">
        <f t="shared" si="8"/>
        <v>0</v>
      </c>
      <c r="AF25" s="1">
        <f>IF(C25="Orlov",7.4*Stamoplysninger!$E$20,0)</f>
        <v>0</v>
      </c>
      <c r="AG25" t="str">
        <f>IF(AND(C25="Skema 1",B25="ma"),Arbejdstidsoversigt!$E$77,"")</f>
        <v/>
      </c>
      <c r="AH25" t="str">
        <f>IF(AND(C25="Skema 1",B25="ti"),Arbejdstidsoversigt!$E$78,"")</f>
        <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9"/>
        <v>0</v>
      </c>
      <c r="BC25" s="1">
        <f t="shared" si="29"/>
        <v>0</v>
      </c>
      <c r="BD25" s="1">
        <f t="shared" si="10"/>
        <v>0</v>
      </c>
      <c r="BE25" s="1">
        <f t="shared" si="11"/>
        <v>0</v>
      </c>
      <c r="BF25" s="1">
        <f t="shared" si="12"/>
        <v>0</v>
      </c>
      <c r="BG25" s="207" t="str">
        <f>IF(AND(C25="Skema 1",B25="ma"),Skemaoplysninger!$E$46,"")</f>
        <v/>
      </c>
      <c r="BH25" s="207" t="str">
        <f>IF(AND(C25="Skema 1",B25="ti"),Skemaoplysninger!$G$46,"")</f>
        <v/>
      </c>
      <c r="BI25" s="207" t="str">
        <f>IF(AND(C25="Skema 1",B25="on"),Skemaoplysninger!$I$46,"")</f>
        <v/>
      </c>
      <c r="BJ25" s="207" t="str">
        <f>IF(AND(C25="Skema 1",B25="to"),Skemaoplysninger!$K$46,"")</f>
        <v/>
      </c>
      <c r="BK25" s="207" t="str">
        <f>IF(AND(C25="Skema 1",B25="fr"),Skemaoplysninger!$M$46,"")</f>
        <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0</v>
      </c>
      <c r="CB25" s="1">
        <f t="shared" si="13"/>
        <v>0</v>
      </c>
      <c r="CC25" s="1">
        <f t="shared" si="14"/>
        <v>0</v>
      </c>
      <c r="CD25" s="207" t="str">
        <f>IF(AND(C25="Skema 1",B25="ma"),Skemaoplysninger!$E$47,"")</f>
        <v/>
      </c>
      <c r="CE25" s="207" t="str">
        <f>IF(AND(C25="Skema 1",B25="ti"),Skemaoplysninger!$G$47,"")</f>
        <v/>
      </c>
      <c r="CF25" s="207" t="str">
        <f>IF(AND(C25="Skema 1",B25="on"),Skemaoplysninger!$I$47,"")</f>
        <v/>
      </c>
      <c r="CG25" s="207" t="str">
        <f>IF(AND(C25="Skema 1",B25="to"),Skemaoplysninger!$K$47,"")</f>
        <v/>
      </c>
      <c r="CH25" s="207" t="str">
        <f>IF(AND(C25="Skema 1",B25="fr"),Skemaoplysninger!$M$47,"")</f>
        <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5"/>
        <v/>
      </c>
      <c r="DL25" t="str">
        <f t="shared" si="15"/>
        <v/>
      </c>
      <c r="DM25" t="str">
        <f t="shared" si="15"/>
        <v/>
      </c>
      <c r="DN25" t="str">
        <f t="shared" si="35"/>
        <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6"/>
        <v>0</v>
      </c>
      <c r="FZ25" s="634">
        <f t="shared" si="17"/>
        <v>0</v>
      </c>
      <c r="GA25">
        <f t="shared" si="18"/>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9"/>
        <v>0</v>
      </c>
      <c r="GL25">
        <f t="shared" si="20"/>
        <v>0</v>
      </c>
      <c r="GM25">
        <f t="shared" si="21"/>
        <v>0</v>
      </c>
      <c r="GN25" s="713">
        <f t="shared" si="22"/>
        <v>0</v>
      </c>
      <c r="GO25">
        <f t="shared" si="37"/>
        <v>0</v>
      </c>
      <c r="GP25" s="647">
        <f t="shared" si="38"/>
        <v>0</v>
      </c>
    </row>
    <row r="26" spans="1:198">
      <c r="A26" s="239">
        <f>IF(ISNUMBER(A25),A25+1,1)</f>
        <v>13</v>
      </c>
      <c r="B26" s="125" t="str">
        <f t="shared" si="0"/>
        <v>sø</v>
      </c>
      <c r="C26" s="126" t="s">
        <v>118</v>
      </c>
      <c r="D26" s="127" t="str">
        <f t="shared" si="1"/>
        <v/>
      </c>
      <c r="E26" s="1123"/>
      <c r="F26" s="1124"/>
      <c r="G26" s="1125"/>
      <c r="H26" s="291"/>
      <c r="I26" s="746" t="str">
        <f>IF(GO26=1,"X","")</f>
        <v/>
      </c>
      <c r="J26" s="746" t="str">
        <f t="shared" si="2"/>
        <v/>
      </c>
      <c r="K26" s="368"/>
      <c r="L26" s="368"/>
      <c r="M26" s="368"/>
      <c r="N26" s="311">
        <f t="shared" si="24"/>
        <v>0</v>
      </c>
      <c r="O26" s="311">
        <f t="shared" si="25"/>
        <v>0</v>
      </c>
      <c r="P26" s="311">
        <f>IF(Stamoplysninger!$H$34="JA",December!DG26,CX26)</f>
        <v>0</v>
      </c>
      <c r="Q26" s="311">
        <f t="shared" si="26"/>
        <v>0</v>
      </c>
      <c r="R26" s="751"/>
      <c r="S26" s="315"/>
      <c r="T26" s="316"/>
      <c r="U26" s="316"/>
      <c r="V26" s="422"/>
      <c r="W26" s="400"/>
      <c r="X26" s="619"/>
      <c r="Y26">
        <f t="shared" si="27"/>
        <v>0</v>
      </c>
      <c r="Z26">
        <f t="shared" si="3"/>
        <v>0</v>
      </c>
      <c r="AA26" s="1">
        <f t="shared" si="4"/>
        <v>0</v>
      </c>
      <c r="AB26" s="1">
        <f t="shared" si="5"/>
        <v>0</v>
      </c>
      <c r="AC26" s="1">
        <f t="shared" si="6"/>
        <v>0</v>
      </c>
      <c r="AD26" s="1">
        <f t="shared" si="7"/>
        <v>0</v>
      </c>
      <c r="AE26" s="1">
        <f t="shared" si="8"/>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9"/>
        <v>0</v>
      </c>
      <c r="BC26" s="1">
        <f t="shared" si="29"/>
        <v>0</v>
      </c>
      <c r="BD26" s="1">
        <f t="shared" si="10"/>
        <v>0</v>
      </c>
      <c r="BE26" s="1">
        <f t="shared" si="11"/>
        <v>0</v>
      </c>
      <c r="BF26" s="1">
        <f t="shared" si="12"/>
        <v>0</v>
      </c>
      <c r="BG26" s="207" t="str">
        <f>IF(AND(C26="Skema 1",B26="ma"),Skemaoplysninger!$E$46,"")</f>
        <v/>
      </c>
      <c r="BH26" s="207" t="str">
        <f>IF(AND(C26="Skema 1",B26="ti"),Skemaoplysninger!$G$46,"")</f>
        <v/>
      </c>
      <c r="BI26" s="207" t="str">
        <f>IF(AND(C26="Skema 1",B26="on"),Skemaoplysninger!$I$46,"")</f>
        <v/>
      </c>
      <c r="BJ26" s="207" t="str">
        <f>IF(AND(C26="Skema 1",B26="to"),Skemaoplysninger!$K$46,"")</f>
        <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0</v>
      </c>
      <c r="CB26" s="1">
        <f t="shared" si="13"/>
        <v>0</v>
      </c>
      <c r="CC26" s="1">
        <f t="shared" si="14"/>
        <v>0</v>
      </c>
      <c r="CD26" s="207" t="str">
        <f>IF(AND(C26="Skema 1",B26="ma"),Skemaoplysninger!$E$47,"")</f>
        <v/>
      </c>
      <c r="CE26" s="207" t="str">
        <f>IF(AND(C26="Skema 1",B26="ti"),Skemaoplysninger!$G$47,"")</f>
        <v/>
      </c>
      <c r="CF26" s="207" t="str">
        <f>IF(AND(C26="Skema 1",B26="on"),Skemaoplysninger!$I$47,"")</f>
        <v/>
      </c>
      <c r="CG26" s="207" t="str">
        <f>IF(AND(C26="Skema 1",B26="to"),Skemaoplysninger!$K$47,"")</f>
        <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5"/>
        <v/>
      </c>
      <c r="DL26" t="str">
        <f t="shared" si="15"/>
        <v/>
      </c>
      <c r="DM26" t="str">
        <f t="shared" si="15"/>
        <v/>
      </c>
      <c r="DN26" t="str">
        <f t="shared" si="35"/>
        <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6"/>
        <v>0</v>
      </c>
      <c r="FZ26" s="634">
        <f t="shared" si="17"/>
        <v>0</v>
      </c>
      <c r="GA26">
        <f t="shared" si="18"/>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9"/>
        <v>0</v>
      </c>
      <c r="GL26">
        <f t="shared" si="20"/>
        <v>0</v>
      </c>
      <c r="GM26">
        <f t="shared" si="21"/>
        <v>0</v>
      </c>
      <c r="GN26" s="713">
        <f t="shared" si="22"/>
        <v>0</v>
      </c>
      <c r="GO26">
        <f t="shared" si="37"/>
        <v>0</v>
      </c>
      <c r="GP26" s="647">
        <f t="shared" si="38"/>
        <v>0</v>
      </c>
    </row>
    <row r="27" spans="1:198">
      <c r="A27" s="239">
        <f t="shared" si="23"/>
        <v>14</v>
      </c>
      <c r="B27" s="125" t="str">
        <f t="shared" si="0"/>
        <v>ma</v>
      </c>
      <c r="C27" s="126" t="s">
        <v>203</v>
      </c>
      <c r="D27" s="127">
        <f t="shared" si="1"/>
        <v>50.571428571428569</v>
      </c>
      <c r="E27" s="1123"/>
      <c r="F27" s="1124"/>
      <c r="G27" s="1125"/>
      <c r="H27" s="291" t="s">
        <v>757</v>
      </c>
      <c r="I27" s="745"/>
      <c r="J27" s="746" t="str">
        <f t="shared" si="2"/>
        <v/>
      </c>
      <c r="K27" s="368"/>
      <c r="L27" s="368"/>
      <c r="M27" s="368"/>
      <c r="N27" s="311">
        <f t="shared" si="24"/>
        <v>8.11</v>
      </c>
      <c r="O27" s="311">
        <f t="shared" si="25"/>
        <v>4.5</v>
      </c>
      <c r="P27" s="311">
        <f>IF(Stamoplysninger!$H$34="JA",December!DG27,CX27)</f>
        <v>1.9166666666666665</v>
      </c>
      <c r="Q27" s="311">
        <f t="shared" si="26"/>
        <v>1.6933333333333329</v>
      </c>
      <c r="R27" s="751">
        <v>4</v>
      </c>
      <c r="S27" s="315"/>
      <c r="T27" s="316"/>
      <c r="U27" s="316"/>
      <c r="V27" s="422"/>
      <c r="W27" s="400"/>
      <c r="X27" s="619"/>
      <c r="Y27">
        <f t="shared" si="27"/>
        <v>0</v>
      </c>
      <c r="Z27">
        <f t="shared" si="3"/>
        <v>0</v>
      </c>
      <c r="AA27" s="1">
        <f t="shared" si="4"/>
        <v>0</v>
      </c>
      <c r="AB27" s="1">
        <f t="shared" si="5"/>
        <v>0</v>
      </c>
      <c r="AC27" s="1">
        <f t="shared" si="6"/>
        <v>0</v>
      </c>
      <c r="AD27" s="1">
        <f t="shared" si="7"/>
        <v>0</v>
      </c>
      <c r="AE27" s="1">
        <f t="shared" si="8"/>
        <v>0</v>
      </c>
      <c r="AF27" s="1">
        <f>IF(C27="Orlov",7.4*Stamoplysninger!$E$20,0)</f>
        <v>0</v>
      </c>
      <c r="AG27">
        <f>IF(AND(C27="Skema 1",B27="ma"),Arbejdstidsoversigt!$E$77,"")</f>
        <v>8.11</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8.11</v>
      </c>
      <c r="BB27" s="224">
        <f t="shared" si="9"/>
        <v>194.64</v>
      </c>
      <c r="BC27" s="1">
        <f t="shared" si="29"/>
        <v>0</v>
      </c>
      <c r="BD27" s="1">
        <f t="shared" si="10"/>
        <v>0</v>
      </c>
      <c r="BE27" s="1">
        <f t="shared" si="11"/>
        <v>0</v>
      </c>
      <c r="BF27" s="1">
        <f t="shared" si="12"/>
        <v>0</v>
      </c>
      <c r="BG27" s="207">
        <f>IF(AND(C27="Skema 1",B27="ma"),Skemaoplysninger!$E$46,"")</f>
        <v>0.1875</v>
      </c>
      <c r="BH27" s="207" t="str">
        <f>IF(AND(C27="Skema 1",B27="ti"),Skemaoplysninger!$G$46,"")</f>
        <v/>
      </c>
      <c r="BI27" s="207" t="str">
        <f>IF(AND(C27="Skema 1",B27="on"),Skemaoplysninger!$I$46,"")</f>
        <v/>
      </c>
      <c r="BJ27" s="207" t="str">
        <f>IF(AND(C27="Skema 1",B27="to"),Skemaoplysninger!$K$46,"")</f>
        <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4.5</v>
      </c>
      <c r="CB27" s="1">
        <f t="shared" si="13"/>
        <v>0</v>
      </c>
      <c r="CC27" s="1">
        <f t="shared" si="14"/>
        <v>0</v>
      </c>
      <c r="CD27" s="207">
        <f>IF(AND(C27="Skema 1",B27="ma"),Skemaoplysninger!$E$47,"")</f>
        <v>7.9861111111111105E-2</v>
      </c>
      <c r="CE27" s="207" t="str">
        <f>IF(AND(C27="Skema 1",B27="ti"),Skemaoplysninger!$G$47,"")</f>
        <v/>
      </c>
      <c r="CF27" s="207" t="str">
        <f>IF(AND(C27="Skema 1",B27="on"),Skemaoplysninger!$I$47,"")</f>
        <v/>
      </c>
      <c r="CG27" s="207" t="str">
        <f>IF(AND(C27="Skema 1",B27="to"),Skemaoplysninger!$K$47,"")</f>
        <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1.9166666666666665</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t="str">
        <f t="shared" si="33"/>
        <v/>
      </c>
      <c r="DJ27" t="str">
        <f t="shared" si="34"/>
        <v>Julehygge med lucia</v>
      </c>
      <c r="DK27" t="str">
        <f t="shared" si="15"/>
        <v/>
      </c>
      <c r="DL27" t="str">
        <f t="shared" si="15"/>
        <v/>
      </c>
      <c r="DM27" t="str">
        <f t="shared" si="15"/>
        <v>Julehygge med lucia</v>
      </c>
      <c r="DN27" t="str">
        <f t="shared" si="35"/>
        <v>Julehygge med lucia</v>
      </c>
      <c r="DO27" s="628">
        <f>IF(AND(Stamoplysninger!$B$27="Ulempetillæg udbetales med 25% af nettotimelønnen.",H27&gt;0),(R27/4),0)</f>
        <v>1</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6"/>
        <v>0</v>
      </c>
      <c r="FZ27" s="634">
        <f t="shared" si="17"/>
        <v>0</v>
      </c>
      <c r="GA27">
        <f t="shared" si="18"/>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9"/>
        <v>0</v>
      </c>
      <c r="GL27">
        <f t="shared" si="20"/>
        <v>0</v>
      </c>
      <c r="GM27">
        <f t="shared" si="21"/>
        <v>0</v>
      </c>
      <c r="GN27" s="713">
        <f t="shared" si="22"/>
        <v>0</v>
      </c>
      <c r="GO27">
        <f t="shared" si="37"/>
        <v>0</v>
      </c>
      <c r="GP27" s="647">
        <f t="shared" si="38"/>
        <v>0</v>
      </c>
    </row>
    <row r="28" spans="1:198">
      <c r="A28" s="239">
        <f t="shared" si="23"/>
        <v>15</v>
      </c>
      <c r="B28" s="125" t="str">
        <f t="shared" si="0"/>
        <v>ti</v>
      </c>
      <c r="C28" s="126" t="s">
        <v>203</v>
      </c>
      <c r="D28" s="127" t="str">
        <f t="shared" si="1"/>
        <v/>
      </c>
      <c r="E28" s="1123"/>
      <c r="F28" s="1124"/>
      <c r="G28" s="1125"/>
      <c r="H28" s="291"/>
      <c r="I28" s="745"/>
      <c r="J28" s="746" t="str">
        <f t="shared" si="2"/>
        <v/>
      </c>
      <c r="K28" s="368"/>
      <c r="L28" s="368"/>
      <c r="M28" s="368"/>
      <c r="N28" s="311">
        <f t="shared" si="24"/>
        <v>8.11</v>
      </c>
      <c r="O28" s="311">
        <f t="shared" si="25"/>
        <v>4.5</v>
      </c>
      <c r="P28" s="311">
        <f>IF(Stamoplysninger!$H$34="JA",December!DG28,CX28)</f>
        <v>1.9166666666666665</v>
      </c>
      <c r="Q28" s="311">
        <f t="shared" si="26"/>
        <v>1.6933333333333329</v>
      </c>
      <c r="R28" s="751"/>
      <c r="S28" s="315"/>
      <c r="T28" s="316"/>
      <c r="U28" s="316"/>
      <c r="V28" s="422"/>
      <c r="W28" s="400"/>
      <c r="X28" s="619"/>
      <c r="Y28">
        <f t="shared" si="27"/>
        <v>0</v>
      </c>
      <c r="Z28">
        <f t="shared" si="3"/>
        <v>0</v>
      </c>
      <c r="AA28" s="1">
        <f t="shared" si="4"/>
        <v>0</v>
      </c>
      <c r="AB28" s="1">
        <f t="shared" si="5"/>
        <v>0</v>
      </c>
      <c r="AC28" s="1">
        <f t="shared" si="6"/>
        <v>0</v>
      </c>
      <c r="AD28" s="1">
        <f t="shared" si="7"/>
        <v>0</v>
      </c>
      <c r="AE28" s="1">
        <f t="shared" si="8"/>
        <v>0</v>
      </c>
      <c r="AF28" s="1">
        <f>IF(C28="Orlov",7.4*Stamoplysninger!$E$20,0)</f>
        <v>0</v>
      </c>
      <c r="AG28" t="str">
        <f>IF(AND(C28="Skema 1",B28="ma"),Arbejdstidsoversigt!$E$77,"")</f>
        <v/>
      </c>
      <c r="AH28">
        <f>IF(AND(C28="Skema 1",B28="ti"),Arbejdstidsoversigt!$E$78,"")</f>
        <v>8.11</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8.11</v>
      </c>
      <c r="BB28" s="224">
        <f t="shared" si="9"/>
        <v>194.64</v>
      </c>
      <c r="BC28" s="1">
        <f t="shared" si="29"/>
        <v>0</v>
      </c>
      <c r="BD28" s="1">
        <f t="shared" si="10"/>
        <v>0</v>
      </c>
      <c r="BE28" s="1">
        <f t="shared" si="11"/>
        <v>0</v>
      </c>
      <c r="BF28" s="1">
        <f t="shared" si="12"/>
        <v>0</v>
      </c>
      <c r="BG28" s="207" t="str">
        <f>IF(AND(C28="Skema 1",B28="ma"),Skemaoplysninger!$E$46,"")</f>
        <v/>
      </c>
      <c r="BH28" s="207">
        <f>IF(AND(C28="Skema 1",B28="ti"),Skemaoplysninger!$G$46,"")</f>
        <v>0.1875</v>
      </c>
      <c r="BI28" s="207" t="str">
        <f>IF(AND(C28="Skema 1",B28="on"),Skemaoplysninger!$I$46,"")</f>
        <v/>
      </c>
      <c r="BJ28" s="207" t="str">
        <f>IF(AND(C28="Skema 1",B28="to"),Skemaoplysninger!$K$46,"")</f>
        <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4.5</v>
      </c>
      <c r="CB28" s="1">
        <f t="shared" si="13"/>
        <v>0</v>
      </c>
      <c r="CC28" s="1">
        <f t="shared" si="14"/>
        <v>0</v>
      </c>
      <c r="CD28" s="207" t="str">
        <f>IF(AND(C28="Skema 1",B28="ma"),Skemaoplysninger!$E$47,"")</f>
        <v/>
      </c>
      <c r="CE28" s="207">
        <f>IF(AND(C28="Skema 1",B28="ti"),Skemaoplysninger!$G$47,"")</f>
        <v>7.9861111111111105E-2</v>
      </c>
      <c r="CF28" s="207" t="str">
        <f>IF(AND(C28="Skema 1",B28="on"),Skemaoplysninger!$I$47,"")</f>
        <v/>
      </c>
      <c r="CG28" s="207" t="str">
        <f>IF(AND(C28="Skema 1",B28="to"),Skemaoplysninger!$K$47,"")</f>
        <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1.9166666666666665</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5"/>
        <v/>
      </c>
      <c r="DL28" t="str">
        <f t="shared" si="15"/>
        <v/>
      </c>
      <c r="DM28" t="str">
        <f t="shared" si="15"/>
        <v/>
      </c>
      <c r="DN28" t="str">
        <f t="shared" si="35"/>
        <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6"/>
        <v>0</v>
      </c>
      <c r="FZ28" s="634">
        <f t="shared" si="17"/>
        <v>0</v>
      </c>
      <c r="GA28">
        <f t="shared" si="18"/>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9"/>
        <v>0</v>
      </c>
      <c r="GL28">
        <f t="shared" si="20"/>
        <v>0</v>
      </c>
      <c r="GM28">
        <f t="shared" si="21"/>
        <v>0</v>
      </c>
      <c r="GN28" s="713">
        <f t="shared" si="22"/>
        <v>0</v>
      </c>
      <c r="GO28">
        <f t="shared" si="37"/>
        <v>0</v>
      </c>
      <c r="GP28" s="647">
        <f t="shared" si="38"/>
        <v>0</v>
      </c>
    </row>
    <row r="29" spans="1:198">
      <c r="A29" s="239">
        <f>IF(ISNUMBER(A28),A28+1,1)</f>
        <v>16</v>
      </c>
      <c r="B29" s="125" t="str">
        <f t="shared" si="0"/>
        <v>on</v>
      </c>
      <c r="C29" s="126" t="s">
        <v>203</v>
      </c>
      <c r="D29" s="127" t="str">
        <f t="shared" si="1"/>
        <v/>
      </c>
      <c r="E29" s="1060"/>
      <c r="F29" s="1061"/>
      <c r="G29" s="1062"/>
      <c r="H29" s="292"/>
      <c r="I29" s="745"/>
      <c r="J29" s="746" t="str">
        <f t="shared" si="2"/>
        <v/>
      </c>
      <c r="K29" s="368"/>
      <c r="L29" s="368"/>
      <c r="M29" s="368"/>
      <c r="N29" s="311">
        <f t="shared" si="24"/>
        <v>8.11</v>
      </c>
      <c r="O29" s="311">
        <f t="shared" si="25"/>
        <v>2.75</v>
      </c>
      <c r="P29" s="311">
        <f>IF(Stamoplysninger!$H$34="JA",December!DG29,CX29)</f>
        <v>1.25</v>
      </c>
      <c r="Q29" s="311">
        <f t="shared" si="26"/>
        <v>4.1099999999999994</v>
      </c>
      <c r="R29" s="751"/>
      <c r="S29" s="315"/>
      <c r="T29" s="316"/>
      <c r="U29" s="316"/>
      <c r="V29" s="422"/>
      <c r="W29" s="400"/>
      <c r="X29" s="619"/>
      <c r="Y29">
        <f t="shared" si="27"/>
        <v>0</v>
      </c>
      <c r="Z29">
        <f t="shared" si="3"/>
        <v>0</v>
      </c>
      <c r="AA29" s="1">
        <f t="shared" si="4"/>
        <v>0</v>
      </c>
      <c r="AB29" s="1">
        <f t="shared" si="5"/>
        <v>0</v>
      </c>
      <c r="AC29" s="1">
        <f t="shared" si="6"/>
        <v>0</v>
      </c>
      <c r="AD29" s="1">
        <f t="shared" si="7"/>
        <v>0</v>
      </c>
      <c r="AE29" s="1">
        <f t="shared" si="8"/>
        <v>0</v>
      </c>
      <c r="AF29" s="1">
        <f>IF(C29="Orlov",7.4*Stamoplysninger!$E$20,0)</f>
        <v>0</v>
      </c>
      <c r="AG29" t="str">
        <f>IF(AND(C29="Skema 1",B29="ma"),Arbejdstidsoversigt!$E$77,"")</f>
        <v/>
      </c>
      <c r="AH29" t="str">
        <f>IF(AND(C29="Skema 1",B29="ti"),Arbejdstidsoversigt!$E$78,"")</f>
        <v/>
      </c>
      <c r="AI29">
        <f>IF(AND(C29="Skema 1",B29="on"),Arbejdstidsoversigt!$E$79,"")</f>
        <v>8.11</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8.11</v>
      </c>
      <c r="BB29" s="224">
        <f t="shared" si="9"/>
        <v>194.64</v>
      </c>
      <c r="BC29" s="1">
        <f t="shared" si="29"/>
        <v>0</v>
      </c>
      <c r="BD29" s="1">
        <f t="shared" si="10"/>
        <v>0</v>
      </c>
      <c r="BE29" s="1">
        <f t="shared" si="11"/>
        <v>0</v>
      </c>
      <c r="BF29" s="1">
        <f t="shared" si="12"/>
        <v>0</v>
      </c>
      <c r="BG29" s="207" t="str">
        <f>IF(AND(C29="Skema 1",B29="ma"),Skemaoplysninger!$E$46,"")</f>
        <v/>
      </c>
      <c r="BH29" s="207" t="str">
        <f>IF(AND(C29="Skema 1",B29="ti"),Skemaoplysninger!$G$46,"")</f>
        <v/>
      </c>
      <c r="BI29" s="207">
        <f>IF(AND(C29="Skema 1",B29="on"),Skemaoplysninger!$I$46,"")</f>
        <v>0.11458333333333333</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2.75</v>
      </c>
      <c r="CB29" s="1">
        <f t="shared" si="13"/>
        <v>0</v>
      </c>
      <c r="CC29" s="1">
        <f t="shared" si="14"/>
        <v>0</v>
      </c>
      <c r="CD29" s="207" t="str">
        <f>IF(AND(C29="Skema 1",B29="ma"),Skemaoplysninger!$E$47,"")</f>
        <v/>
      </c>
      <c r="CE29" s="207" t="str">
        <f>IF(AND(C29="Skema 1",B29="ti"),Skemaoplysninger!$G$47,"")</f>
        <v/>
      </c>
      <c r="CF29" s="207">
        <f>IF(AND(C29="Skema 1",B29="on"),Skemaoplysninger!$I$47,"")</f>
        <v>5.2083333333333329E-2</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1.25</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f t="shared" si="33"/>
        <v>0</v>
      </c>
      <c r="DJ29">
        <f t="shared" si="34"/>
        <v>0</v>
      </c>
      <c r="DK29" t="str">
        <f t="shared" si="15"/>
        <v/>
      </c>
      <c r="DL29" t="str">
        <f t="shared" si="15"/>
        <v/>
      </c>
      <c r="DM29" t="str">
        <f t="shared" si="15"/>
        <v/>
      </c>
      <c r="DN29" t="str">
        <f t="shared" si="35"/>
        <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6"/>
        <v>0</v>
      </c>
      <c r="FZ29" s="634">
        <f t="shared" si="17"/>
        <v>0</v>
      </c>
      <c r="GA29">
        <f t="shared" si="18"/>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9"/>
        <v>0</v>
      </c>
      <c r="GL29">
        <f t="shared" si="20"/>
        <v>0</v>
      </c>
      <c r="GM29">
        <f t="shared" si="21"/>
        <v>0</v>
      </c>
      <c r="GN29" s="713">
        <f t="shared" si="22"/>
        <v>0</v>
      </c>
      <c r="GO29">
        <f t="shared" si="37"/>
        <v>0</v>
      </c>
      <c r="GP29" s="647">
        <f t="shared" si="38"/>
        <v>0</v>
      </c>
    </row>
    <row r="30" spans="1:198">
      <c r="A30" s="239">
        <f t="shared" si="23"/>
        <v>17</v>
      </c>
      <c r="B30" s="125" t="str">
        <f t="shared" si="0"/>
        <v>to</v>
      </c>
      <c r="C30" s="126" t="s">
        <v>203</v>
      </c>
      <c r="D30" s="127" t="str">
        <f t="shared" si="1"/>
        <v/>
      </c>
      <c r="E30" s="1060"/>
      <c r="F30" s="1061"/>
      <c r="G30" s="1062"/>
      <c r="H30" s="292"/>
      <c r="I30" s="745"/>
      <c r="J30" s="746" t="str">
        <f t="shared" si="2"/>
        <v/>
      </c>
      <c r="K30" s="368"/>
      <c r="L30" s="368"/>
      <c r="M30" s="368"/>
      <c r="N30" s="311">
        <f t="shared" si="24"/>
        <v>9</v>
      </c>
      <c r="O30" s="311">
        <f t="shared" si="25"/>
        <v>3.75</v>
      </c>
      <c r="P30" s="311">
        <f>IF(Stamoplysninger!$H$34="JA",December!DG30,CX30)</f>
        <v>1</v>
      </c>
      <c r="Q30" s="311">
        <f t="shared" si="26"/>
        <v>4.25</v>
      </c>
      <c r="R30" s="751"/>
      <c r="S30" s="315"/>
      <c r="T30" s="316"/>
      <c r="U30" s="316"/>
      <c r="V30" s="422"/>
      <c r="W30" s="400"/>
      <c r="X30" s="619"/>
      <c r="Y30">
        <f t="shared" si="27"/>
        <v>0</v>
      </c>
      <c r="Z30">
        <f t="shared" si="3"/>
        <v>0</v>
      </c>
      <c r="AA30" s="1">
        <f t="shared" si="4"/>
        <v>0</v>
      </c>
      <c r="AB30" s="1">
        <f t="shared" si="5"/>
        <v>0</v>
      </c>
      <c r="AC30" s="1">
        <f t="shared" si="6"/>
        <v>0</v>
      </c>
      <c r="AD30" s="1">
        <f t="shared" si="7"/>
        <v>0</v>
      </c>
      <c r="AE30" s="1">
        <f t="shared" si="8"/>
        <v>0</v>
      </c>
      <c r="AF30" s="1">
        <f>IF(C30="Orlov",7.4*Stamoplysninger!$E$20,0)</f>
        <v>0</v>
      </c>
      <c r="AG30" t="str">
        <f>IF(AND(C30="Skema 1",B30="ma"),Arbejdstidsoversigt!$E$77,"")</f>
        <v/>
      </c>
      <c r="AH30" t="str">
        <f>IF(AND(C30="Skema 1",B30="ti"),Arbejdstidsoversigt!$E$78,"")</f>
        <v/>
      </c>
      <c r="AI30" t="str">
        <f>IF(AND(C30="Skema 1",B30="on"),Arbejdstidsoversigt!$E$79,"")</f>
        <v/>
      </c>
      <c r="AJ30">
        <f>IF(AND(C30="Skema 1",B30="to"),Arbejdstidsoversigt!$E$80,"")</f>
        <v>9</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9</v>
      </c>
      <c r="BB30" s="224">
        <f t="shared" si="9"/>
        <v>216</v>
      </c>
      <c r="BC30" s="1">
        <f t="shared" si="29"/>
        <v>0</v>
      </c>
      <c r="BD30" s="1">
        <f t="shared" si="10"/>
        <v>0</v>
      </c>
      <c r="BE30" s="1">
        <f t="shared" si="11"/>
        <v>0</v>
      </c>
      <c r="BF30" s="1">
        <f t="shared" si="12"/>
        <v>0</v>
      </c>
      <c r="BG30" s="207" t="str">
        <f>IF(AND(C30="Skema 1",B30="ma"),Skemaoplysninger!$E$46,"")</f>
        <v/>
      </c>
      <c r="BH30" s="207" t="str">
        <f>IF(AND(C30="Skema 1",B30="ti"),Skemaoplysninger!$G$46,"")</f>
        <v/>
      </c>
      <c r="BI30" s="207" t="str">
        <f>IF(AND(C30="Skema 1",B30="on"),Skemaoplysninger!$I$46,"")</f>
        <v/>
      </c>
      <c r="BJ30" s="207">
        <f>IF(AND(C30="Skema 1",B30="to"),Skemaoplysninger!$K$46,"")</f>
        <v>0.15625</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3.75</v>
      </c>
      <c r="CB30" s="1">
        <f t="shared" si="13"/>
        <v>0</v>
      </c>
      <c r="CC30" s="1">
        <f t="shared" si="14"/>
        <v>0</v>
      </c>
      <c r="CD30" s="207" t="str">
        <f>IF(AND(C30="Skema 1",B30="ma"),Skemaoplysninger!$E$47,"")</f>
        <v/>
      </c>
      <c r="CE30" s="207" t="str">
        <f>IF(AND(C30="Skema 1",B30="ti"),Skemaoplysninger!$G$47,"")</f>
        <v/>
      </c>
      <c r="CF30" s="207" t="str">
        <f>IF(AND(C30="Skema 1",B30="on"),Skemaoplysninger!$I$47,"")</f>
        <v/>
      </c>
      <c r="CG30" s="207">
        <f>IF(AND(C30="Skema 1",B30="to"),Skemaoplysninger!$K$47,"")</f>
        <v>4.1666666666666664E-2</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1</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5"/>
        <v/>
      </c>
      <c r="DL30" t="str">
        <f t="shared" si="15"/>
        <v/>
      </c>
      <c r="DM30" t="str">
        <f t="shared" si="15"/>
        <v/>
      </c>
      <c r="DN30" t="str">
        <f t="shared" si="35"/>
        <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6"/>
        <v>0</v>
      </c>
      <c r="FZ30" s="634">
        <f t="shared" si="17"/>
        <v>0</v>
      </c>
      <c r="GA30">
        <f t="shared" si="18"/>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9"/>
        <v>0</v>
      </c>
      <c r="GL30">
        <f t="shared" si="20"/>
        <v>0</v>
      </c>
      <c r="GM30">
        <f t="shared" si="21"/>
        <v>0</v>
      </c>
      <c r="GN30" s="713">
        <f t="shared" si="22"/>
        <v>0</v>
      </c>
      <c r="GO30">
        <f t="shared" si="37"/>
        <v>0</v>
      </c>
      <c r="GP30" s="647">
        <f t="shared" si="38"/>
        <v>0</v>
      </c>
    </row>
    <row r="31" spans="1:198">
      <c r="A31" s="239">
        <f t="shared" si="23"/>
        <v>18</v>
      </c>
      <c r="B31" s="125" t="str">
        <f t="shared" si="0"/>
        <v>fr</v>
      </c>
      <c r="C31" s="126" t="s">
        <v>208</v>
      </c>
      <c r="D31" s="127" t="str">
        <f t="shared" si="1"/>
        <v/>
      </c>
      <c r="E31" s="1060" t="s">
        <v>756</v>
      </c>
      <c r="F31" s="1061"/>
      <c r="G31" s="1062"/>
      <c r="H31" s="292"/>
      <c r="I31" s="745"/>
      <c r="J31" s="746" t="str">
        <f t="shared" si="2"/>
        <v/>
      </c>
      <c r="K31" s="368">
        <v>5</v>
      </c>
      <c r="L31" s="368">
        <v>2.25</v>
      </c>
      <c r="M31" s="368">
        <v>1.75</v>
      </c>
      <c r="N31" s="311">
        <f t="shared" si="24"/>
        <v>5</v>
      </c>
      <c r="O31" s="311">
        <f t="shared" si="25"/>
        <v>2.25</v>
      </c>
      <c r="P31" s="311">
        <f>IF(Stamoplysninger!$H$34="JA",December!DG31,CX31)</f>
        <v>1.75</v>
      </c>
      <c r="Q31" s="311">
        <f t="shared" si="26"/>
        <v>1</v>
      </c>
      <c r="R31" s="751"/>
      <c r="S31" s="315"/>
      <c r="T31" s="316"/>
      <c r="U31" s="316"/>
      <c r="V31" s="422"/>
      <c r="W31" s="400"/>
      <c r="X31" s="619"/>
      <c r="Y31">
        <f t="shared" si="27"/>
        <v>0</v>
      </c>
      <c r="Z31">
        <f t="shared" si="3"/>
        <v>0</v>
      </c>
      <c r="AA31" s="1">
        <f t="shared" si="4"/>
        <v>5</v>
      </c>
      <c r="AB31" s="1">
        <f t="shared" si="5"/>
        <v>0</v>
      </c>
      <c r="AC31" s="1">
        <f t="shared" si="6"/>
        <v>0</v>
      </c>
      <c r="AD31" s="1">
        <f t="shared" si="7"/>
        <v>0</v>
      </c>
      <c r="AE31" s="1">
        <f t="shared" si="8"/>
        <v>0</v>
      </c>
      <c r="AF31" s="1">
        <f>IF(C31="Orlov",7.4*Stamoplysninger!$E$20,0)</f>
        <v>0</v>
      </c>
      <c r="AG31" t="str">
        <f>IF(AND(C31="Skema 1",B31="ma"),Arbejdstidsoversigt!$E$77,"")</f>
        <v/>
      </c>
      <c r="AH31" t="str">
        <f>IF(AND(C31="Skema 1",B31="ti"),Arbejdstidsoversigt!$E$78,"")</f>
        <v/>
      </c>
      <c r="AI31" t="str">
        <f>IF(AND(C31="Skema 1",B31="on"),Arbejdstidsoversigt!$E$79,"")</f>
        <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5</v>
      </c>
      <c r="BB31" s="224">
        <f t="shared" si="9"/>
        <v>0</v>
      </c>
      <c r="BC31" s="1">
        <f t="shared" si="29"/>
        <v>0</v>
      </c>
      <c r="BD31" s="1">
        <f t="shared" si="10"/>
        <v>0</v>
      </c>
      <c r="BE31" s="1">
        <f t="shared" si="11"/>
        <v>0</v>
      </c>
      <c r="BF31" s="1">
        <f t="shared" si="12"/>
        <v>2.25</v>
      </c>
      <c r="BG31" s="207" t="str">
        <f>IF(AND(C31="Skema 1",B31="ma"),Skemaoplysninger!$E$46,"")</f>
        <v/>
      </c>
      <c r="BH31" s="207" t="str">
        <f>IF(AND(C31="Skema 1",B31="ti"),Skemaoplysninger!$G$46,"")</f>
        <v/>
      </c>
      <c r="BI31" s="207" t="str">
        <f>IF(AND(C31="Skema 1",B31="on"),Skemaoplysninger!$I$46,"")</f>
        <v/>
      </c>
      <c r="BJ31" s="207" t="str">
        <f>IF(AND(C31="Skema 1",B31="to"),Skemaoplysninger!$K$46,"")</f>
        <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2.25</v>
      </c>
      <c r="CB31" s="1">
        <f t="shared" si="13"/>
        <v>0</v>
      </c>
      <c r="CC31" s="1">
        <f t="shared" si="14"/>
        <v>1.75</v>
      </c>
      <c r="CD31" s="207" t="str">
        <f>IF(AND(C31="Skema 1",B31="ma"),Skemaoplysninger!$E$47,"")</f>
        <v/>
      </c>
      <c r="CE31" s="207" t="str">
        <f>IF(AND(C31="Skema 1",B31="ti"),Skemaoplysninger!$G$47,"")</f>
        <v/>
      </c>
      <c r="CF31" s="207" t="str">
        <f>IF(AND(C31="Skema 1",B31="on"),Skemaoplysninger!$I$47,"")</f>
        <v/>
      </c>
      <c r="CG31" s="207" t="str">
        <f>IF(AND(C31="Skema 1",B31="to"),Skemaoplysninger!$K$47,"")</f>
        <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1.75</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t="str">
        <f t="shared" si="33"/>
        <v>Juleafslutning</v>
      </c>
      <c r="DJ31" t="str">
        <f t="shared" si="34"/>
        <v/>
      </c>
      <c r="DK31" t="str">
        <f t="shared" si="15"/>
        <v/>
      </c>
      <c r="DL31" t="str">
        <f t="shared" si="15"/>
        <v>Juleafslutning</v>
      </c>
      <c r="DM31" t="str">
        <f t="shared" si="15"/>
        <v/>
      </c>
      <c r="DN31" t="str">
        <f t="shared" si="35"/>
        <v>Juleafslutning</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6"/>
        <v>0</v>
      </c>
      <c r="FZ31" s="634">
        <f t="shared" si="17"/>
        <v>0</v>
      </c>
      <c r="GA31">
        <f t="shared" si="18"/>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t="str">
        <f t="shared" si="19"/>
        <v>X</v>
      </c>
      <c r="GL31">
        <f t="shared" si="20"/>
        <v>0</v>
      </c>
      <c r="GM31">
        <f t="shared" si="21"/>
        <v>0</v>
      </c>
      <c r="GN31" s="713">
        <f t="shared" si="22"/>
        <v>0</v>
      </c>
      <c r="GO31">
        <f t="shared" si="37"/>
        <v>1</v>
      </c>
      <c r="GP31" s="647">
        <f t="shared" si="38"/>
        <v>0</v>
      </c>
    </row>
    <row r="32" spans="1:198">
      <c r="A32" s="239">
        <f t="shared" si="23"/>
        <v>19</v>
      </c>
      <c r="B32" s="125" t="str">
        <f t="shared" si="0"/>
        <v>lø</v>
      </c>
      <c r="C32" s="126" t="s">
        <v>118</v>
      </c>
      <c r="D32" s="127" t="str">
        <f t="shared" si="1"/>
        <v/>
      </c>
      <c r="E32" s="1060"/>
      <c r="F32" s="1061"/>
      <c r="G32" s="1062"/>
      <c r="H32" s="292"/>
      <c r="I32" s="746" t="str">
        <f>IF(GO32=1,"X","")</f>
        <v/>
      </c>
      <c r="J32" s="746" t="str">
        <f t="shared" si="2"/>
        <v/>
      </c>
      <c r="K32" s="368"/>
      <c r="L32" s="368"/>
      <c r="M32" s="368"/>
      <c r="N32" s="311">
        <f t="shared" si="24"/>
        <v>0</v>
      </c>
      <c r="O32" s="311">
        <f t="shared" si="25"/>
        <v>0</v>
      </c>
      <c r="P32" s="311">
        <f>IF(Stamoplysninger!$H$34="JA",December!DG32,CX32)</f>
        <v>0</v>
      </c>
      <c r="Q32" s="311">
        <f t="shared" si="26"/>
        <v>0</v>
      </c>
      <c r="R32" s="751"/>
      <c r="S32" s="315"/>
      <c r="T32" s="316"/>
      <c r="U32" s="316"/>
      <c r="V32" s="422"/>
      <c r="W32" s="400"/>
      <c r="X32" s="619"/>
      <c r="Y32">
        <f t="shared" si="27"/>
        <v>0</v>
      </c>
      <c r="Z32">
        <f t="shared" si="3"/>
        <v>0</v>
      </c>
      <c r="AA32" s="1">
        <f t="shared" si="4"/>
        <v>0</v>
      </c>
      <c r="AB32" s="1">
        <f t="shared" si="5"/>
        <v>0</v>
      </c>
      <c r="AC32" s="1">
        <f t="shared" si="6"/>
        <v>0</v>
      </c>
      <c r="AD32" s="1">
        <f t="shared" si="7"/>
        <v>0</v>
      </c>
      <c r="AE32" s="1">
        <f t="shared" si="8"/>
        <v>0</v>
      </c>
      <c r="AF32" s="1">
        <f>IF(C32="Orlov",7.4*Stamoplysninger!$E$20,0)</f>
        <v>0</v>
      </c>
      <c r="AG32" t="str">
        <f>IF(AND(C32="Skema 1",B32="ma"),Arbejdstidsoversigt!$E$77,"")</f>
        <v/>
      </c>
      <c r="AH32" t="str">
        <f>IF(AND(C32="Skema 1",B32="ti"),Arbejdstidsoversigt!$E$78,"")</f>
        <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9"/>
        <v>0</v>
      </c>
      <c r="BC32" s="1">
        <f t="shared" si="29"/>
        <v>0</v>
      </c>
      <c r="BD32" s="1">
        <f t="shared" si="10"/>
        <v>0</v>
      </c>
      <c r="BE32" s="1">
        <f t="shared" si="11"/>
        <v>0</v>
      </c>
      <c r="BF32" s="1">
        <f t="shared" si="12"/>
        <v>0</v>
      </c>
      <c r="BG32" s="207" t="str">
        <f>IF(AND(C32="Skema 1",B32="ma"),Skemaoplysninger!$E$46,"")</f>
        <v/>
      </c>
      <c r="BH32" s="207" t="str">
        <f>IF(AND(C32="Skema 1",B32="ti"),Skemaoplysninger!$G$46,"")</f>
        <v/>
      </c>
      <c r="BI32" s="207" t="str">
        <f>IF(AND(C32="Skema 1",B32="on"),Skemaoplysninger!$I$46,"")</f>
        <v/>
      </c>
      <c r="BJ32" s="207" t="str">
        <f>IF(AND(C32="Skema 1",B32="to"),Skemaoplysninger!$K$46,"")</f>
        <v/>
      </c>
      <c r="BK32" s="207" t="str">
        <f>IF(AND(C32="Skema 1",B32="fr"),Skemaoplysninger!$M$46,"")</f>
        <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0</v>
      </c>
      <c r="CB32" s="1">
        <f t="shared" si="13"/>
        <v>0</v>
      </c>
      <c r="CC32" s="1">
        <f t="shared" si="14"/>
        <v>0</v>
      </c>
      <c r="CD32" s="207" t="str">
        <f>IF(AND(C32="Skema 1",B32="ma"),Skemaoplysninger!$E$47,"")</f>
        <v/>
      </c>
      <c r="CE32" s="207" t="str">
        <f>IF(AND(C32="Skema 1",B32="ti"),Skemaoplysninger!$G$47,"")</f>
        <v/>
      </c>
      <c r="CF32" s="207" t="str">
        <f>IF(AND(C32="Skema 1",B32="on"),Skemaoplysninger!$I$47,"")</f>
        <v/>
      </c>
      <c r="CG32" s="207" t="str">
        <f>IF(AND(C32="Skema 1",B32="to"),Skemaoplysninger!$K$47,"")</f>
        <v/>
      </c>
      <c r="CH32" s="207" t="str">
        <f>IF(AND(C32="Skema 1",B32="fr"),Skemaoplysninger!$M$47,"")</f>
        <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5"/>
        <v/>
      </c>
      <c r="DL32" t="str">
        <f t="shared" si="15"/>
        <v/>
      </c>
      <c r="DM32" t="str">
        <f t="shared" si="15"/>
        <v/>
      </c>
      <c r="DN32" t="str">
        <f t="shared" si="35"/>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6"/>
        <v>0</v>
      </c>
      <c r="FZ32" s="634">
        <f t="shared" si="17"/>
        <v>0</v>
      </c>
      <c r="GA32">
        <f t="shared" si="18"/>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9"/>
        <v>0</v>
      </c>
      <c r="GL32">
        <f t="shared" si="20"/>
        <v>0</v>
      </c>
      <c r="GM32">
        <f t="shared" si="21"/>
        <v>0</v>
      </c>
      <c r="GN32" s="713">
        <f t="shared" si="22"/>
        <v>0</v>
      </c>
      <c r="GO32">
        <f t="shared" si="37"/>
        <v>0</v>
      </c>
      <c r="GP32" s="647">
        <f t="shared" si="38"/>
        <v>0</v>
      </c>
    </row>
    <row r="33" spans="1:198">
      <c r="A33" s="239">
        <f t="shared" si="23"/>
        <v>20</v>
      </c>
      <c r="B33" s="125" t="str">
        <f t="shared" si="0"/>
        <v>sø</v>
      </c>
      <c r="C33" s="126" t="s">
        <v>118</v>
      </c>
      <c r="D33" s="127" t="str">
        <f t="shared" si="1"/>
        <v/>
      </c>
      <c r="E33" s="1060"/>
      <c r="F33" s="1061"/>
      <c r="G33" s="1062"/>
      <c r="H33" s="292"/>
      <c r="I33" s="746" t="str">
        <f>IF(GO33=1,"X","")</f>
        <v/>
      </c>
      <c r="J33" s="746" t="str">
        <f t="shared" si="2"/>
        <v/>
      </c>
      <c r="K33" s="368"/>
      <c r="L33" s="368"/>
      <c r="M33" s="368"/>
      <c r="N33" s="311">
        <f t="shared" si="24"/>
        <v>0</v>
      </c>
      <c r="O33" s="311">
        <f t="shared" si="25"/>
        <v>0</v>
      </c>
      <c r="P33" s="311">
        <f>IF(Stamoplysninger!$H$34="JA",December!DG33,CX33)</f>
        <v>0</v>
      </c>
      <c r="Q33" s="311">
        <f t="shared" si="26"/>
        <v>0</v>
      </c>
      <c r="R33" s="751"/>
      <c r="S33" s="315"/>
      <c r="T33" s="316"/>
      <c r="U33" s="316"/>
      <c r="V33" s="422"/>
      <c r="W33" s="400"/>
      <c r="X33" s="619"/>
      <c r="Y33">
        <f t="shared" si="27"/>
        <v>0</v>
      </c>
      <c r="Z33">
        <f t="shared" si="3"/>
        <v>0</v>
      </c>
      <c r="AA33" s="1">
        <f t="shared" si="4"/>
        <v>0</v>
      </c>
      <c r="AB33" s="1">
        <f t="shared" si="5"/>
        <v>0</v>
      </c>
      <c r="AC33" s="1">
        <f t="shared" si="6"/>
        <v>0</v>
      </c>
      <c r="AD33" s="1">
        <f t="shared" si="7"/>
        <v>0</v>
      </c>
      <c r="AE33" s="1">
        <f t="shared" si="8"/>
        <v>0</v>
      </c>
      <c r="AF33" s="1">
        <f>IF(C33="Orlov",7.4*Stamoplysninger!$E$20,0)</f>
        <v>0</v>
      </c>
      <c r="AG33" t="str">
        <f>IF(AND(C33="Skema 1",B33="ma"),Arbejdstidsoversigt!$E$77,"")</f>
        <v/>
      </c>
      <c r="AH33" t="str">
        <f>IF(AND(C33="Skema 1",B33="ti"),Arbejdstidsoversigt!$E$78,"")</f>
        <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9"/>
        <v>0</v>
      </c>
      <c r="BC33" s="1">
        <f t="shared" si="29"/>
        <v>0</v>
      </c>
      <c r="BD33" s="1">
        <f t="shared" si="10"/>
        <v>0</v>
      </c>
      <c r="BE33" s="1">
        <f t="shared" si="11"/>
        <v>0</v>
      </c>
      <c r="BF33" s="1">
        <f t="shared" si="12"/>
        <v>0</v>
      </c>
      <c r="BG33" s="207" t="str">
        <f>IF(AND(C33="Skema 1",B33="ma"),Skemaoplysninger!$E$46,"")</f>
        <v/>
      </c>
      <c r="BH33" s="207" t="str">
        <f>IF(AND(C33="Skema 1",B33="ti"),Skemaoplysninger!$G$46,"")</f>
        <v/>
      </c>
      <c r="BI33" s="207" t="str">
        <f>IF(AND(C33="Skema 1",B33="on"),Skemaoplysninger!$I$46,"")</f>
        <v/>
      </c>
      <c r="BJ33" s="207" t="str">
        <f>IF(AND(C33="Skema 1",B33="to"),Skemaoplysninger!$K$46,"")</f>
        <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0</v>
      </c>
      <c r="CB33" s="1">
        <f t="shared" si="13"/>
        <v>0</v>
      </c>
      <c r="CC33" s="1">
        <f t="shared" si="14"/>
        <v>0</v>
      </c>
      <c r="CD33" s="207" t="str">
        <f>IF(AND(C33="Skema 1",B33="ma"),Skemaoplysninger!$E$47,"")</f>
        <v/>
      </c>
      <c r="CE33" s="207" t="str">
        <f>IF(AND(C33="Skema 1",B33="ti"),Skemaoplysninger!$G$47,"")</f>
        <v/>
      </c>
      <c r="CF33" s="207" t="str">
        <f>IF(AND(C33="Skema 1",B33="on"),Skemaoplysninger!$I$47,"")</f>
        <v/>
      </c>
      <c r="CG33" s="207" t="str">
        <f>IF(AND(C33="Skema 1",B33="to"),Skemaoplysninger!$K$47,"")</f>
        <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5"/>
        <v/>
      </c>
      <c r="DL33" t="str">
        <f t="shared" si="15"/>
        <v/>
      </c>
      <c r="DM33" t="str">
        <f t="shared" si="15"/>
        <v/>
      </c>
      <c r="DN33" t="str">
        <f t="shared" si="35"/>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6"/>
        <v>0</v>
      </c>
      <c r="FZ33" s="634">
        <f t="shared" si="17"/>
        <v>0</v>
      </c>
      <c r="GA33">
        <f t="shared" si="18"/>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9"/>
        <v>0</v>
      </c>
      <c r="GL33">
        <f t="shared" si="20"/>
        <v>0</v>
      </c>
      <c r="GM33">
        <f t="shared" si="21"/>
        <v>0</v>
      </c>
      <c r="GN33" s="713">
        <f t="shared" si="22"/>
        <v>0</v>
      </c>
      <c r="GO33">
        <f t="shared" si="37"/>
        <v>0</v>
      </c>
      <c r="GP33" s="647">
        <f t="shared" si="38"/>
        <v>0</v>
      </c>
    </row>
    <row r="34" spans="1:198">
      <c r="A34" s="239">
        <f t="shared" si="23"/>
        <v>21</v>
      </c>
      <c r="B34" s="125" t="str">
        <f t="shared" si="0"/>
        <v>ma</v>
      </c>
      <c r="C34" s="126" t="s">
        <v>126</v>
      </c>
      <c r="D34" s="127">
        <f t="shared" si="1"/>
        <v>51.571428571428569</v>
      </c>
      <c r="E34" s="1060"/>
      <c r="F34" s="1061"/>
      <c r="G34" s="1062"/>
      <c r="H34" s="292"/>
      <c r="I34" s="745"/>
      <c r="J34" s="746" t="str">
        <f t="shared" si="2"/>
        <v/>
      </c>
      <c r="K34" s="368"/>
      <c r="L34" s="368"/>
      <c r="M34" s="368"/>
      <c r="N34" s="311">
        <f t="shared" si="24"/>
        <v>0</v>
      </c>
      <c r="O34" s="311">
        <f t="shared" si="25"/>
        <v>0</v>
      </c>
      <c r="P34" s="311">
        <f>IF(Stamoplysninger!$H$34="JA",December!DG34,CX34)</f>
        <v>0</v>
      </c>
      <c r="Q34" s="311">
        <f t="shared" si="26"/>
        <v>0</v>
      </c>
      <c r="R34" s="751"/>
      <c r="S34" s="315"/>
      <c r="T34" s="316"/>
      <c r="U34" s="316"/>
      <c r="V34" s="422"/>
      <c r="W34" s="400"/>
      <c r="X34" s="619"/>
      <c r="Y34">
        <f t="shared" si="27"/>
        <v>0</v>
      </c>
      <c r="Z34">
        <f t="shared" si="3"/>
        <v>0</v>
      </c>
      <c r="AA34" s="1">
        <f t="shared" si="4"/>
        <v>0</v>
      </c>
      <c r="AB34" s="1">
        <f t="shared" si="5"/>
        <v>0</v>
      </c>
      <c r="AC34" s="1">
        <f t="shared" si="6"/>
        <v>0</v>
      </c>
      <c r="AD34" s="1">
        <f t="shared" si="7"/>
        <v>0</v>
      </c>
      <c r="AE34" s="1">
        <f t="shared" si="8"/>
        <v>0</v>
      </c>
      <c r="AF34" s="1">
        <f>IF(C34="Orlov",7.4*Stamoplysninger!$E$20,0)</f>
        <v>0</v>
      </c>
      <c r="AG34" t="str">
        <f>IF(AND(C34="Skema 1",B34="ma"),Arbejdstidsoversigt!$E$77,"")</f>
        <v/>
      </c>
      <c r="AH34" t="str">
        <f>IF(AND(C34="Skema 1",B34="ti"),Arbejdstidsoversigt!$E$78,"")</f>
        <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9"/>
        <v>0</v>
      </c>
      <c r="BC34" s="1">
        <f t="shared" si="29"/>
        <v>0</v>
      </c>
      <c r="BD34" s="1">
        <f t="shared" si="10"/>
        <v>0</v>
      </c>
      <c r="BE34" s="1">
        <f t="shared" si="11"/>
        <v>0</v>
      </c>
      <c r="BF34" s="1">
        <f t="shared" si="12"/>
        <v>0</v>
      </c>
      <c r="BG34" s="207" t="str">
        <f>IF(AND(C34="Skema 1",B34="ma"),Skemaoplysninger!$E$46,"")</f>
        <v/>
      </c>
      <c r="BH34" s="207" t="str">
        <f>IF(AND(C34="Skema 1",B34="ti"),Skemaoplysninger!$G$46,"")</f>
        <v/>
      </c>
      <c r="BI34" s="207" t="str">
        <f>IF(AND(C34="Skema 1",B34="on"),Skemaoplysninger!$I$46,"")</f>
        <v/>
      </c>
      <c r="BJ34" s="207" t="str">
        <f>IF(AND(C34="Skema 1",B34="to"),Skemaoplysninger!$K$46,"")</f>
        <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0</v>
      </c>
      <c r="CB34" s="1">
        <f t="shared" si="13"/>
        <v>0</v>
      </c>
      <c r="CC34" s="1">
        <f t="shared" si="14"/>
        <v>0</v>
      </c>
      <c r="CD34" s="207" t="str">
        <f>IF(AND(C34="Skema 1",B34="ma"),Skemaoplysninger!$E$47,"")</f>
        <v/>
      </c>
      <c r="CE34" s="207" t="str">
        <f>IF(AND(C34="Skema 1",B34="ti"),Skemaoplysninger!$G$47,"")</f>
        <v/>
      </c>
      <c r="CF34" s="207" t="str">
        <f>IF(AND(C34="Skema 1",B34="on"),Skemaoplysninger!$I$47,"")</f>
        <v/>
      </c>
      <c r="CG34" s="207" t="str">
        <f>IF(AND(C34="Skema 1",B34="to"),Skemaoplysninger!$K$47,"")</f>
        <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5"/>
        <v/>
      </c>
      <c r="DL34" t="str">
        <f t="shared" si="15"/>
        <v/>
      </c>
      <c r="DM34" t="str">
        <f t="shared" si="15"/>
        <v/>
      </c>
      <c r="DN34" t="str">
        <f t="shared" si="35"/>
        <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6"/>
        <v>0</v>
      </c>
      <c r="FZ34" s="634">
        <f t="shared" si="17"/>
        <v>0</v>
      </c>
      <c r="GA34">
        <f t="shared" si="18"/>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9"/>
        <v>0</v>
      </c>
      <c r="GL34">
        <f t="shared" si="20"/>
        <v>0</v>
      </c>
      <c r="GM34">
        <f t="shared" si="21"/>
        <v>0</v>
      </c>
      <c r="GN34" s="713">
        <f t="shared" si="22"/>
        <v>0</v>
      </c>
      <c r="GO34">
        <f t="shared" si="37"/>
        <v>0</v>
      </c>
      <c r="GP34" s="647">
        <f t="shared" si="38"/>
        <v>0</v>
      </c>
    </row>
    <row r="35" spans="1:198">
      <c r="A35" s="239">
        <f t="shared" si="23"/>
        <v>22</v>
      </c>
      <c r="B35" s="125" t="str">
        <f t="shared" si="0"/>
        <v>ti</v>
      </c>
      <c r="C35" s="126" t="s">
        <v>126</v>
      </c>
      <c r="D35" s="127" t="str">
        <f t="shared" si="1"/>
        <v/>
      </c>
      <c r="E35" s="1060"/>
      <c r="F35" s="1061"/>
      <c r="G35" s="1062"/>
      <c r="H35" s="292"/>
      <c r="I35" s="745"/>
      <c r="J35" s="746" t="str">
        <f t="shared" si="2"/>
        <v/>
      </c>
      <c r="K35" s="368"/>
      <c r="L35" s="368"/>
      <c r="M35" s="368"/>
      <c r="N35" s="311">
        <f t="shared" si="24"/>
        <v>0</v>
      </c>
      <c r="O35" s="311">
        <f t="shared" si="25"/>
        <v>0</v>
      </c>
      <c r="P35" s="311">
        <f>IF(Stamoplysninger!$H$34="JA",December!DG35,CX35)</f>
        <v>0</v>
      </c>
      <c r="Q35" s="311">
        <f t="shared" si="26"/>
        <v>0</v>
      </c>
      <c r="R35" s="751"/>
      <c r="S35" s="315"/>
      <c r="T35" s="316"/>
      <c r="U35" s="316"/>
      <c r="V35" s="422"/>
      <c r="W35" s="400"/>
      <c r="X35" s="619"/>
      <c r="Y35">
        <f t="shared" si="27"/>
        <v>0</v>
      </c>
      <c r="Z35">
        <f t="shared" si="3"/>
        <v>0</v>
      </c>
      <c r="AA35" s="1">
        <f t="shared" si="4"/>
        <v>0</v>
      </c>
      <c r="AB35" s="1">
        <f t="shared" si="5"/>
        <v>0</v>
      </c>
      <c r="AC35" s="1">
        <f t="shared" si="6"/>
        <v>0</v>
      </c>
      <c r="AD35" s="1">
        <f t="shared" si="7"/>
        <v>0</v>
      </c>
      <c r="AE35" s="1">
        <f t="shared" si="8"/>
        <v>0</v>
      </c>
      <c r="AF35" s="1">
        <f>IF(C35="Orlov",7.4*Stamoplysninger!$E$20,0)</f>
        <v>0</v>
      </c>
      <c r="AG35" t="str">
        <f>IF(AND(C35="Skema 1",B35="ma"),Arbejdstidsoversigt!$E$77,"")</f>
        <v/>
      </c>
      <c r="AH35" t="str">
        <f>IF(AND(C35="Skema 1",B35="ti"),Arbejdstidsoversigt!$E$78,"")</f>
        <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9"/>
        <v>0</v>
      </c>
      <c r="BC35" s="1">
        <f t="shared" si="29"/>
        <v>0</v>
      </c>
      <c r="BD35" s="1">
        <f t="shared" si="10"/>
        <v>0</v>
      </c>
      <c r="BE35" s="1">
        <f t="shared" si="11"/>
        <v>0</v>
      </c>
      <c r="BF35" s="1">
        <f t="shared" si="12"/>
        <v>0</v>
      </c>
      <c r="BG35" s="207" t="str">
        <f>IF(AND(C35="Skema 1",B35="ma"),Skemaoplysninger!$E$46,"")</f>
        <v/>
      </c>
      <c r="BH35" s="207" t="str">
        <f>IF(AND(C35="Skema 1",B35="ti"),Skemaoplysninger!$G$46,"")</f>
        <v/>
      </c>
      <c r="BI35" s="207" t="str">
        <f>IF(AND(C35="Skema 1",B35="on"),Skemaoplysninger!$I$46,"")</f>
        <v/>
      </c>
      <c r="BJ35" s="207" t="str">
        <f>IF(AND(C35="Skema 1",B35="to"),Skemaoplysninger!$K$46,"")</f>
        <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0</v>
      </c>
      <c r="CB35" s="1">
        <f t="shared" si="13"/>
        <v>0</v>
      </c>
      <c r="CC35" s="1">
        <f t="shared" si="14"/>
        <v>0</v>
      </c>
      <c r="CD35" s="207" t="str">
        <f>IF(AND(C35="Skema 1",B35="ma"),Skemaoplysninger!$E$47,"")</f>
        <v/>
      </c>
      <c r="CE35" s="207" t="str">
        <f>IF(AND(C35="Skema 1",B35="ti"),Skemaoplysninger!$G$47,"")</f>
        <v/>
      </c>
      <c r="CF35" s="207" t="str">
        <f>IF(AND(C35="Skema 1",B35="on"),Skemaoplysninger!$I$47,"")</f>
        <v/>
      </c>
      <c r="CG35" s="207" t="str">
        <f>IF(AND(C35="Skema 1",B35="to"),Skemaoplysninger!$K$47,"")</f>
        <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5"/>
        <v/>
      </c>
      <c r="DL35" t="str">
        <f t="shared" si="15"/>
        <v/>
      </c>
      <c r="DM35" t="str">
        <f t="shared" si="15"/>
        <v/>
      </c>
      <c r="DN35" t="str">
        <f t="shared" si="35"/>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6"/>
        <v>0</v>
      </c>
      <c r="FZ35" s="634">
        <f t="shared" si="17"/>
        <v>0</v>
      </c>
      <c r="GA35">
        <f t="shared" si="18"/>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9"/>
        <v>0</v>
      </c>
      <c r="GL35">
        <f t="shared" si="20"/>
        <v>0</v>
      </c>
      <c r="GM35">
        <f t="shared" si="21"/>
        <v>0</v>
      </c>
      <c r="GN35" s="713">
        <f t="shared" si="22"/>
        <v>0</v>
      </c>
      <c r="GO35">
        <f t="shared" si="37"/>
        <v>0</v>
      </c>
      <c r="GP35" s="647">
        <f t="shared" si="38"/>
        <v>0</v>
      </c>
    </row>
    <row r="36" spans="1:198">
      <c r="A36" s="239">
        <f t="shared" si="23"/>
        <v>23</v>
      </c>
      <c r="B36" s="125" t="str">
        <f t="shared" si="0"/>
        <v>on</v>
      </c>
      <c r="C36" s="126" t="s">
        <v>126</v>
      </c>
      <c r="D36" s="127" t="str">
        <f t="shared" si="1"/>
        <v/>
      </c>
      <c r="E36" s="1060"/>
      <c r="F36" s="1061"/>
      <c r="G36" s="1062"/>
      <c r="H36" s="292"/>
      <c r="I36" s="745"/>
      <c r="J36" s="746" t="str">
        <f t="shared" si="2"/>
        <v/>
      </c>
      <c r="K36" s="368"/>
      <c r="L36" s="368"/>
      <c r="M36" s="368"/>
      <c r="N36" s="311">
        <f t="shared" si="24"/>
        <v>0</v>
      </c>
      <c r="O36" s="311">
        <f t="shared" si="25"/>
        <v>0</v>
      </c>
      <c r="P36" s="311">
        <f>IF(Stamoplysninger!$H$34="JA",December!DG36,CX36)</f>
        <v>0</v>
      </c>
      <c r="Q36" s="311">
        <f t="shared" si="26"/>
        <v>0</v>
      </c>
      <c r="R36" s="751"/>
      <c r="S36" s="315"/>
      <c r="T36" s="316"/>
      <c r="U36" s="316"/>
      <c r="V36" s="422"/>
      <c r="W36" s="400"/>
      <c r="X36" s="619"/>
      <c r="Y36">
        <f t="shared" si="27"/>
        <v>0</v>
      </c>
      <c r="Z36">
        <f t="shared" si="3"/>
        <v>0</v>
      </c>
      <c r="AA36" s="1">
        <f t="shared" si="4"/>
        <v>0</v>
      </c>
      <c r="AB36" s="1">
        <f t="shared" si="5"/>
        <v>0</v>
      </c>
      <c r="AC36" s="1">
        <f t="shared" si="6"/>
        <v>0</v>
      </c>
      <c r="AD36" s="1">
        <f t="shared" si="7"/>
        <v>0</v>
      </c>
      <c r="AE36" s="1">
        <f t="shared" si="8"/>
        <v>0</v>
      </c>
      <c r="AF36" s="1">
        <f>IF(C36="Orlov",7.4*Stamoplysninger!$E$20,0)</f>
        <v>0</v>
      </c>
      <c r="AG36" t="str">
        <f>IF(AND(C36="Skema 1",B36="ma"),Arbejdstidsoversigt!$E$77,"")</f>
        <v/>
      </c>
      <c r="AH36" t="str">
        <f>IF(AND(C36="Skema 1",B36="ti"),Arbejdstidsoversigt!$E$78,"")</f>
        <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9"/>
        <v>0</v>
      </c>
      <c r="BC36" s="1">
        <f t="shared" si="29"/>
        <v>0</v>
      </c>
      <c r="BD36" s="1">
        <f t="shared" si="10"/>
        <v>0</v>
      </c>
      <c r="BE36" s="1">
        <f t="shared" si="11"/>
        <v>0</v>
      </c>
      <c r="BF36" s="1">
        <f t="shared" si="12"/>
        <v>0</v>
      </c>
      <c r="BG36" s="207" t="str">
        <f>IF(AND(C36="Skema 1",B36="ma"),Skemaoplysninger!$E$46,"")</f>
        <v/>
      </c>
      <c r="BH36" s="207" t="str">
        <f>IF(AND(C36="Skema 1",B36="ti"),Skemaoplysninger!$G$46,"")</f>
        <v/>
      </c>
      <c r="BI36" s="207" t="str">
        <f>IF(AND(C36="Skema 1",B36="on"),Skemaoplysninger!$I$46,"")</f>
        <v/>
      </c>
      <c r="BJ36" s="207" t="str">
        <f>IF(AND(C36="Skema 1",B36="to"),Skemaoplysninger!$K$46,"")</f>
        <v/>
      </c>
      <c r="BK36" s="207" t="str">
        <f>IF(AND(C36="Skema 1",B36="fr"),Skemaoplysninger!$M$46,"")</f>
        <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0</v>
      </c>
      <c r="CB36" s="1">
        <f t="shared" si="13"/>
        <v>0</v>
      </c>
      <c r="CC36" s="1">
        <f t="shared" si="14"/>
        <v>0</v>
      </c>
      <c r="CD36" s="207" t="str">
        <f>IF(AND(C36="Skema 1",B36="ma"),Skemaoplysninger!$E$47,"")</f>
        <v/>
      </c>
      <c r="CE36" s="207" t="str">
        <f>IF(AND(C36="Skema 1",B36="ti"),Skemaoplysninger!$G$47,"")</f>
        <v/>
      </c>
      <c r="CF36" s="207" t="str">
        <f>IF(AND(C36="Skema 1",B36="on"),Skemaoplysninger!$I$47,"")</f>
        <v/>
      </c>
      <c r="CG36" s="207" t="str">
        <f>IF(AND(C36="Skema 1",B36="to"),Skemaoplysninger!$K$47,"")</f>
        <v/>
      </c>
      <c r="CH36" s="207" t="str">
        <f>IF(AND(C36="Skema 1",B36="fr"),Skemaoplysninger!$M$47,"")</f>
        <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5"/>
        <v/>
      </c>
      <c r="DL36" t="str">
        <f t="shared" si="15"/>
        <v/>
      </c>
      <c r="DM36" t="str">
        <f t="shared" si="15"/>
        <v/>
      </c>
      <c r="DN36" t="str">
        <f t="shared" si="35"/>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6"/>
        <v>0</v>
      </c>
      <c r="FZ36" s="634">
        <f t="shared" si="17"/>
        <v>0</v>
      </c>
      <c r="GA36">
        <f t="shared" si="18"/>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9"/>
        <v>0</v>
      </c>
      <c r="GL36">
        <f t="shared" si="20"/>
        <v>0</v>
      </c>
      <c r="GM36">
        <f t="shared" si="21"/>
        <v>0</v>
      </c>
      <c r="GN36" s="713">
        <f t="shared" si="22"/>
        <v>0</v>
      </c>
      <c r="GO36">
        <f t="shared" si="37"/>
        <v>0</v>
      </c>
      <c r="GP36" s="647">
        <f t="shared" si="38"/>
        <v>0</v>
      </c>
    </row>
    <row r="37" spans="1:198">
      <c r="A37" s="239">
        <f t="shared" si="23"/>
        <v>24</v>
      </c>
      <c r="B37" s="125" t="str">
        <f t="shared" si="0"/>
        <v>to</v>
      </c>
      <c r="C37" s="126" t="s">
        <v>126</v>
      </c>
      <c r="D37" s="127" t="str">
        <f t="shared" si="1"/>
        <v/>
      </c>
      <c r="E37" s="1123" t="s">
        <v>128</v>
      </c>
      <c r="F37" s="1124"/>
      <c r="G37" s="1125"/>
      <c r="H37" s="292"/>
      <c r="I37" s="745"/>
      <c r="J37" s="746" t="str">
        <f t="shared" si="2"/>
        <v/>
      </c>
      <c r="K37" s="368"/>
      <c r="L37" s="368"/>
      <c r="M37" s="368"/>
      <c r="N37" s="311">
        <f t="shared" si="24"/>
        <v>0</v>
      </c>
      <c r="O37" s="311">
        <f t="shared" si="25"/>
        <v>0</v>
      </c>
      <c r="P37" s="311">
        <f>IF(Stamoplysninger!$H$34="JA",December!DG37,CX37)</f>
        <v>0</v>
      </c>
      <c r="Q37" s="311">
        <f t="shared" si="26"/>
        <v>0</v>
      </c>
      <c r="R37" s="751"/>
      <c r="S37" s="315"/>
      <c r="T37" s="316"/>
      <c r="U37" s="316"/>
      <c r="V37" s="422"/>
      <c r="W37" s="400"/>
      <c r="X37" s="619"/>
      <c r="Y37">
        <f t="shared" si="27"/>
        <v>0</v>
      </c>
      <c r="Z37">
        <f t="shared" si="3"/>
        <v>0</v>
      </c>
      <c r="AA37" s="1">
        <f t="shared" si="4"/>
        <v>0</v>
      </c>
      <c r="AB37" s="1">
        <f t="shared" si="5"/>
        <v>0</v>
      </c>
      <c r="AC37" s="1">
        <f t="shared" si="6"/>
        <v>0</v>
      </c>
      <c r="AD37" s="1">
        <f t="shared" si="7"/>
        <v>0</v>
      </c>
      <c r="AE37" s="1">
        <f t="shared" si="8"/>
        <v>0</v>
      </c>
      <c r="AF37" s="1">
        <f>IF(C37="Orlov",7.4*Stamoplysninger!$E$20,0)</f>
        <v>0</v>
      </c>
      <c r="AG37" t="str">
        <f>IF(AND(C37="Skema 1",B37="ma"),Arbejdstidsoversigt!$E$77,"")</f>
        <v/>
      </c>
      <c r="AH37" t="str">
        <f>IF(AND(C37="Skema 1",B37="ti"),Arbejdstidsoversigt!$E$78,"")</f>
        <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9"/>
        <v>0</v>
      </c>
      <c r="BC37" s="1">
        <f t="shared" si="29"/>
        <v>0</v>
      </c>
      <c r="BD37" s="1">
        <f t="shared" si="10"/>
        <v>0</v>
      </c>
      <c r="BE37" s="1">
        <f t="shared" si="11"/>
        <v>0</v>
      </c>
      <c r="BF37" s="1">
        <f t="shared" si="12"/>
        <v>0</v>
      </c>
      <c r="BG37" s="207" t="str">
        <f>IF(AND(C37="Skema 1",B37="ma"),Skemaoplysninger!$E$46,"")</f>
        <v/>
      </c>
      <c r="BH37" s="207" t="str">
        <f>IF(AND(C37="Skema 1",B37="ti"),Skemaoplysninger!$G$46,"")</f>
        <v/>
      </c>
      <c r="BI37" s="207" t="str">
        <f>IF(AND(C37="Skema 1",B37="on"),Skemaoplysninger!$I$46,"")</f>
        <v/>
      </c>
      <c r="BJ37" s="207" t="str">
        <f>IF(AND(C37="Skema 1",B37="to"),Skemaoplysninger!$K$46,"")</f>
        <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0</v>
      </c>
      <c r="CB37" s="1">
        <f t="shared" si="13"/>
        <v>0</v>
      </c>
      <c r="CC37" s="1">
        <f t="shared" si="14"/>
        <v>0</v>
      </c>
      <c r="CD37" s="207" t="str">
        <f>IF(AND(C37="Skema 1",B37="ma"),Skemaoplysninger!$E$47,"")</f>
        <v/>
      </c>
      <c r="CE37" s="207" t="str">
        <f>IF(AND(C37="Skema 1",B37="ti"),Skemaoplysninger!$G$47,"")</f>
        <v/>
      </c>
      <c r="CF37" s="207" t="str">
        <f>IF(AND(C37="Skema 1",B37="on"),Skemaoplysninger!$I$47,"")</f>
        <v/>
      </c>
      <c r="CG37" s="207" t="str">
        <f>IF(AND(C37="Skema 1",B37="to"),Skemaoplysninger!$K$47,"")</f>
        <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t="str">
        <f t="shared" si="33"/>
        <v>Juleaftensdag</v>
      </c>
      <c r="DJ37" t="str">
        <f t="shared" si="34"/>
        <v/>
      </c>
      <c r="DK37" t="str">
        <f t="shared" si="15"/>
        <v/>
      </c>
      <c r="DL37" t="str">
        <f t="shared" si="15"/>
        <v>Juleaftensdag</v>
      </c>
      <c r="DM37" t="str">
        <f t="shared" si="15"/>
        <v/>
      </c>
      <c r="DN37" t="str">
        <f t="shared" si="35"/>
        <v>Juleaftensdag</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6"/>
        <v>0</v>
      </c>
      <c r="FZ37" s="634">
        <f t="shared" si="17"/>
        <v>0</v>
      </c>
      <c r="GA37">
        <f t="shared" si="18"/>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9"/>
        <v>0</v>
      </c>
      <c r="GL37">
        <f t="shared" si="20"/>
        <v>0</v>
      </c>
      <c r="GM37">
        <f t="shared" si="21"/>
        <v>0</v>
      </c>
      <c r="GN37" s="713">
        <f t="shared" si="22"/>
        <v>0</v>
      </c>
      <c r="GO37">
        <f t="shared" si="37"/>
        <v>0</v>
      </c>
      <c r="GP37" s="647">
        <f t="shared" si="38"/>
        <v>0</v>
      </c>
    </row>
    <row r="38" spans="1:198">
      <c r="A38" s="239">
        <f t="shared" si="23"/>
        <v>25</v>
      </c>
      <c r="B38" s="125" t="str">
        <f t="shared" si="0"/>
        <v>fr</v>
      </c>
      <c r="C38" s="126" t="s">
        <v>117</v>
      </c>
      <c r="D38" s="127" t="str">
        <f t="shared" si="1"/>
        <v/>
      </c>
      <c r="E38" s="1060" t="s">
        <v>313</v>
      </c>
      <c r="F38" s="1061"/>
      <c r="G38" s="1062"/>
      <c r="H38" s="292"/>
      <c r="I38" s="746" t="str">
        <f>IF(GO38=1,"X","")</f>
        <v/>
      </c>
      <c r="J38" s="746" t="str">
        <f t="shared" si="2"/>
        <v/>
      </c>
      <c r="K38" s="368"/>
      <c r="L38" s="368"/>
      <c r="M38" s="368"/>
      <c r="N38" s="311">
        <f t="shared" si="24"/>
        <v>0</v>
      </c>
      <c r="O38" s="311">
        <f t="shared" si="25"/>
        <v>0</v>
      </c>
      <c r="P38" s="311">
        <f>IF(Stamoplysninger!$H$34="JA",December!DG38,CX38)</f>
        <v>0</v>
      </c>
      <c r="Q38" s="311">
        <f t="shared" si="26"/>
        <v>0</v>
      </c>
      <c r="R38" s="751"/>
      <c r="S38" s="315"/>
      <c r="T38" s="316"/>
      <c r="U38" s="316"/>
      <c r="V38" s="422"/>
      <c r="W38" s="400"/>
      <c r="X38" s="619"/>
      <c r="Y38">
        <f t="shared" si="27"/>
        <v>0</v>
      </c>
      <c r="Z38">
        <f t="shared" si="3"/>
        <v>0</v>
      </c>
      <c r="AA38" s="1">
        <f t="shared" si="4"/>
        <v>0</v>
      </c>
      <c r="AB38" s="1">
        <f t="shared" si="5"/>
        <v>0</v>
      </c>
      <c r="AC38" s="1">
        <f t="shared" si="6"/>
        <v>0</v>
      </c>
      <c r="AD38" s="1">
        <f t="shared" si="7"/>
        <v>0</v>
      </c>
      <c r="AE38" s="1">
        <f t="shared" si="8"/>
        <v>0</v>
      </c>
      <c r="AF38" s="1">
        <f>IF(C38="Orlov",7.4*Stamoplysninger!$E$20,0)</f>
        <v>0</v>
      </c>
      <c r="AG38" t="str">
        <f>IF(AND(C38="Skema 1",B38="ma"),Arbejdstidsoversigt!$E$77,"")</f>
        <v/>
      </c>
      <c r="AH38" t="str">
        <f>IF(AND(C38="Skema 1",B38="ti"),Arbejdstidsoversigt!$E$78,"")</f>
        <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9"/>
        <v>0</v>
      </c>
      <c r="BC38" s="1">
        <f t="shared" si="29"/>
        <v>0</v>
      </c>
      <c r="BD38" s="1">
        <f t="shared" si="10"/>
        <v>0</v>
      </c>
      <c r="BE38" s="1">
        <f t="shared" si="11"/>
        <v>0</v>
      </c>
      <c r="BF38" s="1">
        <f t="shared" si="12"/>
        <v>0</v>
      </c>
      <c r="BG38" s="207" t="str">
        <f>IF(AND(C38="Skema 1",B38="ma"),Skemaoplysninger!$E$46,"")</f>
        <v/>
      </c>
      <c r="BH38" s="207" t="str">
        <f>IF(AND(C38="Skema 1",B38="ti"),Skemaoplysninger!$G$46,"")</f>
        <v/>
      </c>
      <c r="BI38" s="207" t="str">
        <f>IF(AND(C38="Skema 1",B38="on"),Skemaoplysninger!$I$46,"")</f>
        <v/>
      </c>
      <c r="BJ38" s="207" t="str">
        <f>IF(AND(C38="Skema 1",B38="to"),Skemaoplysninger!$K$46,"")</f>
        <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0</v>
      </c>
      <c r="CB38" s="1">
        <f t="shared" si="13"/>
        <v>0</v>
      </c>
      <c r="CC38" s="1">
        <f t="shared" si="14"/>
        <v>0</v>
      </c>
      <c r="CD38" s="207" t="str">
        <f>IF(AND(C38="Skema 1",B38="ma"),Skemaoplysninger!$E$47,"")</f>
        <v/>
      </c>
      <c r="CE38" s="207" t="str">
        <f>IF(AND(C38="Skema 1",B38="ti"),Skemaoplysninger!$G$47,"")</f>
        <v/>
      </c>
      <c r="CF38" s="207" t="str">
        <f>IF(AND(C38="Skema 1",B38="on"),Skemaoplysninger!$I$47,"")</f>
        <v/>
      </c>
      <c r="CG38" s="207" t="str">
        <f>IF(AND(C38="Skema 1",B38="to"),Skemaoplysninger!$K$47,"")</f>
        <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t="str">
        <f t="shared" si="33"/>
        <v>Juledag</v>
      </c>
      <c r="DJ38" t="str">
        <f t="shared" si="34"/>
        <v/>
      </c>
      <c r="DK38" t="str">
        <f t="shared" si="15"/>
        <v/>
      </c>
      <c r="DL38" t="str">
        <f t="shared" si="15"/>
        <v>Juledag</v>
      </c>
      <c r="DM38" t="str">
        <f t="shared" si="15"/>
        <v/>
      </c>
      <c r="DN38" t="str">
        <f t="shared" si="35"/>
        <v>Juledag</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6"/>
        <v>0</v>
      </c>
      <c r="FZ38" s="634">
        <f t="shared" si="17"/>
        <v>0</v>
      </c>
      <c r="GA38">
        <f t="shared" si="18"/>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9"/>
        <v>0</v>
      </c>
      <c r="GL38">
        <f t="shared" si="20"/>
        <v>0</v>
      </c>
      <c r="GM38">
        <f t="shared" si="21"/>
        <v>0</v>
      </c>
      <c r="GN38" s="713">
        <f t="shared" si="22"/>
        <v>0</v>
      </c>
      <c r="GO38">
        <f t="shared" si="37"/>
        <v>0</v>
      </c>
      <c r="GP38" s="647">
        <f t="shared" si="38"/>
        <v>0</v>
      </c>
    </row>
    <row r="39" spans="1:198">
      <c r="A39" s="239">
        <f t="shared" si="23"/>
        <v>26</v>
      </c>
      <c r="B39" s="125" t="str">
        <f t="shared" si="0"/>
        <v>lø</v>
      </c>
      <c r="C39" s="126" t="s">
        <v>118</v>
      </c>
      <c r="D39" s="127" t="str">
        <f t="shared" si="1"/>
        <v/>
      </c>
      <c r="E39" s="1060" t="s">
        <v>96</v>
      </c>
      <c r="F39" s="1061"/>
      <c r="G39" s="1062"/>
      <c r="H39" s="292"/>
      <c r="I39" s="746" t="str">
        <f>IF(GO39=1,"X","")</f>
        <v/>
      </c>
      <c r="J39" s="746" t="str">
        <f t="shared" si="2"/>
        <v/>
      </c>
      <c r="K39" s="368"/>
      <c r="L39" s="368"/>
      <c r="M39" s="368"/>
      <c r="N39" s="311">
        <f t="shared" si="24"/>
        <v>0</v>
      </c>
      <c r="O39" s="311">
        <f t="shared" si="25"/>
        <v>0</v>
      </c>
      <c r="P39" s="311">
        <f>IF(Stamoplysninger!$H$34="JA",December!DG39,CX39)</f>
        <v>0</v>
      </c>
      <c r="Q39" s="311">
        <f t="shared" si="26"/>
        <v>0</v>
      </c>
      <c r="R39" s="751"/>
      <c r="S39" s="315"/>
      <c r="T39" s="316"/>
      <c r="U39" s="316"/>
      <c r="V39" s="422"/>
      <c r="W39" s="400"/>
      <c r="X39" s="619"/>
      <c r="Y39">
        <f t="shared" si="27"/>
        <v>0</v>
      </c>
      <c r="Z39">
        <f t="shared" si="3"/>
        <v>0</v>
      </c>
      <c r="AA39" s="1">
        <f t="shared" si="4"/>
        <v>0</v>
      </c>
      <c r="AB39" s="1">
        <f t="shared" si="5"/>
        <v>0</v>
      </c>
      <c r="AC39" s="1">
        <f t="shared" si="6"/>
        <v>0</v>
      </c>
      <c r="AD39" s="1">
        <f t="shared" si="7"/>
        <v>0</v>
      </c>
      <c r="AE39" s="1">
        <f t="shared" si="8"/>
        <v>0</v>
      </c>
      <c r="AF39" s="1">
        <f>IF(C39="Orlov",7.4*Stamoplysninger!$E$20,0)</f>
        <v>0</v>
      </c>
      <c r="AG39" t="str">
        <f>IF(AND(C39="Skema 1",B39="ma"),Arbejdstidsoversigt!$E$77,"")</f>
        <v/>
      </c>
      <c r="AH39" t="str">
        <f>IF(AND(C39="Skema 1",B39="ti"),Arbejdstidsoversigt!$E$78,"")</f>
        <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9"/>
        <v>0</v>
      </c>
      <c r="BC39" s="1">
        <f t="shared" si="29"/>
        <v>0</v>
      </c>
      <c r="BD39" s="1">
        <f t="shared" si="10"/>
        <v>0</v>
      </c>
      <c r="BE39" s="1">
        <f t="shared" si="11"/>
        <v>0</v>
      </c>
      <c r="BF39" s="1">
        <f t="shared" si="12"/>
        <v>0</v>
      </c>
      <c r="BG39" s="207" t="str">
        <f>IF(AND(C39="Skema 1",B39="ma"),Skemaoplysninger!$E$46,"")</f>
        <v/>
      </c>
      <c r="BH39" s="207" t="str">
        <f>IF(AND(C39="Skema 1",B39="ti"),Skemaoplysninger!$G$46,"")</f>
        <v/>
      </c>
      <c r="BI39" s="207" t="str">
        <f>IF(AND(C39="Skema 1",B39="on"),Skemaoplysninger!$I$46,"")</f>
        <v/>
      </c>
      <c r="BJ39" s="207" t="str">
        <f>IF(AND(C39="Skema 1",B39="to"),Skemaoplysninger!$K$46,"")</f>
        <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0</v>
      </c>
      <c r="CB39" s="1">
        <f t="shared" si="13"/>
        <v>0</v>
      </c>
      <c r="CC39" s="1">
        <f t="shared" si="14"/>
        <v>0</v>
      </c>
      <c r="CD39" s="207" t="str">
        <f>IF(AND(C39="Skema 1",B39="ma"),Skemaoplysninger!$E$47,"")</f>
        <v/>
      </c>
      <c r="CE39" s="207" t="str">
        <f>IF(AND(C39="Skema 1",B39="ti"),Skemaoplysninger!$G$47,"")</f>
        <v/>
      </c>
      <c r="CF39" s="207" t="str">
        <f>IF(AND(C39="Skema 1",B39="on"),Skemaoplysninger!$I$47,"")</f>
        <v/>
      </c>
      <c r="CG39" s="207" t="str">
        <f>IF(AND(C39="Skema 1",B39="to"),Skemaoplysninger!$K$47,"")</f>
        <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t="str">
        <f t="shared" si="33"/>
        <v>2. juledag</v>
      </c>
      <c r="DJ39" t="str">
        <f t="shared" si="34"/>
        <v/>
      </c>
      <c r="DK39" t="str">
        <f t="shared" si="15"/>
        <v/>
      </c>
      <c r="DL39" t="str">
        <f t="shared" si="15"/>
        <v>2. juledag</v>
      </c>
      <c r="DM39" t="str">
        <f t="shared" si="15"/>
        <v/>
      </c>
      <c r="DN39" t="str">
        <f t="shared" si="35"/>
        <v>2. juledag</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6"/>
        <v>0</v>
      </c>
      <c r="FZ39" s="634">
        <f t="shared" si="17"/>
        <v>0</v>
      </c>
      <c r="GA39">
        <f t="shared" si="18"/>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9"/>
        <v>0</v>
      </c>
      <c r="GL39">
        <f t="shared" si="20"/>
        <v>0</v>
      </c>
      <c r="GM39">
        <f t="shared" si="21"/>
        <v>0</v>
      </c>
      <c r="GN39" s="713">
        <f t="shared" si="22"/>
        <v>0</v>
      </c>
      <c r="GO39">
        <f t="shared" si="37"/>
        <v>0</v>
      </c>
      <c r="GP39" s="647">
        <f t="shared" si="38"/>
        <v>0</v>
      </c>
    </row>
    <row r="40" spans="1:198">
      <c r="A40" s="239">
        <f t="shared" si="23"/>
        <v>27</v>
      </c>
      <c r="B40" s="125" t="str">
        <f t="shared" si="0"/>
        <v>sø</v>
      </c>
      <c r="C40" s="126" t="s">
        <v>118</v>
      </c>
      <c r="D40" s="127" t="str">
        <f t="shared" si="1"/>
        <v/>
      </c>
      <c r="E40" s="1060"/>
      <c r="F40" s="1061"/>
      <c r="G40" s="1062"/>
      <c r="H40" s="292"/>
      <c r="I40" s="746" t="str">
        <f>IF(GO40=1,"X","")</f>
        <v/>
      </c>
      <c r="J40" s="746" t="str">
        <f t="shared" si="2"/>
        <v/>
      </c>
      <c r="K40" s="368"/>
      <c r="L40" s="368"/>
      <c r="M40" s="368"/>
      <c r="N40" s="311">
        <f t="shared" si="24"/>
        <v>0</v>
      </c>
      <c r="O40" s="311">
        <f t="shared" si="25"/>
        <v>0</v>
      </c>
      <c r="P40" s="311">
        <f>IF(Stamoplysninger!$H$34="JA",December!DG40,CX40)</f>
        <v>0</v>
      </c>
      <c r="Q40" s="311">
        <f t="shared" si="26"/>
        <v>0</v>
      </c>
      <c r="R40" s="751"/>
      <c r="S40" s="315"/>
      <c r="T40" s="316"/>
      <c r="U40" s="316"/>
      <c r="V40" s="422"/>
      <c r="W40" s="400"/>
      <c r="X40" s="619"/>
      <c r="Y40">
        <f t="shared" si="27"/>
        <v>0</v>
      </c>
      <c r="Z40">
        <f t="shared" si="3"/>
        <v>0</v>
      </c>
      <c r="AA40" s="1">
        <f t="shared" si="4"/>
        <v>0</v>
      </c>
      <c r="AB40" s="1">
        <f t="shared" si="5"/>
        <v>0</v>
      </c>
      <c r="AC40" s="1">
        <f t="shared" si="6"/>
        <v>0</v>
      </c>
      <c r="AD40" s="1">
        <f t="shared" si="7"/>
        <v>0</v>
      </c>
      <c r="AE40" s="1">
        <f t="shared" si="8"/>
        <v>0</v>
      </c>
      <c r="AF40" s="1">
        <f>IF(C40="Orlov",7.4*Stamoplysninger!$E$20,0)</f>
        <v>0</v>
      </c>
      <c r="AG40" t="str">
        <f>IF(AND(C40="Skema 1",B40="ma"),Arbejdstidsoversigt!$E$77,"")</f>
        <v/>
      </c>
      <c r="AH40" t="str">
        <f>IF(AND(C40="Skema 1",B40="ti"),Arbejdstidsoversigt!$E$78,"")</f>
        <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0</v>
      </c>
      <c r="BB40" s="224">
        <f t="shared" si="9"/>
        <v>0</v>
      </c>
      <c r="BC40" s="1">
        <f t="shared" si="29"/>
        <v>0</v>
      </c>
      <c r="BD40" s="1">
        <f t="shared" si="10"/>
        <v>0</v>
      </c>
      <c r="BE40" s="1">
        <f t="shared" si="11"/>
        <v>0</v>
      </c>
      <c r="BF40" s="1">
        <f t="shared" si="12"/>
        <v>0</v>
      </c>
      <c r="BG40" s="207" t="str">
        <f>IF(AND(C40="Skema 1",B40="ma"),Skemaoplysninger!$E$46,"")</f>
        <v/>
      </c>
      <c r="BH40" s="207" t="str">
        <f>IF(AND(C40="Skema 1",B40="ti"),Skemaoplysninger!$G$46,"")</f>
        <v/>
      </c>
      <c r="BI40" s="207" t="str">
        <f>IF(AND(C40="Skema 1",B40="on"),Skemaoplysninger!$I$46,"")</f>
        <v/>
      </c>
      <c r="BJ40" s="207" t="str">
        <f>IF(AND(C40="Skema 1",B40="to"),Skemaoplysninger!$K$46,"")</f>
        <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0"/>
        <v>0</v>
      </c>
      <c r="CB40" s="1">
        <f t="shared" si="13"/>
        <v>0</v>
      </c>
      <c r="CC40" s="1">
        <f t="shared" si="14"/>
        <v>0</v>
      </c>
      <c r="CD40" s="207" t="str">
        <f>IF(AND(C40="Skema 1",B40="ma"),Skemaoplysninger!$E$47,"")</f>
        <v/>
      </c>
      <c r="CE40" s="207" t="str">
        <f>IF(AND(C40="Skema 1",B40="ti"),Skemaoplysninger!$G$47,"")</f>
        <v/>
      </c>
      <c r="CF40" s="207" t="str">
        <f>IF(AND(C40="Skema 1",B40="on"),Skemaoplysninger!$I$47,"")</f>
        <v/>
      </c>
      <c r="CG40" s="207" t="str">
        <f>IF(AND(C40="Skema 1",B40="to"),Skemaoplysninger!$K$47,"")</f>
        <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5"/>
        <v/>
      </c>
      <c r="DL40" t="str">
        <f t="shared" si="15"/>
        <v/>
      </c>
      <c r="DM40" t="str">
        <f t="shared" si="15"/>
        <v/>
      </c>
      <c r="DN40" t="str">
        <f t="shared" si="35"/>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6"/>
        <v>0</v>
      </c>
      <c r="FZ40" s="634">
        <f t="shared" si="17"/>
        <v>0</v>
      </c>
      <c r="GA40">
        <f t="shared" si="18"/>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9"/>
        <v>0</v>
      </c>
      <c r="GL40">
        <f t="shared" si="20"/>
        <v>0</v>
      </c>
      <c r="GM40">
        <f t="shared" si="21"/>
        <v>0</v>
      </c>
      <c r="GN40" s="713">
        <f t="shared" si="22"/>
        <v>0</v>
      </c>
      <c r="GO40">
        <f t="shared" si="37"/>
        <v>0</v>
      </c>
      <c r="GP40" s="647">
        <f t="shared" si="38"/>
        <v>0</v>
      </c>
    </row>
    <row r="41" spans="1:198">
      <c r="A41" s="239">
        <f t="shared" si="23"/>
        <v>28</v>
      </c>
      <c r="B41" s="125" t="str">
        <f t="shared" si="0"/>
        <v>ma</v>
      </c>
      <c r="C41" s="126" t="s">
        <v>126</v>
      </c>
      <c r="D41" s="127">
        <f t="shared" si="1"/>
        <v>52.571428571428569</v>
      </c>
      <c r="E41" s="1060"/>
      <c r="F41" s="1061"/>
      <c r="G41" s="1062"/>
      <c r="H41" s="292"/>
      <c r="I41" s="745"/>
      <c r="J41" s="746" t="str">
        <f t="shared" si="2"/>
        <v/>
      </c>
      <c r="K41" s="368"/>
      <c r="L41" s="368"/>
      <c r="M41" s="368"/>
      <c r="N41" s="311">
        <f t="shared" si="24"/>
        <v>0</v>
      </c>
      <c r="O41" s="311">
        <f t="shared" si="25"/>
        <v>0</v>
      </c>
      <c r="P41" s="311">
        <f>IF(Stamoplysninger!$H$34="JA",December!DG41,CX41)</f>
        <v>0</v>
      </c>
      <c r="Q41" s="311">
        <f t="shared" si="26"/>
        <v>0</v>
      </c>
      <c r="R41" s="751"/>
      <c r="S41" s="315"/>
      <c r="T41" s="316"/>
      <c r="U41" s="316"/>
      <c r="V41" s="422"/>
      <c r="W41" s="400"/>
      <c r="X41" s="619"/>
      <c r="Y41">
        <f t="shared" si="27"/>
        <v>0</v>
      </c>
      <c r="Z41">
        <f t="shared" si="3"/>
        <v>0</v>
      </c>
      <c r="AA41" s="1">
        <f t="shared" si="4"/>
        <v>0</v>
      </c>
      <c r="AB41" s="1">
        <f t="shared" si="5"/>
        <v>0</v>
      </c>
      <c r="AC41" s="1">
        <f t="shared" si="6"/>
        <v>0</v>
      </c>
      <c r="AD41" s="1">
        <f t="shared" si="7"/>
        <v>0</v>
      </c>
      <c r="AE41" s="1">
        <f t="shared" si="8"/>
        <v>0</v>
      </c>
      <c r="AF41" s="1">
        <f>IF(C41="Orlov",7.4*Stamoplysninger!$E$20,0)</f>
        <v>0</v>
      </c>
      <c r="AG41" t="str">
        <f>IF(AND(C41="Skema 1",B41="ma"),Arbejdstidsoversigt!$E$77,"")</f>
        <v/>
      </c>
      <c r="AH41" t="str">
        <f>IF(AND(C41="Skema 1",B41="ti"),Arbejdstidsoversigt!$E$78,"")</f>
        <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9"/>
        <v>0</v>
      </c>
      <c r="BC41" s="1">
        <f t="shared" si="29"/>
        <v>0</v>
      </c>
      <c r="BD41" s="1">
        <f t="shared" si="10"/>
        <v>0</v>
      </c>
      <c r="BE41" s="1">
        <f t="shared" si="11"/>
        <v>0</v>
      </c>
      <c r="BF41" s="1">
        <f t="shared" si="12"/>
        <v>0</v>
      </c>
      <c r="BG41" s="207" t="str">
        <f>IF(AND(C41="Skema 1",B41="ma"),Skemaoplysninger!$E$46,"")</f>
        <v/>
      </c>
      <c r="BH41" s="207" t="str">
        <f>IF(AND(C41="Skema 1",B41="ti"),Skemaoplysninger!$G$46,"")</f>
        <v/>
      </c>
      <c r="BI41" s="207" t="str">
        <f>IF(AND(C41="Skema 1",B41="on"),Skemaoplysninger!$I$46,"")</f>
        <v/>
      </c>
      <c r="BJ41" s="207" t="str">
        <f>IF(AND(C41="Skema 1",B41="to"),Skemaoplysninger!$K$46,"")</f>
        <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0"/>
        <v>0</v>
      </c>
      <c r="CB41" s="1">
        <f t="shared" si="13"/>
        <v>0</v>
      </c>
      <c r="CC41" s="1">
        <f t="shared" si="14"/>
        <v>0</v>
      </c>
      <c r="CD41" s="207" t="str">
        <f>IF(AND(C41="Skema 1",B41="ma"),Skemaoplysninger!$E$47,"")</f>
        <v/>
      </c>
      <c r="CE41" s="207" t="str">
        <f>IF(AND(C41="Skema 1",B41="ti"),Skemaoplysninger!$G$47,"")</f>
        <v/>
      </c>
      <c r="CF41" s="207" t="str">
        <f>IF(AND(C41="Skema 1",B41="on"),Skemaoplysninger!$I$47,"")</f>
        <v/>
      </c>
      <c r="CG41" s="207" t="str">
        <f>IF(AND(C41="Skema 1",B41="to"),Skemaoplysninger!$K$47,"")</f>
        <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5"/>
        <v/>
      </c>
      <c r="DL41" t="str">
        <f t="shared" si="15"/>
        <v/>
      </c>
      <c r="DM41" t="str">
        <f t="shared" si="15"/>
        <v/>
      </c>
      <c r="DN41" t="str">
        <f t="shared" si="35"/>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6"/>
        <v>0</v>
      </c>
      <c r="FZ41" s="634">
        <f t="shared" si="17"/>
        <v>0</v>
      </c>
      <c r="GA41">
        <f t="shared" si="18"/>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9"/>
        <v>0</v>
      </c>
      <c r="GL41">
        <f t="shared" si="20"/>
        <v>0</v>
      </c>
      <c r="GM41">
        <f t="shared" si="21"/>
        <v>0</v>
      </c>
      <c r="GN41" s="713">
        <f t="shared" si="22"/>
        <v>0</v>
      </c>
      <c r="GO41">
        <f t="shared" si="37"/>
        <v>0</v>
      </c>
      <c r="GP41" s="647">
        <f t="shared" si="38"/>
        <v>0</v>
      </c>
    </row>
    <row r="42" spans="1:198">
      <c r="A42" s="239">
        <f>IF(ISNUMBER(A41),A41+1,1)</f>
        <v>29</v>
      </c>
      <c r="B42" s="125" t="str">
        <f t="shared" si="0"/>
        <v>ti</v>
      </c>
      <c r="C42" s="126" t="s">
        <v>126</v>
      </c>
      <c r="D42" s="127" t="str">
        <f t="shared" si="1"/>
        <v/>
      </c>
      <c r="E42" s="1060"/>
      <c r="F42" s="1061"/>
      <c r="G42" s="1062"/>
      <c r="H42" s="292"/>
      <c r="I42" s="745"/>
      <c r="J42" s="746" t="str">
        <f t="shared" si="2"/>
        <v/>
      </c>
      <c r="K42" s="368"/>
      <c r="L42" s="368"/>
      <c r="M42" s="368"/>
      <c r="N42" s="311">
        <f t="shared" si="24"/>
        <v>0</v>
      </c>
      <c r="O42" s="311">
        <f t="shared" si="25"/>
        <v>0</v>
      </c>
      <c r="P42" s="311">
        <f>IF(Stamoplysninger!$H$34="JA",December!DG42,CX42)</f>
        <v>0</v>
      </c>
      <c r="Q42" s="311">
        <f t="shared" si="26"/>
        <v>0</v>
      </c>
      <c r="R42" s="751"/>
      <c r="S42" s="315"/>
      <c r="T42" s="316"/>
      <c r="U42" s="316"/>
      <c r="V42" s="422"/>
      <c r="W42" s="400"/>
      <c r="X42" s="619"/>
      <c r="Y42">
        <f t="shared" si="27"/>
        <v>0</v>
      </c>
      <c r="Z42">
        <f t="shared" si="3"/>
        <v>0</v>
      </c>
      <c r="AA42" s="1">
        <f t="shared" si="4"/>
        <v>0</v>
      </c>
      <c r="AB42" s="1">
        <f t="shared" si="5"/>
        <v>0</v>
      </c>
      <c r="AC42" s="1">
        <f t="shared" si="6"/>
        <v>0</v>
      </c>
      <c r="AD42" s="1">
        <f t="shared" si="7"/>
        <v>0</v>
      </c>
      <c r="AE42" s="1">
        <f t="shared" si="8"/>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0</v>
      </c>
      <c r="BB42" s="224">
        <f t="shared" si="9"/>
        <v>0</v>
      </c>
      <c r="BC42" s="1">
        <f t="shared" si="29"/>
        <v>0</v>
      </c>
      <c r="BD42" s="1">
        <f t="shared" si="10"/>
        <v>0</v>
      </c>
      <c r="BE42" s="1">
        <f t="shared" si="11"/>
        <v>0</v>
      </c>
      <c r="BF42" s="1">
        <f t="shared" si="12"/>
        <v>0</v>
      </c>
      <c r="BG42" s="207" t="str">
        <f>IF(AND(C42="Skema 1",B42="ma"),Skemaoplysninger!$E$46,"")</f>
        <v/>
      </c>
      <c r="BH42" s="207" t="str">
        <f>IF(AND(C42="Skema 1",B42="ti"),Skemaoplysninger!$G$46,"")</f>
        <v/>
      </c>
      <c r="BI42" s="207" t="str">
        <f>IF(AND(C42="Skema 1",B42="on"),Skemaoplysninger!$I$46,"")</f>
        <v/>
      </c>
      <c r="BJ42" s="207" t="str">
        <f>IF(AND(C42="Skema 1",B42="to"),Skemaoplysninger!$K$46,"")</f>
        <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 t="shared" si="30"/>
        <v>0</v>
      </c>
      <c r="CB42" s="1">
        <f t="shared" si="13"/>
        <v>0</v>
      </c>
      <c r="CC42" s="1">
        <f t="shared" si="14"/>
        <v>0</v>
      </c>
      <c r="CD42" s="207" t="str">
        <f>IF(AND(C42="Skema 1",B42="ma"),Skemaoplysninger!$E$47,"")</f>
        <v/>
      </c>
      <c r="CE42" s="207" t="str">
        <f>IF(AND(C42="Skema 1",B42="ti"),Skemaoplysninger!$G$47,"")</f>
        <v/>
      </c>
      <c r="CF42" s="207" t="str">
        <f>IF(AND(C42="Skema 1",B42="on"),Skemaoplysninger!$I$47,"")</f>
        <v/>
      </c>
      <c r="CG42" s="207" t="str">
        <f>IF(AND(C42="Skema 1",B42="to"),Skemaoplysninger!$K$47,"")</f>
        <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f t="shared" si="33"/>
        <v>0</v>
      </c>
      <c r="DJ42">
        <f t="shared" si="34"/>
        <v>0</v>
      </c>
      <c r="DK42" t="str">
        <f t="shared" si="15"/>
        <v/>
      </c>
      <c r="DL42" t="str">
        <f t="shared" si="15"/>
        <v/>
      </c>
      <c r="DM42" t="str">
        <f t="shared" si="15"/>
        <v/>
      </c>
      <c r="DN42" t="str">
        <f t="shared" si="35"/>
        <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6"/>
        <v>0</v>
      </c>
      <c r="FZ42" s="634">
        <f t="shared" si="17"/>
        <v>0</v>
      </c>
      <c r="GA42">
        <f t="shared" si="18"/>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9"/>
        <v>0</v>
      </c>
      <c r="GL42">
        <f t="shared" si="20"/>
        <v>0</v>
      </c>
      <c r="GM42">
        <f t="shared" si="21"/>
        <v>0</v>
      </c>
      <c r="GN42" s="713">
        <f t="shared" si="22"/>
        <v>0</v>
      </c>
      <c r="GO42">
        <f t="shared" si="37"/>
        <v>0</v>
      </c>
      <c r="GP42" s="647">
        <f t="shared" si="38"/>
        <v>0</v>
      </c>
    </row>
    <row r="43" spans="1:198">
      <c r="A43" s="239">
        <f t="shared" si="23"/>
        <v>30</v>
      </c>
      <c r="B43" s="125" t="str">
        <f t="shared" si="0"/>
        <v>on</v>
      </c>
      <c r="C43" s="126" t="s">
        <v>126</v>
      </c>
      <c r="D43" s="127"/>
      <c r="E43" s="1060"/>
      <c r="F43" s="1061"/>
      <c r="G43" s="1062"/>
      <c r="H43" s="292"/>
      <c r="I43" s="745"/>
      <c r="J43" s="746" t="str">
        <f t="shared" si="2"/>
        <v/>
      </c>
      <c r="K43" s="368"/>
      <c r="L43" s="368"/>
      <c r="M43" s="368"/>
      <c r="N43" s="311">
        <f t="shared" si="24"/>
        <v>0</v>
      </c>
      <c r="O43" s="311">
        <f t="shared" si="25"/>
        <v>0</v>
      </c>
      <c r="P43" s="311">
        <f>IF(Stamoplysninger!$H$34="JA",December!DG43,CX43)</f>
        <v>0</v>
      </c>
      <c r="Q43" s="311">
        <f t="shared" si="26"/>
        <v>0</v>
      </c>
      <c r="R43" s="751"/>
      <c r="S43" s="315"/>
      <c r="T43" s="316"/>
      <c r="U43" s="428"/>
      <c r="V43" s="422"/>
      <c r="W43" s="400"/>
      <c r="X43" s="619"/>
      <c r="Y43">
        <f t="shared" si="27"/>
        <v>0</v>
      </c>
      <c r="Z43">
        <f t="shared" si="3"/>
        <v>0</v>
      </c>
      <c r="AA43" s="1">
        <f t="shared" si="4"/>
        <v>0</v>
      </c>
      <c r="AB43" s="1">
        <f t="shared" si="5"/>
        <v>0</v>
      </c>
      <c r="AC43" s="1">
        <f t="shared" si="6"/>
        <v>0</v>
      </c>
      <c r="AD43" s="1">
        <f t="shared" si="7"/>
        <v>0</v>
      </c>
      <c r="AE43" s="1">
        <f t="shared" si="8"/>
        <v>0</v>
      </c>
      <c r="AF43" s="1">
        <f>IF(C43="Orlov",7.4*Stamoplysninger!$E$20,0)</f>
        <v>0</v>
      </c>
      <c r="AG43" t="str">
        <f>IF(AND(C43="Skema 1",B43="ma"),Arbejdstidsoversigt!$E$77,"")</f>
        <v/>
      </c>
      <c r="AH43" t="str">
        <f>IF(AND(C43="Skema 1",B43="ti"),Arbejdstidsoversigt!$E$78,"")</f>
        <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0</v>
      </c>
      <c r="BB43" s="224">
        <f t="shared" si="9"/>
        <v>0</v>
      </c>
      <c r="BC43" s="1">
        <f t="shared" si="29"/>
        <v>0</v>
      </c>
      <c r="BD43" s="1">
        <f t="shared" si="10"/>
        <v>0</v>
      </c>
      <c r="BE43" s="1">
        <f t="shared" si="11"/>
        <v>0</v>
      </c>
      <c r="BF43" s="1">
        <f t="shared" si="12"/>
        <v>0</v>
      </c>
      <c r="BG43" s="207" t="str">
        <f>IF(AND(C43="Skema 1",B43="ma"),Skemaoplysninger!$E$46,"")</f>
        <v/>
      </c>
      <c r="BH43" s="207" t="str">
        <f>IF(AND(C43="Skema 1",B43="ti"),Skemaoplysninger!$G$46,"")</f>
        <v/>
      </c>
      <c r="BI43" s="207" t="str">
        <f>IF(AND(C43="Skema 1",B43="on"),Skemaoplysninger!$I$46,"")</f>
        <v/>
      </c>
      <c r="BJ43" s="207" t="str">
        <f>IF(AND(C43="Skema 1",B43="to"),Skemaoplysninger!$K$46,"")</f>
        <v/>
      </c>
      <c r="BK43" s="207" t="str">
        <f>IF(AND(C43="Skema 1",B43="fr"),Skemaoplysninger!$M$46,"")</f>
        <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 t="shared" si="30"/>
        <v>0</v>
      </c>
      <c r="CB43" s="1">
        <f t="shared" si="13"/>
        <v>0</v>
      </c>
      <c r="CC43" s="1">
        <f t="shared" si="14"/>
        <v>0</v>
      </c>
      <c r="CD43" s="207" t="str">
        <f>IF(AND(C43="Skema 1",B43="ma"),Skemaoplysninger!$E$47,"")</f>
        <v/>
      </c>
      <c r="CE43" s="207" t="str">
        <f>IF(AND(C43="Skema 1",B43="ti"),Skemaoplysninger!$G$47,"")</f>
        <v/>
      </c>
      <c r="CF43" s="207" t="str">
        <f>IF(AND(C43="Skema 1",B43="on"),Skemaoplysninger!$I$47,"")</f>
        <v/>
      </c>
      <c r="CG43" s="207" t="str">
        <f>IF(AND(C43="Skema 1",B43="to"),Skemaoplysninger!$K$47,"")</f>
        <v/>
      </c>
      <c r="CH43" s="207" t="str">
        <f>IF(AND(C43="Skema 1",B43="fr"),Skemaoplysninger!$M$47,"")</f>
        <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f t="shared" si="33"/>
        <v>0</v>
      </c>
      <c r="DJ43">
        <f t="shared" si="34"/>
        <v>0</v>
      </c>
      <c r="DK43" t="str">
        <f t="shared" si="15"/>
        <v/>
      </c>
      <c r="DL43" t="str">
        <f t="shared" si="15"/>
        <v/>
      </c>
      <c r="DM43" t="str">
        <f t="shared" si="15"/>
        <v/>
      </c>
      <c r="DN43" t="str">
        <f t="shared" si="35"/>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6"/>
        <v>0</v>
      </c>
      <c r="FZ43" s="634">
        <f t="shared" si="17"/>
        <v>0</v>
      </c>
      <c r="GA43">
        <f t="shared" si="18"/>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9"/>
        <v>0</v>
      </c>
      <c r="GL43">
        <f t="shared" si="20"/>
        <v>0</v>
      </c>
      <c r="GM43">
        <f t="shared" si="21"/>
        <v>0</v>
      </c>
      <c r="GN43" s="713">
        <f t="shared" si="22"/>
        <v>0</v>
      </c>
      <c r="GO43">
        <f t="shared" si="37"/>
        <v>0</v>
      </c>
      <c r="GP43" s="647">
        <f t="shared" si="38"/>
        <v>0</v>
      </c>
    </row>
    <row r="44" spans="1:198" ht="17" thickBot="1">
      <c r="A44" s="239">
        <f>IF(ISNUMBER(A43),A43+1,1)</f>
        <v>31</v>
      </c>
      <c r="B44" s="125" t="str">
        <f t="shared" si="0"/>
        <v>to</v>
      </c>
      <c r="C44" s="126" t="s">
        <v>126</v>
      </c>
      <c r="D44" s="127" t="str">
        <f>IF(B44="ma",(DATE(A$11,A$2,A44)-DATE(A$11,1,1)+7)/7,"")</f>
        <v/>
      </c>
      <c r="E44" s="1123" t="s">
        <v>127</v>
      </c>
      <c r="F44" s="1124"/>
      <c r="G44" s="1125"/>
      <c r="H44" s="291"/>
      <c r="I44" s="745"/>
      <c r="J44" s="746" t="str">
        <f t="shared" si="2"/>
        <v/>
      </c>
      <c r="K44" s="368"/>
      <c r="L44" s="368"/>
      <c r="M44" s="368"/>
      <c r="N44" s="311">
        <f t="shared" si="24"/>
        <v>0</v>
      </c>
      <c r="O44" s="311">
        <f t="shared" si="25"/>
        <v>0</v>
      </c>
      <c r="P44" s="311">
        <f>IF(Stamoplysninger!$H$34="JA",December!DG44,CX44)</f>
        <v>0</v>
      </c>
      <c r="Q44" s="311">
        <f t="shared" si="26"/>
        <v>0</v>
      </c>
      <c r="R44" s="751"/>
      <c r="S44" s="315"/>
      <c r="T44" s="316"/>
      <c r="U44" s="211"/>
      <c r="V44" s="422"/>
      <c r="W44" s="400"/>
      <c r="X44" s="620"/>
      <c r="Y44">
        <f t="shared" si="27"/>
        <v>0</v>
      </c>
      <c r="Z44">
        <f t="shared" si="3"/>
        <v>0</v>
      </c>
      <c r="AA44" s="1">
        <f t="shared" si="4"/>
        <v>0</v>
      </c>
      <c r="AB44" s="1">
        <f t="shared" si="5"/>
        <v>0</v>
      </c>
      <c r="AC44" s="1">
        <f t="shared" si="6"/>
        <v>0</v>
      </c>
      <c r="AD44" s="1">
        <f t="shared" si="7"/>
        <v>0</v>
      </c>
      <c r="AE44" s="1">
        <f t="shared" si="8"/>
        <v>0</v>
      </c>
      <c r="AF44" s="1">
        <f>IF(C44="Orlov",7.4*Stamoplysninger!$E$20,0)</f>
        <v>0</v>
      </c>
      <c r="AG44" t="str">
        <f>IF(AND(C44="Skema 1",B44="ma"),Arbejdstidsoversigt!$E$77,"")</f>
        <v/>
      </c>
      <c r="AH44" t="str">
        <f>IF(AND(C44="Skema 1",B44="ti"),Arbejdstidsoversigt!$E$78,"")</f>
        <v/>
      </c>
      <c r="AI44" t="str">
        <f>IF(AND(C44="Skema 1",B44="on"),Arbejdstidsoversigt!$E$79,"")</f>
        <v/>
      </c>
      <c r="AJ44" t="str">
        <f>IF(AND(C44="Skema 1",B44="to"),Arbejdstidsoversigt!$E$80,"")</f>
        <v/>
      </c>
      <c r="AK44" t="str">
        <f>IF(AND(C44="Skema 1",B44="fr"),Arbejdstidsoversigt!$E$81,"")</f>
        <v/>
      </c>
      <c r="AL44" t="str">
        <f>IF(AND(C44="Skema 2",B44="ma"),Arbejdstidsoversigt!$E$86,"")</f>
        <v/>
      </c>
      <c r="AM44" t="str">
        <f>IF(AND(C44="Skema 2",B44="ti"),Arbejdstidsoversigt!$E$87,"")</f>
        <v/>
      </c>
      <c r="AN44" t="str">
        <f>IF(AND(C44="Skema 2",B44="on"),Arbejdstidsoversigt!$E$88,"")</f>
        <v/>
      </c>
      <c r="AO44" t="str">
        <f>IF(AND(C44="Skema 2",B44="to"),Arbejdstidsoversigt!$E$89,"")</f>
        <v/>
      </c>
      <c r="AP44" t="str">
        <f>IF(AND(C44="Skema 2",B44="fr"),Arbejdstidsoversigt!$E$90,"")</f>
        <v/>
      </c>
      <c r="AQ44" t="str">
        <f>IF(AND(C44="Skema 3",B44="ma"),Arbejdstidsoversigt!$E$95,"")</f>
        <v/>
      </c>
      <c r="AR44" t="str">
        <f>IF(AND(C44="Skema 3",B44="ti"),Arbejdstidsoversigt!$E$96,"")</f>
        <v/>
      </c>
      <c r="AS44" t="str">
        <f>IF(AND(C44="Skema 3",B44="on"),Arbejdstidsoversigt!$E$97,"")</f>
        <v/>
      </c>
      <c r="AT44" t="str">
        <f>IF(AND(C44="Skema 3",B44="to"),Arbejdstidsoversigt!$E$98,"")</f>
        <v/>
      </c>
      <c r="AU44" t="str">
        <f>IF(AND(C44="Skema 3",B44="fr"),Arbejdstidsoversigt!$E$99,"")</f>
        <v/>
      </c>
      <c r="AV44" t="str">
        <f>IF(AND(C44="Skema 4",B44="ma"),Arbejdstidsoversigt!$E$104,"")</f>
        <v/>
      </c>
      <c r="AW44" t="str">
        <f>IF(AND(C44="Skema 4",B44="ti"),Arbejdstidsoversigt!$E$105,"")</f>
        <v/>
      </c>
      <c r="AX44" t="str">
        <f>IF(AND(C44="Skema 4",B44="on"),Arbejdstidsoversigt!$E$106,"")</f>
        <v/>
      </c>
      <c r="AY44" t="str">
        <f>IF(AND(C44="Skema 4",B44="to"),Arbejdstidsoversigt!$E$107,"")</f>
        <v/>
      </c>
      <c r="AZ44" t="str">
        <f>IF(AND(C44="Skema 4",B44="fr"),Arbejdstidsoversigt!$E$108,"")</f>
        <v/>
      </c>
      <c r="BA44" s="1">
        <f t="shared" si="28"/>
        <v>0</v>
      </c>
      <c r="BB44" s="224">
        <f t="shared" si="9"/>
        <v>0</v>
      </c>
      <c r="BC44" s="1">
        <f t="shared" si="29"/>
        <v>0</v>
      </c>
      <c r="BD44" s="1">
        <f t="shared" si="10"/>
        <v>0</v>
      </c>
      <c r="BE44" s="1">
        <f t="shared" si="11"/>
        <v>0</v>
      </c>
      <c r="BF44" s="1">
        <f t="shared" si="12"/>
        <v>0</v>
      </c>
      <c r="BG44" s="207" t="str">
        <f>IF(AND(C44="Skema 1",B44="ma"),Skemaoplysninger!$E$46,"")</f>
        <v/>
      </c>
      <c r="BH44" s="207" t="str">
        <f>IF(AND(C44="Skema 1",B44="ti"),Skemaoplysninger!$G$46,"")</f>
        <v/>
      </c>
      <c r="BI44" s="207" t="str">
        <f>IF(AND(C44="Skema 1",B44="on"),Skemaoplysninger!$I$46,"")</f>
        <v/>
      </c>
      <c r="BJ44" s="207" t="str">
        <f>IF(AND(C44="Skema 1",B44="to"),Skemaoplysninger!$K$46,"")</f>
        <v/>
      </c>
      <c r="BK44" s="207" t="str">
        <f>IF(AND(C44="Skema 1",B44="fr"),Skemaoplysninger!$M$46,"")</f>
        <v/>
      </c>
      <c r="BL44" s="207" t="str">
        <f>IF(AND(C44="Skema 2",B44="ma"),Skemaoplysninger!$S$46,"")</f>
        <v/>
      </c>
      <c r="BM44" s="207" t="str">
        <f>IF(AND(C44="Skema 2",B44="ti"),Skemaoplysninger!$U$46,"")</f>
        <v/>
      </c>
      <c r="BN44" s="207" t="str">
        <f>IF(AND(C44="Skema 2",B44="on"),Skemaoplysninger!$W$46,"")</f>
        <v/>
      </c>
      <c r="BO44" s="207" t="str">
        <f>IF(AND(C44="Skema 2",B44="to"),Skemaoplysninger!$Y$46,"")</f>
        <v/>
      </c>
      <c r="BP44" s="207" t="str">
        <f>IF(AND(C44="Skema 2",B44="fr"),Skemaoplysninger!$AA$46,"")</f>
        <v/>
      </c>
      <c r="BQ44" s="207" t="str">
        <f>IF(AND(C44="Skema 3",B44="ma"),Skemaoplysninger!$AG$46,"")</f>
        <v/>
      </c>
      <c r="BR44" s="207" t="str">
        <f>IF(AND(C44="Skema 3",B44="ti"),Skemaoplysninger!$AI$46,"")</f>
        <v/>
      </c>
      <c r="BS44" s="207" t="str">
        <f>IF(AND(C44="Skema 3",B44="on"),Skemaoplysninger!$AK$46,"")</f>
        <v/>
      </c>
      <c r="BT44" s="207" t="str">
        <f>IF(AND(C44="Skema 3",B44="to"),Skemaoplysninger!$AM$46,"")</f>
        <v/>
      </c>
      <c r="BU44" s="207" t="str">
        <f>IF(AND(C44="Skema 3",B44="fr"),Skemaoplysninger!$AO$46,"")</f>
        <v/>
      </c>
      <c r="BV44" s="207" t="str">
        <f>IF(AND(C44="Skema 4",B44="ma"),Skemaoplysninger!$AU$46,"")</f>
        <v/>
      </c>
      <c r="BW44" s="207" t="str">
        <f>IF(AND(C44="Skema 4",B44="ti"),Skemaoplysninger!$AW$46,"")</f>
        <v/>
      </c>
      <c r="BX44" s="207" t="str">
        <f>IF(AND(C44="Skema 4",B44="on"),Skemaoplysninger!$AY$46,"")</f>
        <v/>
      </c>
      <c r="BY44" s="207" t="str">
        <f>IF(AND(C44="Skema 4",B44="to"),Skemaoplysninger!$BA$46,"")</f>
        <v/>
      </c>
      <c r="BZ44" s="207" t="str">
        <f>IF(AND(C44="Skema 4",B44="fr"),Skemaoplysninger!$BC$46,"")</f>
        <v/>
      </c>
      <c r="CA44" s="1">
        <f t="shared" si="30"/>
        <v>0</v>
      </c>
      <c r="CB44" s="1">
        <f t="shared" si="13"/>
        <v>0</v>
      </c>
      <c r="CC44" s="1">
        <f t="shared" si="14"/>
        <v>0</v>
      </c>
      <c r="CD44" s="207" t="str">
        <f>IF(AND(C44="Skema 1",B44="ma"),Skemaoplysninger!$E$47,"")</f>
        <v/>
      </c>
      <c r="CE44" s="207" t="str">
        <f>IF(AND(C44="Skema 1",B44="ti"),Skemaoplysninger!$G$47,"")</f>
        <v/>
      </c>
      <c r="CF44" s="207" t="str">
        <f>IF(AND(C44="Skema 1",B44="on"),Skemaoplysninger!$I$47,"")</f>
        <v/>
      </c>
      <c r="CG44" s="207" t="str">
        <f>IF(AND(C44="Skema 1",B44="to"),Skemaoplysninger!$K$47,"")</f>
        <v/>
      </c>
      <c r="CH44" s="207" t="str">
        <f>IF(AND(C44="Skema 1",B44="fr"),Skemaoplysninger!$M$47,"")</f>
        <v/>
      </c>
      <c r="CI44" s="207" t="str">
        <f>IF(AND(C44="Skema 2",B44="ma"),Skemaoplysninger!$S$47,"")</f>
        <v/>
      </c>
      <c r="CJ44" s="207" t="str">
        <f>IF(AND(C44="Skema 2",B44="ti"),Skemaoplysninger!$U$47,"")</f>
        <v/>
      </c>
      <c r="CK44" s="207" t="str">
        <f>IF(AND(C44="Skema 2",B44="on"),Skemaoplysninger!$W$47,"")</f>
        <v/>
      </c>
      <c r="CL44" s="207" t="str">
        <f>IF(AND(C44="Skema 2",B44="to"),Skemaoplysninger!$Y$47,"")</f>
        <v/>
      </c>
      <c r="CM44" s="207" t="str">
        <f>IF(AND(C44="Skema 2",B44="fr"),Skemaoplysninger!$AA$47,"")</f>
        <v/>
      </c>
      <c r="CN44" s="207" t="str">
        <f>IF(AND(C44="Skema 3",B44="ma"),Skemaoplysninger!$AG$47,"")</f>
        <v/>
      </c>
      <c r="CO44" s="207" t="str">
        <f>IF(AND(C44="Skema 3",B44="ti"),Skemaoplysninger!$AI$47,"")</f>
        <v/>
      </c>
      <c r="CP44" s="207" t="str">
        <f>IF(AND(C44="Skema 3",B44="on"),Skemaoplysninger!$AK$47,"")</f>
        <v/>
      </c>
      <c r="CQ44" s="207" t="str">
        <f>IF(AND(C44="Skema 3",B44="to"),Skemaoplysninger!$AM$47,"")</f>
        <v/>
      </c>
      <c r="CR44" s="207" t="str">
        <f>IF(AND(C44="Skema 3",B44="fr"),Skemaoplysninger!$AO$47,"")</f>
        <v/>
      </c>
      <c r="CS44" s="207" t="str">
        <f>IF(AND(C44="Skema 4",B44="ma"),Skemaoplysninger!$AU$47,"")</f>
        <v/>
      </c>
      <c r="CT44" s="207" t="str">
        <f>IF(AND(C44="Skema 4",B44="ti"),Skemaoplysninger!$AW$47,"")</f>
        <v/>
      </c>
      <c r="CU44" s="207" t="str">
        <f>IF(AND(C44="Skema 4",B44="on"),Skemaoplysninger!$AY$47,"")</f>
        <v/>
      </c>
      <c r="CV44" s="207" t="str">
        <f>IF(AND(C44="Skema 4",B44="to"),Skemaoplysninger!$BA$47,"")</f>
        <v/>
      </c>
      <c r="CW44" s="207" t="str">
        <f>IF(AND(C44="Skema 4",B44="fr"),Skemaoplysninger!$BC$47,"")</f>
        <v/>
      </c>
      <c r="CX44" s="243">
        <f>IF(Stamoplysninger!$H$34="NEJ",SUM(CD44:CW44)*24+CB44+CC44,0)</f>
        <v>0</v>
      </c>
      <c r="CY44" s="243">
        <f>IF(C44="Skema 1",Stamoplysninger!$H$35/200,0)</f>
        <v>0</v>
      </c>
      <c r="CZ44" s="243">
        <f>IF(C44="Skema 2",Stamoplysninger!$H$35/200,0)</f>
        <v>0</v>
      </c>
      <c r="DA44" s="243">
        <f>IF(C44="Skema 3",Stamoplysninger!$H$35/200,0)</f>
        <v>0</v>
      </c>
      <c r="DB44" s="243">
        <f>IF(C44="Skema 4",Stamoplysninger!$H$35/200,0)</f>
        <v>0</v>
      </c>
      <c r="DC44" s="243">
        <f>IF(C44="fagdag",Stamoplysninger!$H$35/200,0)</f>
        <v>0</v>
      </c>
      <c r="DD44" s="243">
        <f>IF(C44="emnedag",Stamoplysninger!$H$35/200,0)</f>
        <v>0</v>
      </c>
      <c r="DE44" s="243">
        <f>IF(C44="lejrskole",Stamoplysninger!$H$35/200,0)</f>
        <v>0</v>
      </c>
      <c r="DF44" s="243">
        <f>IF(C44="ekskursion",Stamoplysninger!$H$35/200,0)</f>
        <v>0</v>
      </c>
      <c r="DG44" s="243">
        <f t="shared" si="31"/>
        <v>0</v>
      </c>
      <c r="DH44" t="str">
        <f>IF(AND(E44&gt;0,H44&gt;0),""&amp;E44&amp;" og "&amp;H44&amp;"","")</f>
        <v/>
      </c>
      <c r="DI44" t="str">
        <f>IF(H44="",E44,"")</f>
        <v>Nytårsaftensdag</v>
      </c>
      <c r="DJ44" t="str">
        <f>IF(E44="",H44,"")</f>
        <v/>
      </c>
      <c r="DK44" t="str">
        <f>IF(DH44=0,"",DH44)</f>
        <v/>
      </c>
      <c r="DL44" t="str">
        <f>IF(DI44=0,"",DI44)</f>
        <v>Nytårsaftensdag</v>
      </c>
      <c r="DM44" t="str">
        <f>IF(DJ44=0,"",DJ44)</f>
        <v/>
      </c>
      <c r="DN44" t="str">
        <f>DK44&amp;""&amp;DL44&amp;""&amp;DM44</f>
        <v>Nytårsaftensdag</v>
      </c>
      <c r="DO44" s="628">
        <f>IF(AND(Stamoplysninger!$B$27="Ulempetillæg udbetales med 25% af nettotimelønnen.",H44&gt;0),(R44/4),0)</f>
        <v>0</v>
      </c>
      <c r="DP44">
        <f>IF(AND(AND(Stamoplysninger!$B$27="Ulempetillæg udbetales med 25% af nettotimelønnen.",I44="X",J44="")),K44/4,0)</f>
        <v>0</v>
      </c>
      <c r="DQ44">
        <f>IF(AND(Stamoplysninger!$B$27="Ulempetillæg udbetales med 25% af nettotimelønnen.",U44="X"),(X44/4),0)</f>
        <v>0</v>
      </c>
      <c r="DR44">
        <f>IF(AND(AND(AND(Stamoplysninger!$B$27="Ulempetillæg udbetales med 25% af nettotimelønnen.",S44="X",I44="X",J44=""))),V44/4,0)</f>
        <v>0</v>
      </c>
      <c r="DS44" s="647">
        <f>IF(AND(AND(Stamoplysninger!$B$27="Ulempetillæg udbetales med 25% af nettotimelønnen.",C44="ikke relevant",H44&gt;"")),(R44)/4,0)</f>
        <v>0</v>
      </c>
      <c r="DT44" s="647">
        <f>IF(AND(AND(Stamoplysninger!$B$27="Ulempetillæg udbetales med 25% af nettotimelønnen.",I44="X",C44="Ikke relevant")),K44/4,0)</f>
        <v>0</v>
      </c>
      <c r="DU44" s="647">
        <f>IF(AND(AND(Stamoplysninger!$B$27="Ulempetillæg udbetales med 25% af nettotimelønnen.",C44="ikke relevant",U44="X")),(X44/4),0)</f>
        <v>0</v>
      </c>
      <c r="DV44" s="648">
        <f>IF(AND(AND(AND(Stamoplysninger!$B$27="Ulempetillæg udbetales med 25% af nettotimelønnen.",I44="X",C44="Ikke relevant",U44="X"))),X44/4,0)</f>
        <v>0</v>
      </c>
      <c r="DW44" s="628">
        <f>IF(AND(Stamoplysninger!$B$27="Ulempetillæg afspadseres med 25%(Kræver en aftale imellem ledelsen og den ansatte)",H44&gt;0),R44/4,0)</f>
        <v>0</v>
      </c>
      <c r="DX44">
        <f>IF(AND(AND(Stamoplysninger!$B$27="Ulempetillæg afspadseres med 25%(Kræver en aftale imellem ledelsen og den ansatte)",I44="X",J44="")),K44/4,0)</f>
        <v>0</v>
      </c>
      <c r="DY44">
        <f>IF(AND(Stamoplysninger!$B$27="Ulempetillæg afspadseres med 25%(Kræver en aftale imellem ledelsen og den ansatte)",U44="X"),X44/4,0)</f>
        <v>0</v>
      </c>
      <c r="DZ44">
        <f>IF(AND(AND(AND(Stamoplysninger!$B$27="Ulempetillæg afspadseres med 25%(Kræver en aftale imellem ledelsen og den ansatte)",I44="X",S44="X",J44=""))),V44/4,0)</f>
        <v>0</v>
      </c>
      <c r="EA44" s="647">
        <f>IF(AND(Stamoplysninger!$B$27="Ulempetillæg afspadseres med 25%(Kræver en aftale imellem ledelsen og den ansatte)",C44="ikke relevant"),(R44)/4,0)</f>
        <v>0</v>
      </c>
      <c r="EB44" s="647">
        <f>IF(AND(AND(Stamoplysninger!$B$27="Ulempetillæg afspadseres med 25%(Kræver en aftale imellem ledelsen og den ansatte)",I44="X",C44="Ikke relevant")),K44/4,0)</f>
        <v>0</v>
      </c>
      <c r="EC44" s="647">
        <f>IF(AND(AND(Stamoplysninger!$B$27="Ulempetillæg afspadseres med 25%(Kræver en aftale imellem ledelsen og den ansatte)",U44="X",C44="Ikke relevant")),X44/4,0)</f>
        <v>0</v>
      </c>
      <c r="ED44" s="647">
        <f>IF(AND(AND(AND(Stamoplysninger!$B$27="Ulempetillæg afspadseres med 25%(Kræver en aftale imellem ledelsen og den ansatte)",I44="X",C44="Ikke relevant",S44="X"))),V44/4,0)</f>
        <v>0</v>
      </c>
      <c r="EE44" s="277">
        <f>IF(AND(AND(Stamoplysninger!$B$31="Weekendtimer og weekendtillæg afspadseres.",I44="X",J44="")),K44*1.5,0)</f>
        <v>0</v>
      </c>
      <c r="EF44" s="245">
        <f>IF(AND(AND(AND(Stamoplysninger!$B$31="Weekendtimer og weekendtillæg afspadseres.",I44="X",S44="X",J44=""))),V44*1.5,0)</f>
        <v>0</v>
      </c>
      <c r="EG44" s="650">
        <f>IF(AND(AND(Stamoplysninger!$B$31="Weekendtimer og weekendtillæg afspadseres.",I44="X",C44="ikke relevant")),K44*1.5,0)</f>
        <v>0</v>
      </c>
      <c r="EH44" s="651">
        <f>IF(AND(AND(AND(Stamoplysninger!$B$31="Weekendtimer og weekendtillæg afspadseres.",I44="X",C44="ikke relevant",S44="X"))),(V44*1.5),0)</f>
        <v>0</v>
      </c>
      <c r="EI44" s="277">
        <f>IF(AND(AND(Stamoplysninger!$B$31="Weekendtimer og weekendtillæg afspadseres.",I44="X",J44="X")),K44,0)</f>
        <v>0</v>
      </c>
      <c r="EJ44" s="718">
        <f>IF(AND(AND(AND(Stamoplysninger!$B$31="Weekendtimer og weekendtillæg afspadseres.",I44="X",S44="X",J44="X"))),V44,0)</f>
        <v>0</v>
      </c>
      <c r="EK44" s="650">
        <f>IF(AND(AND(Stamoplysninger!$B$31="Weekendtimer og weekendtillæg afspadseres.",M44="X",G44="ikke relevant")),O44*1.5,0)</f>
        <v>0</v>
      </c>
      <c r="EL44" s="651">
        <f>IF(AND(AND(AND(Stamoplysninger!$B$31="Weekendtimer og weekendtillæg afspadseres.",M44="X",G44="ikke relevant",W44="X"))),(Z44*1.5),0)</f>
        <v>0</v>
      </c>
      <c r="EM44" s="277">
        <f>IF(AND(AND(Stamoplysninger!$B$31="Weekendtimer og weekendtillæg udbetales.",I44="X",J44="")),K44*1.5,0)</f>
        <v>0</v>
      </c>
      <c r="EN44" s="245">
        <f>IF(AND(AND(AND(Stamoplysninger!$B$31="Weekendtimer og weekendtillæg udbetales.",I44="X",S44="X",J44=""))),V44*1.5,0)</f>
        <v>0</v>
      </c>
      <c r="EO44" s="650">
        <f>IF(AND(AND(Stamoplysninger!$B$31="Weekendtimer og weekendtillæg udbetales.",I44="X",C44="ikke relevant")),K44*1.5,0)</f>
        <v>0</v>
      </c>
      <c r="EP44" s="651">
        <f>IF(AND(AND(AND(Stamoplysninger!$B$31="Weekendtimer og weekendtillæg udbetales.",I44="X",C44="ikke relevant",S44="X"))),(V44*1.5),0)</f>
        <v>0</v>
      </c>
      <c r="EQ44" s="277">
        <f>IF(AND(AND(Stamoplysninger!$B$31="Weekendtimer og weekendtillæg udbetales.",I44="X",J44="X")),K44,0)</f>
        <v>0</v>
      </c>
      <c r="ER44" s="718">
        <f>IF(AND(AND(AND(Stamoplysninger!$B$31="Weekendtimer og weekendtillæg udbetales.",I44="X",S44="X",J44="x"))),V44,0)</f>
        <v>0</v>
      </c>
      <c r="ES44" s="650">
        <f>IF(AND(AND(Stamoplysninger!$B$31="Weekendtimer og weekendtillæg udbetales.",M44="X",G44="ikke relevant")),O44*1.5,0)</f>
        <v>0</v>
      </c>
      <c r="ET44" s="651">
        <f>IF(AND(AND(AND(Stamoplysninger!$B$31="Weekendtimer og weekendtillæg udbetales.",M44="X",G44="ikke relevant",W44="X"))),(Z44*1.5),0)</f>
        <v>0</v>
      </c>
      <c r="EU44" s="277">
        <f>IF(AND(AND(Stamoplysninger!$B$31="Der er indgået lokalaftale omkring weekendtimer.(Kræver aftale med TR/FSL) Weekendtillæg afspadseres.",I44="X",J44="")),K44*0.5,0)</f>
        <v>0</v>
      </c>
      <c r="EV44" s="245">
        <f>IF(AND(AND(AND(Stamoplysninger!$B$31="Der er indgået lokalaftale omkring weekendtimer.(Kræver aftale med TR/FSL) Weekendtillæg afspadseres.",I44="X",S44="X",J44=""))),V44*0.5,0)</f>
        <v>0</v>
      </c>
      <c r="EW44" s="650">
        <f>IF(AND(AND(Stamoplysninger!$B$31="Der er indgået lokalaftale omkring weekendtimer.(Kræver aftale med TR/FSL) Weekendtillæg afspadseres.",I44="X",C44="ikke relevant")),K44*0.5,0)</f>
        <v>0</v>
      </c>
      <c r="EX44" s="651">
        <f>IF(AND(AND(AND(Stamoplysninger!$B$31="Der er indgået lokalaftale omkring weekendtimer.(Kræver aftale med TR/FSL) Weekendtillæg afspadseres.",I44="X",C44="ikke relevant",S44="X"))),(V44*0.5),0)</f>
        <v>0</v>
      </c>
      <c r="EY44" s="277">
        <f>IF(AND(AND(Stamoplysninger!$B$31="Der er indgået lokalaftale omkring weekendtimer(Kræver aftale med TR/FSL). Weekendtillæg udbetales.",I44="X",J44="")),K44*0.5,0)</f>
        <v>0</v>
      </c>
      <c r="EZ44" s="245">
        <f>IF(AND(AND(AND(Stamoplysninger!$B$31="Der er indgået lokalaftale omkring weekendtimer(Kræver aftale med TR/FSL). Weekendtillæg udbetales.",I44="X",S44="X",J44=""))),V44*0.5,0)</f>
        <v>0</v>
      </c>
      <c r="FA44" s="650">
        <f>IF(AND(AND(Stamoplysninger!$B$31="Der er indgået lokalaftale omkring weekendtimer(Kræver aftale med TR/FSL). Weekendtillæg udbetales.",I44="X",C44="ikke relevant")),K44*0.5,0)</f>
        <v>0</v>
      </c>
      <c r="FB44" s="651">
        <f>IF(AND(AND(AND(Stamoplysninger!$B$31="Der er indgået lokalaftale omkring weekendtimer(Kræver aftale med TR/FSL). Weekendtillæg udbetales.",I44="X",C44="ikke relevant",S44="X"))),(V44*0.5),0)</f>
        <v>0</v>
      </c>
      <c r="FC44" s="277">
        <f>IF(AND(Stamoplysninger!$B$31="Der er indgået lokalaftale omkring weekendtillæg(Kræver aftale med TR/FSL). Weekendtimerne afspadseres.",I44="X"),K44,0)</f>
        <v>0</v>
      </c>
      <c r="FD44" s="245">
        <f>IF(AND(AND(Stamoplysninger!$B$31="Der er indgået lokalaftale omkring weekendtillæg(Kræver aftale med TR/FSL). Weekendtimerne afspadseres.",I44="X",S44="X")),V44,0)</f>
        <v>0</v>
      </c>
      <c r="FE44" s="650">
        <f>IF(AND(AND(Stamoplysninger!$B$31="Der er indgået lokalaftale omkring weekendtillæg(Kræver aftale med TR/FSL). Weekendtimerne afspadseres..",I44="X",C44="ikke relevant")),K44,0)</f>
        <v>0</v>
      </c>
      <c r="FF44" s="651">
        <f>IF(AND(AND(AND(Stamoplysninger!$B$31="Der er indgået lokalaftale omkring weekendtillæg(Kræver aftale med TR/FSL). Weekendtimerne afspadseres.",I44="X",C44="ikke relevant",S44="X"))),(V44),0)</f>
        <v>0</v>
      </c>
      <c r="FG44" s="277">
        <f>IF(AND(Stamoplysninger!$B$31="Der er indgået lokalaftale omkring weekendtillæg(Kræver aftale med TR/FSL). Weekendtimerne udbetales.",I44="X"),K44,0)</f>
        <v>0</v>
      </c>
      <c r="FH44" s="245">
        <f>IF(AND(AND(Stamoplysninger!$B$31="Der er indgået lokalaftale omkring weekendtillæg(Kræver aftale med TR/FSL). Weekendtimerne udbetales.",I44="X",S44="X")),V44,0)</f>
        <v>0</v>
      </c>
      <c r="FI44" s="650">
        <f>IF(AND(AND(Stamoplysninger!$B$31="Der er indgået lokalaftale omkring weekendtillæg(Kræver aftale med TR/FSL). Weekendtimerne udbetales.",I44="X",C44="ikke relevant")),K44,0)</f>
        <v>0</v>
      </c>
      <c r="FJ44" s="651">
        <f>IF(AND(AND(AND(Stamoplysninger!$B$31="Der er indgået lokalaftale omkring weekendtillæg(Kræver aftale med TR/FSL). Weekendtimerne udbetales.",I44="X",C44="ikke relevant",S44="X"))),(V44),0)</f>
        <v>0</v>
      </c>
      <c r="FK44" s="277">
        <f>IF(AND(AND(Stamoplysninger!$B$31="Weekendtimer og weekendtillæg afspadseres.",I44="X",J44="")),K44,0)</f>
        <v>0</v>
      </c>
      <c r="FL44" s="245">
        <f>IF(AND(Stamoplysninger!$B$31="Weekendtimer og weekendtillæg afspadseres.",Y44="X"),(AA44+AL44)/2,0)</f>
        <v>0</v>
      </c>
      <c r="FM44" s="650">
        <f>IF(AND(AND(Stamoplysninger!$B$31="Weekendtimer og weekendtillæg afspadseres.",I44="X",C44="ikke relevant")),K44,0)</f>
        <v>0</v>
      </c>
      <c r="FN44" s="651">
        <f>IF(AND(AND(Stamoplysninger!$B$31="Weekendtimer og weekendtillæg afspadseres.",Y44="X",S44="ikke relevant")),(AA44+AL44)/2,0)</f>
        <v>0</v>
      </c>
      <c r="FO44" s="277">
        <f>IF(AND(AND(Stamoplysninger!$B$31="Weekendtimer og weekendtillæg afspadseres.",I44="X",J44="X")),K44,0)</f>
        <v>0</v>
      </c>
      <c r="FP44" s="245">
        <f>IF(AND(Stamoplysninger!$B$31="Weekendtimer og weekendtillæg afspadseres.",AC44="X"),(AE44+AP44)/2,0)</f>
        <v>0</v>
      </c>
      <c r="FQ44" s="650">
        <f>IF(AND(AND(Stamoplysninger!$B$31="Weekendtimer og weekendtillæg afspadseres.",M44="X",G44="ikke relevant")),O44,0)</f>
        <v>0</v>
      </c>
      <c r="FR44" s="651">
        <f>IF(AND(AND(Stamoplysninger!$B$31="Weekendtimer og weekendtillæg afspadseres.",AC44="X",W44="ikke relevant")),(AE44+AP44)/2,0)</f>
        <v>0</v>
      </c>
      <c r="FS44" s="277">
        <f>IF(AND(Stamoplysninger!$B$31="Der er indgået lokalaftale omkring weekendtillæg(Kræver aftale med TR/FSL). Weekendtimerne afspadseres.",I44="X"),K44,0)</f>
        <v>0</v>
      </c>
      <c r="FT44" s="650">
        <f>IF(AND(AND(Stamoplysninger!$B$31="Der er indgået lokalaftale omkring weekendtillæg(Kræver aftale med TR/FSL). Weekendtimerne afspadseres.",I44="X",C44="ikke relevant")),K44,0)</f>
        <v>0</v>
      </c>
      <c r="FU44" s="277">
        <f>IF(AND(Stamoplysninger!$B$31="Weekendtimer og weekendtillæg udbetales.",I44="X"),K44,0)</f>
        <v>0</v>
      </c>
      <c r="FV44" s="245">
        <f>IF(AND(Stamoplysninger!$B$31="Weekendtimer og weekendtillæg udbetales.",AA44="X"),(AC44+AN44)/2,0)</f>
        <v>0</v>
      </c>
      <c r="FW44" s="650">
        <f>IF(AND(AND(Stamoplysninger!$B$31="Weekendtimer og weekendtillæg udbetales.",I44="X",C44="ikke relevant")),K44,0)</f>
        <v>0</v>
      </c>
      <c r="FX44" s="664">
        <f>IF(AND(AND(Stamoplysninger!$B$31="Weekendtimer og weekendtillæg udbetales.",AA44="X",U44="ikke relevant")),(AC44+AN44)/2,0)</f>
        <v>0</v>
      </c>
      <c r="FY44" s="277">
        <f t="shared" si="16"/>
        <v>0</v>
      </c>
      <c r="FZ44" s="634">
        <f t="shared" si="17"/>
        <v>0</v>
      </c>
      <c r="GA44">
        <f t="shared" si="18"/>
        <v>0</v>
      </c>
      <c r="GB44" s="277">
        <f>IF(AND(Stamoplysninger!$B$31="Der er indgået lokalaftale omkring weekendtimer.(Kræver aftale med TR/FSL) Weekendtillæg afspadseres.",I44="X"),K44,0)</f>
        <v>0</v>
      </c>
      <c r="GC44" s="650">
        <f>IF(AND(AND(Stamoplysninger!$B$31="Der er indgået lokalaftale omkring weekendtimer.(Kræver aftale med TR/FSL) Weekendtillæg afspadseres.",I44="X",C44="ikke relevant")),K44,0)</f>
        <v>0</v>
      </c>
      <c r="GD44" s="277">
        <f>IF(AND(Stamoplysninger!$B$31="Der er indgået lokalaftale omkring weekendtimer(Kræver aftale med TR/FSL). Weekendtillæg udbetales.",I44="X"),K44,0)</f>
        <v>0</v>
      </c>
      <c r="GE44" s="650">
        <f>IF(AND(AND(Stamoplysninger!$B$31="Der er indgået lokalaftale omkring weekendtimer(Kræver aftale med TR/FSL). Weekendtillæg udbetales.",I44="X",C44="ikke relevant")),K44,0)</f>
        <v>0</v>
      </c>
      <c r="GF44" s="277">
        <f>IF(AND(Stamoplysninger!$B$31="Der er indgået lokalaftale omkring weekendtillæg(Kræver aftale med TR/FSL). Weekendtimerne udbetales.",I44="X"),K44,0)</f>
        <v>0</v>
      </c>
      <c r="GG44" s="650">
        <f>IF(AND(AND(Stamoplysninger!$B$31="Der er indgået lokalaftale omkring weekendtillæg(Kræver aftale med TR/FSL). Weekendtimerne udbetales.",I44="X",C44="ikke relevant")),K44,0)</f>
        <v>0</v>
      </c>
      <c r="GH44" s="277">
        <f>IF(AND(Stamoplysninger!$B$31="Der er indgået lokalaftale omkring weekendtimer og weekendtillæg.(Kræver aftale med TR/FSL).",I44="X"),K44,0)</f>
        <v>0</v>
      </c>
      <c r="GI44" s="650">
        <f>IF(AND(AND(Stamoplysninger!$B$31="Der er indgået lokalaftale omkring weekendtimer og weekendtillæg.(Kræver aftale med TR/FSL).",I44="X",C44="ikke relevant")),K44,0)</f>
        <v>0</v>
      </c>
      <c r="GJ44">
        <f t="shared" si="36"/>
        <v>0</v>
      </c>
      <c r="GK44">
        <f t="shared" si="19"/>
        <v>0</v>
      </c>
      <c r="GL44">
        <f t="shared" si="20"/>
        <v>0</v>
      </c>
      <c r="GM44">
        <f t="shared" si="21"/>
        <v>0</v>
      </c>
      <c r="GN44" s="713">
        <f t="shared" si="22"/>
        <v>0</v>
      </c>
      <c r="GO44">
        <f t="shared" si="37"/>
        <v>0</v>
      </c>
      <c r="GP44" s="647">
        <f t="shared" si="38"/>
        <v>0</v>
      </c>
    </row>
    <row r="45" spans="1:198" ht="17" thickBot="1">
      <c r="A45" s="1100" t="s">
        <v>257</v>
      </c>
      <c r="B45" s="1101"/>
      <c r="C45" s="1101"/>
      <c r="D45" s="1101"/>
      <c r="E45" s="1101"/>
      <c r="F45" s="1101"/>
      <c r="G45" s="1101"/>
      <c r="H45" s="1101"/>
      <c r="I45" s="1102"/>
      <c r="J45" s="306"/>
      <c r="K45" s="313"/>
      <c r="L45" s="313"/>
      <c r="M45" s="313"/>
      <c r="N45" s="314">
        <f>SUM(N14:N44)</f>
        <v>108.97</v>
      </c>
      <c r="O45" s="314">
        <f>SUM(O14:O44)</f>
        <v>51</v>
      </c>
      <c r="P45" s="314">
        <f>SUM(P14:P44)</f>
        <v>19.166666666666664</v>
      </c>
      <c r="Q45" s="314">
        <f>SUM(Q14:Q44)</f>
        <v>38.803333333333327</v>
      </c>
      <c r="R45" s="752">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IF(H44&gt;0,R44,0)</f>
        <v>4</v>
      </c>
      <c r="S45" s="419"/>
      <c r="T45" s="420"/>
      <c r="U45" s="420"/>
      <c r="V45"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IF(S44="x",V44,0)</f>
        <v>0</v>
      </c>
      <c r="W45" s="420">
        <f>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IF(T44="x",W44,0)</f>
        <v>0</v>
      </c>
      <c r="X45" s="421">
        <f>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IF(U44="x",X44,0)</f>
        <v>0</v>
      </c>
      <c r="Y45" s="208">
        <f>SUM(Y14:Y44)</f>
        <v>0</v>
      </c>
      <c r="Z45" s="386">
        <f>Z14+Z15+Z16+Z17+Z18+Z19+Z20+Z21+Z22+Z23+Z24+Z25+Z26+Z27+Z28+Z29+Z30+Z31+Z32+Z33+Z34+Z35+Z36+Z37+Z38+Z39+Z40+Z41+Z42+Z43+Z44</f>
        <v>0</v>
      </c>
      <c r="AA45" s="229">
        <f t="shared" ref="AA45:AF45" si="39">SUM(AA14:AA44)</f>
        <v>11</v>
      </c>
      <c r="AB45" s="229">
        <f t="shared" si="39"/>
        <v>0</v>
      </c>
      <c r="AC45" s="229">
        <f t="shared" si="39"/>
        <v>0</v>
      </c>
      <c r="AD45" s="229">
        <f t="shared" si="39"/>
        <v>0</v>
      </c>
      <c r="AE45" s="229">
        <f t="shared" si="39"/>
        <v>0</v>
      </c>
      <c r="AF45" s="229">
        <f t="shared" si="39"/>
        <v>0</v>
      </c>
      <c r="BA45" s="1">
        <f>SUM(BA14:BA44)</f>
        <v>108.97</v>
      </c>
      <c r="BB45" s="109"/>
      <c r="BC45" s="229">
        <f>SUM(BC14:BC44)</f>
        <v>0</v>
      </c>
      <c r="BD45" s="229">
        <f>SUM(BD14:BD44)</f>
        <v>0</v>
      </c>
      <c r="BE45" s="229">
        <f>SUM(BE14:BE44)</f>
        <v>0</v>
      </c>
      <c r="BF45" s="229">
        <f>SUM(BF14:BF44)</f>
        <v>6</v>
      </c>
      <c r="CA45" s="229">
        <f>SUM(CA14:CA44)</f>
        <v>51</v>
      </c>
      <c r="CB45" s="229">
        <f>SUM(CB14:CB44)</f>
        <v>0</v>
      </c>
      <c r="CC45" s="229">
        <f>SUM(CC14:CC44)</f>
        <v>2.75</v>
      </c>
      <c r="CX45" s="243"/>
      <c r="CY45" s="243">
        <f t="shared" ref="CY45:DG45" si="40">SUM(CY14:CY44)</f>
        <v>0</v>
      </c>
      <c r="CZ45" s="243">
        <f t="shared" si="40"/>
        <v>0</v>
      </c>
      <c r="DA45" s="243">
        <f t="shared" si="40"/>
        <v>0</v>
      </c>
      <c r="DB45" s="243">
        <f t="shared" si="40"/>
        <v>0</v>
      </c>
      <c r="DC45" s="243">
        <f t="shared" si="40"/>
        <v>0</v>
      </c>
      <c r="DD45" s="243">
        <f t="shared" si="40"/>
        <v>0</v>
      </c>
      <c r="DE45" s="243">
        <f t="shared" si="40"/>
        <v>0</v>
      </c>
      <c r="DF45" s="243">
        <f t="shared" si="40"/>
        <v>0</v>
      </c>
      <c r="DG45" s="243">
        <f t="shared" si="40"/>
        <v>0</v>
      </c>
      <c r="DO45" s="645">
        <f>SUM(DO14:DO44)</f>
        <v>1</v>
      </c>
      <c r="DP45" s="646">
        <f t="shared" ref="DP45:GI45" si="41">SUM(DP14:DP44)</f>
        <v>0</v>
      </c>
      <c r="DQ45" s="646">
        <f t="shared" si="41"/>
        <v>0</v>
      </c>
      <c r="DR45" s="646">
        <f t="shared" si="41"/>
        <v>0</v>
      </c>
      <c r="DS45" s="649">
        <f t="shared" si="41"/>
        <v>0</v>
      </c>
      <c r="DT45" s="649">
        <f t="shared" si="41"/>
        <v>0</v>
      </c>
      <c r="DU45" s="646">
        <f t="shared" si="41"/>
        <v>0</v>
      </c>
      <c r="DV45" s="649">
        <f t="shared" si="41"/>
        <v>0</v>
      </c>
      <c r="DW45" s="646">
        <f t="shared" si="41"/>
        <v>0</v>
      </c>
      <c r="DX45" s="646">
        <f t="shared" si="41"/>
        <v>0</v>
      </c>
      <c r="DY45" s="646">
        <f t="shared" si="41"/>
        <v>0</v>
      </c>
      <c r="DZ45" s="646">
        <f t="shared" si="41"/>
        <v>0</v>
      </c>
      <c r="EA45" s="649">
        <f t="shared" si="41"/>
        <v>0</v>
      </c>
      <c r="EB45" s="649">
        <f t="shared" si="41"/>
        <v>0</v>
      </c>
      <c r="EC45" s="649">
        <f t="shared" si="41"/>
        <v>0</v>
      </c>
      <c r="ED45" s="649">
        <f t="shared" si="41"/>
        <v>0</v>
      </c>
      <c r="EE45" s="646">
        <f t="shared" si="41"/>
        <v>0</v>
      </c>
      <c r="EF45" s="646">
        <f t="shared" si="41"/>
        <v>0</v>
      </c>
      <c r="EG45" s="649">
        <f t="shared" si="41"/>
        <v>0</v>
      </c>
      <c r="EH45" s="649">
        <f t="shared" si="41"/>
        <v>0</v>
      </c>
      <c r="EI45" s="646">
        <f t="shared" si="41"/>
        <v>0</v>
      </c>
      <c r="EJ45" s="646">
        <f t="shared" si="41"/>
        <v>0</v>
      </c>
      <c r="EK45" s="649">
        <f t="shared" si="41"/>
        <v>0</v>
      </c>
      <c r="EL45" s="649">
        <f t="shared" si="41"/>
        <v>0</v>
      </c>
      <c r="EM45" s="646">
        <f t="shared" si="41"/>
        <v>0</v>
      </c>
      <c r="EN45" s="646">
        <f t="shared" si="41"/>
        <v>0</v>
      </c>
      <c r="EO45" s="649">
        <f t="shared" si="41"/>
        <v>0</v>
      </c>
      <c r="EP45" s="652">
        <f t="shared" si="41"/>
        <v>0</v>
      </c>
      <c r="EQ45" s="646">
        <f t="shared" si="41"/>
        <v>0</v>
      </c>
      <c r="ER45" s="646">
        <f t="shared" si="41"/>
        <v>0</v>
      </c>
      <c r="ES45" s="649">
        <f t="shared" si="41"/>
        <v>0</v>
      </c>
      <c r="ET45" s="652">
        <f t="shared" si="41"/>
        <v>0</v>
      </c>
      <c r="EU45" s="646">
        <f t="shared" si="41"/>
        <v>0</v>
      </c>
      <c r="EV45" s="646">
        <f t="shared" si="41"/>
        <v>0</v>
      </c>
      <c r="EW45" s="649">
        <f t="shared" si="41"/>
        <v>0</v>
      </c>
      <c r="EX45" s="652">
        <f t="shared" si="41"/>
        <v>0</v>
      </c>
      <c r="EY45" s="646">
        <f t="shared" si="41"/>
        <v>0</v>
      </c>
      <c r="EZ45" s="646">
        <f t="shared" si="41"/>
        <v>0</v>
      </c>
      <c r="FA45" s="649">
        <f t="shared" si="41"/>
        <v>0</v>
      </c>
      <c r="FB45" s="652">
        <f t="shared" si="41"/>
        <v>0</v>
      </c>
      <c r="FC45" s="646">
        <f t="shared" si="41"/>
        <v>0</v>
      </c>
      <c r="FD45" s="646">
        <f t="shared" si="41"/>
        <v>0</v>
      </c>
      <c r="FE45" s="649">
        <f t="shared" si="41"/>
        <v>0</v>
      </c>
      <c r="FF45" s="652">
        <f t="shared" si="41"/>
        <v>0</v>
      </c>
      <c r="FG45" s="646">
        <f t="shared" si="41"/>
        <v>0</v>
      </c>
      <c r="FH45" s="646">
        <f t="shared" si="41"/>
        <v>0</v>
      </c>
      <c r="FI45" s="649">
        <f t="shared" si="41"/>
        <v>0</v>
      </c>
      <c r="FJ45" s="652">
        <f t="shared" si="41"/>
        <v>0</v>
      </c>
      <c r="FK45" s="661">
        <f t="shared" si="41"/>
        <v>0</v>
      </c>
      <c r="FL45" s="646">
        <f t="shared" si="41"/>
        <v>0</v>
      </c>
      <c r="FM45" s="661">
        <f t="shared" si="41"/>
        <v>0</v>
      </c>
      <c r="FN45" s="649">
        <f t="shared" si="41"/>
        <v>0</v>
      </c>
      <c r="FO45" s="661">
        <f t="shared" si="41"/>
        <v>0</v>
      </c>
      <c r="FP45" s="646">
        <f t="shared" si="41"/>
        <v>0</v>
      </c>
      <c r="FQ45" s="661">
        <f t="shared" si="41"/>
        <v>0</v>
      </c>
      <c r="FR45" s="649">
        <f t="shared" si="41"/>
        <v>0</v>
      </c>
      <c r="FS45" s="661">
        <f t="shared" si="41"/>
        <v>0</v>
      </c>
      <c r="FT45" s="661">
        <f t="shared" si="41"/>
        <v>0</v>
      </c>
      <c r="FU45" s="661">
        <f t="shared" si="41"/>
        <v>0</v>
      </c>
      <c r="FV45" s="646">
        <f t="shared" si="41"/>
        <v>0</v>
      </c>
      <c r="FW45" s="661">
        <f t="shared" si="41"/>
        <v>0</v>
      </c>
      <c r="FX45" s="652">
        <f t="shared" si="41"/>
        <v>0</v>
      </c>
      <c r="FY45" s="665">
        <f t="shared" si="41"/>
        <v>0</v>
      </c>
      <c r="FZ45" s="666">
        <f t="shared" si="41"/>
        <v>0</v>
      </c>
      <c r="GA45" s="666">
        <f t="shared" si="41"/>
        <v>0</v>
      </c>
      <c r="GB45" s="665">
        <f>SUM(GB14:GB44)</f>
        <v>0</v>
      </c>
      <c r="GC45" s="666">
        <f t="shared" si="41"/>
        <v>0</v>
      </c>
      <c r="GD45" s="665">
        <f t="shared" si="41"/>
        <v>0</v>
      </c>
      <c r="GE45" s="666">
        <f t="shared" si="41"/>
        <v>0</v>
      </c>
      <c r="GF45" s="661">
        <f t="shared" si="41"/>
        <v>0</v>
      </c>
      <c r="GG45" s="661">
        <f t="shared" si="41"/>
        <v>0</v>
      </c>
      <c r="GH45" s="661">
        <f t="shared" si="41"/>
        <v>0</v>
      </c>
      <c r="GI45" s="661">
        <f t="shared" si="41"/>
        <v>0</v>
      </c>
      <c r="GP45" s="647">
        <f>SUM(GP14:GP44)</f>
        <v>0</v>
      </c>
    </row>
    <row r="46" spans="1:198" ht="26" thickBot="1">
      <c r="A46" s="227"/>
      <c r="B46" s="227"/>
      <c r="C46" s="227"/>
      <c r="D46" s="227"/>
      <c r="E46" s="227"/>
      <c r="F46" s="227"/>
      <c r="G46" s="227"/>
      <c r="H46" s="227"/>
      <c r="I46" s="227"/>
      <c r="J46" s="227"/>
      <c r="K46" s="233"/>
      <c r="L46" s="233"/>
      <c r="M46" s="233"/>
      <c r="N46" s="233"/>
      <c r="O46" s="233"/>
      <c r="P46" s="233"/>
      <c r="Q46" s="233"/>
      <c r="R46" s="233"/>
      <c r="S46" s="433"/>
      <c r="T46" s="433"/>
      <c r="U46" s="433"/>
      <c r="V46" s="433"/>
      <c r="W46" s="433"/>
      <c r="X46" s="433"/>
      <c r="Y46" s="229"/>
      <c r="Z46" s="208"/>
      <c r="AA46" s="229"/>
      <c r="AB46" s="208"/>
      <c r="AC46" s="208"/>
      <c r="AD46" s="229"/>
      <c r="AE46" s="229"/>
      <c r="AG46" s="229"/>
      <c r="BC46" s="229"/>
      <c r="BD46" s="229"/>
      <c r="BE46" s="229"/>
      <c r="BF46" s="229"/>
      <c r="BG46" s="109"/>
      <c r="CB46" s="229"/>
      <c r="CC46" s="229"/>
      <c r="CD46" s="109"/>
      <c r="CX46" s="242"/>
      <c r="CZ46"/>
      <c r="DO46" s="728"/>
      <c r="DP46" s="728"/>
      <c r="DQ46" s="728"/>
      <c r="DR46" s="728"/>
      <c r="DS46" s="728"/>
      <c r="DT46" s="728"/>
      <c r="DU46" s="728"/>
      <c r="DV46" s="728"/>
      <c r="DW46" s="729"/>
      <c r="DX46" s="729"/>
      <c r="DY46" s="729"/>
      <c r="DZ46" s="729"/>
      <c r="EA46" s="729"/>
      <c r="EB46" s="729"/>
      <c r="EC46" s="729"/>
      <c r="ED46" s="729"/>
      <c r="EE46" s="732"/>
      <c r="EF46" s="732"/>
      <c r="EG46" s="732"/>
      <c r="EH46" s="732"/>
      <c r="EI46" s="732"/>
      <c r="EJ46" s="732"/>
      <c r="EM46" s="734"/>
      <c r="EN46" s="734"/>
      <c r="EO46" s="734"/>
      <c r="EP46" s="734"/>
      <c r="EQ46" s="734"/>
      <c r="ER46" s="734"/>
      <c r="EU46" s="736"/>
      <c r="EV46" s="736"/>
      <c r="EW46" s="736"/>
      <c r="EX46" s="736"/>
      <c r="EY46" s="738"/>
      <c r="EZ46" s="738"/>
      <c r="FA46" s="738"/>
      <c r="FB46" s="738"/>
      <c r="FC46" s="740"/>
      <c r="FD46" s="740"/>
      <c r="FE46" s="740"/>
      <c r="FF46" s="740"/>
      <c r="FG46" s="742"/>
      <c r="FH46" s="742"/>
      <c r="FI46" s="742"/>
      <c r="FJ46" s="742"/>
      <c r="FK46" s="726"/>
      <c r="FM46" s="744"/>
      <c r="FO46" s="726"/>
      <c r="FS46" s="726"/>
      <c r="FT46" s="744"/>
      <c r="FU46" s="726"/>
      <c r="FW46" s="744"/>
      <c r="GA46" s="744"/>
      <c r="GB46" s="726"/>
      <c r="GC46" s="744"/>
      <c r="GD46" s="726"/>
      <c r="GE46" s="744"/>
      <c r="GF46" s="726"/>
      <c r="GG46" s="744"/>
      <c r="GH46" s="726"/>
      <c r="GI46" s="744"/>
      <c r="GP46" s="743" t="s">
        <v>663</v>
      </c>
    </row>
    <row r="47" spans="1:198" ht="70" customHeight="1">
      <c r="A47" s="1086" t="str">
        <f>"Arbejdstid for "&amp;A12&amp;" måned:"</f>
        <v>Arbejdstid for December måned:</v>
      </c>
      <c r="B47" s="1087"/>
      <c r="C47" s="1087"/>
      <c r="D47" s="1087"/>
      <c r="E47" s="1087"/>
      <c r="F47" s="1087"/>
      <c r="G47" s="1087"/>
      <c r="H47" s="321" t="s">
        <v>252</v>
      </c>
      <c r="I47" s="1087" t="s">
        <v>218</v>
      </c>
      <c r="J47" s="1088"/>
      <c r="K47" s="1089"/>
      <c r="L47" s="256"/>
      <c r="M47" s="1134" t="str">
        <f>"Ulempetimer og weekendtimer i "&amp;A10&amp;""</f>
        <v>Ulempetimer og weekendtimer i December måneds kalender for: Beate Simonsen. Måneden vedr. normperioden:  - .</v>
      </c>
      <c r="N47" s="1117"/>
      <c r="O47" s="1117"/>
      <c r="P47" s="1117"/>
      <c r="Q47" s="1117"/>
      <c r="R47" s="1117"/>
      <c r="S47" s="1117"/>
      <c r="T47" s="1117"/>
      <c r="U47" s="1117"/>
      <c r="V47" s="1117"/>
      <c r="W47" s="1117"/>
      <c r="X47" s="1118"/>
      <c r="Y47" s="233"/>
      <c r="Z47" s="233"/>
      <c r="AD47" s="87"/>
      <c r="AE47" s="87"/>
      <c r="BM47" s="1"/>
      <c r="CJ47" s="1"/>
      <c r="CU47" s="242"/>
      <c r="CV47" s="242"/>
      <c r="CY47"/>
      <c r="CZ47"/>
    </row>
    <row r="48" spans="1:198">
      <c r="A48" s="1090" t="str">
        <f>August!A49</f>
        <v>Arbejdstid eks. lørdage og søndage</v>
      </c>
      <c r="B48" s="1091"/>
      <c r="C48" s="1091"/>
      <c r="D48" s="1091"/>
      <c r="E48" s="1091"/>
      <c r="F48" s="1091"/>
      <c r="G48" s="1091"/>
      <c r="H48" s="250">
        <f>D83</f>
        <v>23</v>
      </c>
      <c r="I48" s="1103">
        <f>IF(Stamoplysninger!$E$17="Ja",1924/Arbejdstidsoversigt!$K$14*Stamoplysninger!$E$20*H48,H48*7.4*Stamoplysninger!$E$20)</f>
        <v>170.20000000000002</v>
      </c>
      <c r="J48" s="1104"/>
      <c r="K48" s="1105"/>
      <c r="L48" s="252"/>
      <c r="M48" s="1135" t="s">
        <v>480</v>
      </c>
      <c r="N48" s="1136"/>
      <c r="O48" s="1136"/>
      <c r="P48" s="1136"/>
      <c r="Q48" s="1136"/>
      <c r="R48" s="1136"/>
      <c r="S48" s="1136"/>
      <c r="T48" s="1136"/>
      <c r="U48" s="1137"/>
      <c r="V48" s="1138">
        <f>P70+P74+P77+P79</f>
        <v>1</v>
      </c>
      <c r="W48" s="1139"/>
      <c r="X48" s="1140"/>
      <c r="Y48" s="233"/>
      <c r="Z48" s="233"/>
      <c r="AD48" s="87"/>
      <c r="AE48" s="87"/>
      <c r="BM48" s="1"/>
      <c r="CJ48" s="1"/>
      <c r="CU48" s="242"/>
      <c r="CV48" s="242"/>
      <c r="CY48"/>
      <c r="CZ48"/>
    </row>
    <row r="49" spans="1:110">
      <c r="A49" s="1090" t="str">
        <f>"Ferie "&amp;A12&amp;" måned"</f>
        <v>Ferie December måned</v>
      </c>
      <c r="B49" s="1091"/>
      <c r="C49" s="1091"/>
      <c r="D49" s="1091"/>
      <c r="E49" s="1091"/>
      <c r="F49" s="1091"/>
      <c r="G49" s="1091"/>
      <c r="H49" s="251" t="str">
        <f>IF(D78&gt;0,$D$78,"0")</f>
        <v>0</v>
      </c>
      <c r="I49" s="1092">
        <f>H49*7.4*Stamoplysninger!$E$20</f>
        <v>0</v>
      </c>
      <c r="J49" s="1093"/>
      <c r="K49" s="1094"/>
      <c r="L49" s="252"/>
      <c r="M49" s="1141" t="s">
        <v>256</v>
      </c>
      <c r="N49" s="1142"/>
      <c r="O49" s="1142"/>
      <c r="P49" s="1142"/>
      <c r="Q49" s="1142"/>
      <c r="R49" s="1142"/>
      <c r="S49" s="1142"/>
      <c r="T49" s="1142"/>
      <c r="U49" s="1143"/>
      <c r="V49" s="1144">
        <f>Q71+Q73+Q76+Q78</f>
        <v>0</v>
      </c>
      <c r="W49" s="1145"/>
      <c r="X49" s="1146"/>
      <c r="Y49" s="233"/>
      <c r="Z49" s="233"/>
      <c r="AD49" s="87"/>
      <c r="AE49" s="87"/>
      <c r="BM49" s="1"/>
      <c r="CJ49" s="1"/>
      <c r="CU49" s="242"/>
      <c r="CV49" s="242"/>
      <c r="CY49"/>
      <c r="CZ49"/>
    </row>
    <row r="50" spans="1:110">
      <c r="A50" s="1090" t="str">
        <f>"Søgnehelligdage i "&amp;A12&amp;" måned"</f>
        <v>Søgnehelligdage i December måned</v>
      </c>
      <c r="B50" s="1091"/>
      <c r="C50" s="1091"/>
      <c r="D50" s="1091"/>
      <c r="E50" s="1091"/>
      <c r="F50" s="1091"/>
      <c r="G50" s="1091"/>
      <c r="H50" s="251">
        <f>IF(D77&gt;0,D77,0)</f>
        <v>1</v>
      </c>
      <c r="I50" s="1092">
        <f>H50*7.4*Stamoplysninger!$E$20</f>
        <v>7.4</v>
      </c>
      <c r="J50" s="1093"/>
      <c r="K50" s="1094"/>
      <c r="L50" s="375"/>
      <c r="M50" s="1286" t="s">
        <v>292</v>
      </c>
      <c r="N50" s="1287"/>
      <c r="O50" s="1287"/>
      <c r="P50" s="1287"/>
      <c r="Q50" s="1287"/>
      <c r="R50" s="1287"/>
      <c r="S50" s="1287"/>
      <c r="T50" s="1287"/>
      <c r="U50" s="1288"/>
      <c r="V50" s="1231">
        <f>November!V57</f>
        <v>0</v>
      </c>
      <c r="W50" s="1231"/>
      <c r="X50" s="1232"/>
      <c r="Y50" s="233"/>
      <c r="Z50" s="233"/>
      <c r="AD50" s="87"/>
      <c r="AE50" s="87"/>
      <c r="BM50" s="1"/>
      <c r="CJ50" s="1"/>
      <c r="CU50" s="242"/>
      <c r="CV50" s="242"/>
      <c r="CY50"/>
      <c r="CZ50"/>
    </row>
    <row r="51" spans="1:110">
      <c r="A51" s="1090" t="str">
        <f>"Nettoarbejdstid ialt i "&amp;A12&amp;" måned"</f>
        <v>Nettoarbejdstid ialt i December måned</v>
      </c>
      <c r="B51" s="1091"/>
      <c r="C51" s="1091"/>
      <c r="D51" s="1091"/>
      <c r="E51" s="1091"/>
      <c r="F51" s="1091"/>
      <c r="G51" s="1091"/>
      <c r="H51" s="254">
        <f>H48-H49-H50</f>
        <v>22</v>
      </c>
      <c r="I51" s="1092">
        <f>I48-I49-I50</f>
        <v>162.80000000000001</v>
      </c>
      <c r="J51" s="1093"/>
      <c r="K51" s="1094"/>
      <c r="L51" s="375"/>
      <c r="M51" s="1149" t="s">
        <v>298</v>
      </c>
      <c r="N51" s="1150"/>
      <c r="O51" s="1150"/>
      <c r="P51" s="1150"/>
      <c r="Q51" s="1150"/>
      <c r="R51" s="1150"/>
      <c r="S51" s="1150"/>
      <c r="T51" s="1150"/>
      <c r="U51" s="1151"/>
      <c r="V51" s="1256">
        <f>V49+V50</f>
        <v>0</v>
      </c>
      <c r="W51" s="1256"/>
      <c r="X51" s="1257"/>
      <c r="Y51" s="233"/>
      <c r="Z51" s="233"/>
      <c r="AD51" s="87"/>
      <c r="AE51" s="87"/>
      <c r="BM51" s="1"/>
      <c r="CJ51" s="1"/>
      <c r="CU51" s="242"/>
      <c r="CV51" s="242"/>
      <c r="CY51"/>
      <c r="CZ51"/>
    </row>
    <row r="52" spans="1:110">
      <c r="A52" s="1106" t="str">
        <f>"Planlagt arbejdstid efter ovennstående "&amp;A12&amp;" måned kalender"</f>
        <v>Planlagt arbejdstid efter ovennstående December måned kalender</v>
      </c>
      <c r="B52" s="1107"/>
      <c r="C52" s="1107"/>
      <c r="D52" s="1107"/>
      <c r="E52" s="1107"/>
      <c r="F52" s="1107"/>
      <c r="G52" s="1107"/>
      <c r="H52" s="461">
        <f>D69+D70+D71+D72+D73+D74+D75</f>
        <v>14</v>
      </c>
      <c r="I52" s="1108">
        <f>N45+R45+V111</f>
        <v>112.97</v>
      </c>
      <c r="J52" s="1109"/>
      <c r="K52" s="1110"/>
      <c r="L52" s="375"/>
      <c r="M52" s="1161" t="s">
        <v>290</v>
      </c>
      <c r="N52" s="1162"/>
      <c r="O52" s="1162"/>
      <c r="P52" s="1162"/>
      <c r="Q52" s="1162"/>
      <c r="R52" s="1162"/>
      <c r="S52" s="1162"/>
      <c r="T52" s="1162"/>
      <c r="U52" s="1162"/>
      <c r="V52" s="1162"/>
      <c r="W52" s="1162"/>
      <c r="X52" s="1289"/>
      <c r="Y52" s="233"/>
      <c r="Z52" s="233"/>
      <c r="AD52" s="87"/>
      <c r="AE52" s="87"/>
      <c r="BM52" s="1"/>
      <c r="CJ52" s="1"/>
      <c r="CU52" s="242"/>
      <c r="CV52" s="242"/>
      <c r="CY52"/>
      <c r="CZ52"/>
    </row>
    <row r="53" spans="1:110">
      <c r="A53" s="1114" t="s">
        <v>671</v>
      </c>
      <c r="B53" s="1115"/>
      <c r="C53" s="1115"/>
      <c r="D53" s="1115"/>
      <c r="E53" s="1115"/>
      <c r="F53" s="1115"/>
      <c r="G53" s="1115"/>
      <c r="H53" s="1116"/>
      <c r="I53" s="1111">
        <f>(FK45+FO45+FS45+FU45+GB45+GD45+GF45+GH45)*-1+FM45+FT45+FW45+GC45+GE45+GG45+GI45+GA45</f>
        <v>0</v>
      </c>
      <c r="J53" s="1112"/>
      <c r="K53" s="1113"/>
      <c r="L53" s="376"/>
      <c r="M53" s="1164" t="s">
        <v>450</v>
      </c>
      <c r="N53" s="1165"/>
      <c r="O53" s="1165"/>
      <c r="P53" s="1165"/>
      <c r="Q53" s="1165"/>
      <c r="R53" s="1165"/>
      <c r="S53" s="1165"/>
      <c r="T53" s="1165"/>
      <c r="U53" s="1166"/>
      <c r="V53" s="1167" t="s">
        <v>218</v>
      </c>
      <c r="W53" s="1168"/>
      <c r="X53" s="1290"/>
      <c r="Y53" s="233"/>
      <c r="Z53" s="233"/>
      <c r="AD53" s="87"/>
      <c r="AE53" s="87"/>
      <c r="BM53" s="1"/>
      <c r="CJ53" s="1"/>
      <c r="CU53" s="242"/>
      <c r="CV53" s="242"/>
      <c r="CY53"/>
      <c r="CZ53"/>
    </row>
    <row r="54" spans="1:110">
      <c r="A54" s="1128" t="str">
        <f>"Arbejde særligt planlagt for "&amp;A12&amp;" måned efter fanen skemaoplysninger"</f>
        <v>Arbejde særligt planlagt for December måned efter fanen skemaoplysninger</v>
      </c>
      <c r="B54" s="1129"/>
      <c r="C54" s="1129"/>
      <c r="D54" s="1129"/>
      <c r="E54" s="1129"/>
      <c r="F54" s="1129"/>
      <c r="G54" s="1129"/>
      <c r="H54" s="1130"/>
      <c r="I54" s="1109">
        <f>IF(I52&gt;0,Skemaoplysninger!O107,0)</f>
        <v>10</v>
      </c>
      <c r="J54" s="1126"/>
      <c r="K54" s="1127"/>
      <c r="L54" s="377"/>
      <c r="M54" s="1036"/>
      <c r="N54" s="1037"/>
      <c r="O54" s="1037"/>
      <c r="P54" s="1037"/>
      <c r="Q54" s="1037"/>
      <c r="R54" s="1037"/>
      <c r="S54" s="1037"/>
      <c r="T54" s="1037"/>
      <c r="U54" s="1038"/>
      <c r="V54" s="1170"/>
      <c r="W54" s="1170"/>
      <c r="X54" s="1171"/>
      <c r="Y54"/>
      <c r="Z54" s="233"/>
      <c r="AA54" s="233"/>
      <c r="AG54" s="87"/>
      <c r="AH54" s="87"/>
      <c r="BA54" s="233"/>
      <c r="BO54" s="1"/>
      <c r="CL54" s="1"/>
      <c r="CV54" s="242"/>
      <c r="CW54" s="242"/>
      <c r="CY54"/>
      <c r="CZ54"/>
    </row>
    <row r="55" spans="1:110">
      <c r="A55" s="1095" t="s">
        <v>439</v>
      </c>
      <c r="B55" s="1096"/>
      <c r="C55" s="1096"/>
      <c r="D55" s="1096"/>
      <c r="E55" s="1096"/>
      <c r="F55" s="1096"/>
      <c r="G55" s="1096"/>
      <c r="H55" s="1096"/>
      <c r="I55" s="1097">
        <f>V45+X45+R111-GP45+T111</f>
        <v>0</v>
      </c>
      <c r="J55" s="1098"/>
      <c r="K55" s="1099"/>
      <c r="L55" s="235"/>
      <c r="M55" s="1036"/>
      <c r="N55" s="1037"/>
      <c r="O55" s="1037"/>
      <c r="P55" s="1037"/>
      <c r="Q55" s="1037"/>
      <c r="R55" s="1037"/>
      <c r="S55" s="1037"/>
      <c r="T55" s="1037"/>
      <c r="U55" s="1038"/>
      <c r="V55" s="1039"/>
      <c r="W55" s="1040"/>
      <c r="X55" s="1041"/>
      <c r="Y55"/>
      <c r="Z55" s="233"/>
      <c r="AA55" s="233"/>
      <c r="AE55" s="87"/>
      <c r="AF55" s="241"/>
      <c r="AG55" s="87"/>
      <c r="BN55" s="1"/>
      <c r="CK55" s="1"/>
      <c r="CV55" s="242"/>
      <c r="CW55" s="242"/>
      <c r="CY55"/>
      <c r="CZ55"/>
    </row>
    <row r="56" spans="1:110" ht="17" thickBot="1">
      <c r="A56" s="255" t="str">
        <f>"Faktisk arbejdstid ialt i "&amp;A12&amp;" måned"</f>
        <v>Faktisk arbejdstid ialt i December måned</v>
      </c>
      <c r="B56" s="307"/>
      <c r="C56" s="308"/>
      <c r="D56" s="308"/>
      <c r="E56" s="308"/>
      <c r="F56" s="308"/>
      <c r="G56" s="308"/>
      <c r="H56" s="309"/>
      <c r="I56" s="1131">
        <f>I52+I55+I54+I53</f>
        <v>122.97</v>
      </c>
      <c r="J56" s="1132"/>
      <c r="K56" s="1133"/>
      <c r="L56" s="235"/>
      <c r="M56" s="1036"/>
      <c r="N56" s="1037"/>
      <c r="O56" s="1037"/>
      <c r="P56" s="1037"/>
      <c r="Q56" s="1037"/>
      <c r="R56" s="1037"/>
      <c r="S56" s="1037"/>
      <c r="T56" s="1037"/>
      <c r="U56" s="1038"/>
      <c r="V56" s="1039"/>
      <c r="W56" s="1040"/>
      <c r="X56" s="1041"/>
      <c r="Y56" s="233"/>
      <c r="Z56" s="233"/>
      <c r="AA56" s="211"/>
      <c r="AB56" s="241"/>
      <c r="AC56" s="241"/>
      <c r="AD56" s="241"/>
      <c r="AE56" s="233"/>
      <c r="AF56" s="241"/>
      <c r="AH56" s="233"/>
      <c r="AI56" s="233"/>
      <c r="AM56" s="87"/>
      <c r="AN56" s="87"/>
      <c r="BU56" s="1"/>
      <c r="CR56" s="1"/>
      <c r="CY56"/>
      <c r="CZ56"/>
      <c r="DC56" s="242"/>
      <c r="DD56" s="242"/>
    </row>
    <row r="57" spans="1:110" ht="17" thickBot="1">
      <c r="A57" s="249"/>
      <c r="B57" s="249"/>
      <c r="C57" s="249"/>
      <c r="D57" s="249"/>
      <c r="E57" s="249"/>
      <c r="F57" s="249"/>
      <c r="G57" s="249"/>
      <c r="H57" s="249"/>
      <c r="I57" s="507"/>
      <c r="J57" s="507"/>
      <c r="K57" s="507"/>
      <c r="L57" s="485"/>
      <c r="M57" s="1036"/>
      <c r="N57" s="1037"/>
      <c r="O57" s="1037"/>
      <c r="P57" s="1037"/>
      <c r="Q57" s="1037"/>
      <c r="R57" s="1037"/>
      <c r="S57" s="1037"/>
      <c r="T57" s="1037"/>
      <c r="U57" s="1038"/>
      <c r="V57" s="1039"/>
      <c r="W57" s="1040"/>
      <c r="X57" s="1041"/>
      <c r="Y57" s="233"/>
      <c r="Z57" s="233"/>
      <c r="AA57" s="233"/>
      <c r="AB57" s="233"/>
      <c r="AC57" s="211"/>
      <c r="AD57" s="241"/>
      <c r="AE57" s="241"/>
      <c r="AF57" s="241"/>
      <c r="AG57" s="241"/>
      <c r="AH57" s="233"/>
      <c r="AJ57" s="233"/>
      <c r="AK57" s="233"/>
      <c r="AO57" s="87"/>
      <c r="AP57" s="87"/>
      <c r="BW57" s="1"/>
      <c r="CT57" s="1"/>
      <c r="CY57"/>
      <c r="CZ57"/>
      <c r="DE57" s="242"/>
      <c r="DF57" s="242"/>
    </row>
    <row r="58" spans="1:110" ht="25" thickBot="1">
      <c r="A58" s="1086" t="s">
        <v>463</v>
      </c>
      <c r="B58" s="1087"/>
      <c r="C58" s="1087"/>
      <c r="D58" s="1087"/>
      <c r="E58" s="1087"/>
      <c r="F58" s="1087"/>
      <c r="G58" s="1087"/>
      <c r="H58" s="681" t="s">
        <v>608</v>
      </c>
      <c r="I58" s="1276" t="s">
        <v>462</v>
      </c>
      <c r="J58" s="1276"/>
      <c r="K58" s="1277"/>
      <c r="L58" s="485"/>
      <c r="M58" s="1155" t="s">
        <v>291</v>
      </c>
      <c r="N58" s="1156"/>
      <c r="O58" s="1156"/>
      <c r="P58" s="1156"/>
      <c r="Q58" s="1156"/>
      <c r="R58" s="1156"/>
      <c r="S58" s="1156"/>
      <c r="T58" s="1156"/>
      <c r="U58" s="1157"/>
      <c r="V58" s="1247">
        <f>V51-SUM(V54:X57)</f>
        <v>0</v>
      </c>
      <c r="W58" s="1248"/>
      <c r="X58" s="1249"/>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121"/>
      <c r="B59" s="1122"/>
      <c r="C59" s="1122"/>
      <c r="D59" s="1122"/>
      <c r="E59" s="1122"/>
      <c r="F59" s="1122"/>
      <c r="G59" s="1122"/>
      <c r="H59" s="589">
        <f>November!H66</f>
        <v>0</v>
      </c>
      <c r="I59" s="1250">
        <f>November!I66</f>
        <v>0</v>
      </c>
      <c r="J59" s="1250"/>
      <c r="K59" s="1251"/>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16" customHeight="1">
      <c r="A60" s="1235" t="s">
        <v>466</v>
      </c>
      <c r="B60" s="1236"/>
      <c r="C60" s="1236"/>
      <c r="D60" s="1236"/>
      <c r="E60" s="1236"/>
      <c r="F60" s="1236"/>
      <c r="G60" s="1237"/>
      <c r="H60" s="587"/>
      <c r="I60" s="1238"/>
      <c r="J60" s="1239"/>
      <c r="K60" s="1240"/>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7" customHeight="1">
      <c r="A61" s="1033" t="s">
        <v>609</v>
      </c>
      <c r="B61" s="1034"/>
      <c r="C61" s="1034"/>
      <c r="D61" s="1034"/>
      <c r="E61" s="1034"/>
      <c r="F61" s="1034"/>
      <c r="G61" s="1034"/>
      <c r="H61" s="1034"/>
      <c r="I61" s="1034"/>
      <c r="J61" s="1034"/>
      <c r="K61" s="1035"/>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ht="35" customHeight="1">
      <c r="A62" s="1079" t="s">
        <v>610</v>
      </c>
      <c r="B62" s="1080"/>
      <c r="C62" s="1052" t="s">
        <v>492</v>
      </c>
      <c r="D62" s="1053"/>
      <c r="E62" s="1081" t="s">
        <v>493</v>
      </c>
      <c r="F62" s="1034"/>
      <c r="G62" s="1082"/>
      <c r="H62" s="1083" t="s">
        <v>464</v>
      </c>
      <c r="I62" s="1083"/>
      <c r="J62" s="1083"/>
      <c r="K62" s="1084"/>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050"/>
      <c r="B63" s="1051"/>
      <c r="C63" s="1026"/>
      <c r="D63" s="1025"/>
      <c r="E63" s="1021"/>
      <c r="F63" s="1022"/>
      <c r="G63" s="1023"/>
      <c r="H63" s="588"/>
      <c r="I63" s="1019"/>
      <c r="J63" s="1019"/>
      <c r="K63" s="1020"/>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1024"/>
      <c r="B64" s="1025"/>
      <c r="C64" s="1026"/>
      <c r="D64" s="1025"/>
      <c r="E64" s="1021"/>
      <c r="F64" s="1022"/>
      <c r="G64" s="1023"/>
      <c r="H64" s="588"/>
      <c r="I64" s="1019"/>
      <c r="J64" s="1019"/>
      <c r="K64" s="1020"/>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85">
      <c r="A65" s="1024"/>
      <c r="B65" s="1025"/>
      <c r="C65" s="1026"/>
      <c r="D65" s="1025"/>
      <c r="E65" s="1021"/>
      <c r="F65" s="1022"/>
      <c r="G65" s="1023"/>
      <c r="H65" s="588"/>
      <c r="I65" s="1019"/>
      <c r="J65" s="1019"/>
      <c r="K65" s="1020"/>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85">
      <c r="A66" s="1024"/>
      <c r="B66" s="1025"/>
      <c r="C66" s="1026"/>
      <c r="D66" s="1025"/>
      <c r="E66" s="1021"/>
      <c r="F66" s="1022"/>
      <c r="G66" s="1023"/>
      <c r="H66" s="588"/>
      <c r="I66" s="1019"/>
      <c r="J66" s="1019"/>
      <c r="K66" s="1020"/>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85" ht="17" thickBot="1">
      <c r="A67" s="1054" t="s">
        <v>465</v>
      </c>
      <c r="B67" s="1055"/>
      <c r="C67" s="1056"/>
      <c r="D67" s="1056"/>
      <c r="E67" s="1056"/>
      <c r="F67" s="1056"/>
      <c r="G67" s="1056"/>
      <c r="H67" s="590">
        <f>H60+H59-SUM(H63:H66)</f>
        <v>0</v>
      </c>
      <c r="I67" s="1063">
        <f>I59+I60-SUM(I63:K66)</f>
        <v>0</v>
      </c>
      <c r="J67" s="1064"/>
      <c r="K67" s="1065"/>
      <c r="L67" s="485"/>
      <c r="M67" s="508"/>
      <c r="N67" s="508"/>
      <c r="O67" s="508"/>
      <c r="P67" s="508"/>
      <c r="Q67" s="509"/>
      <c r="R67" s="510"/>
      <c r="S67" s="510"/>
      <c r="T67" s="510"/>
      <c r="U67" s="510"/>
      <c r="V67" s="508"/>
      <c r="W67" s="511"/>
      <c r="X67" s="508"/>
      <c r="Y67" s="233"/>
      <c r="Z67" s="233"/>
      <c r="AA67" s="233"/>
      <c r="AB67" s="233"/>
      <c r="AC67" s="211"/>
      <c r="AD67" s="241"/>
      <c r="AE67" s="241"/>
      <c r="AF67" s="241"/>
      <c r="AG67" s="241"/>
      <c r="AH67" s="233"/>
      <c r="AJ67" s="233"/>
      <c r="AK67" s="233"/>
      <c r="AO67" s="87"/>
      <c r="AP67" s="87"/>
      <c r="BW67" s="1"/>
      <c r="CT67" s="1"/>
      <c r="CY67"/>
      <c r="CZ67"/>
      <c r="DE67" s="242"/>
      <c r="DF67" s="242"/>
    </row>
    <row r="68" spans="1:185" hidden="1">
      <c r="A68" s="427"/>
      <c r="B68" s="427"/>
      <c r="C68" s="427"/>
      <c r="D68" s="427"/>
      <c r="E68" s="427"/>
      <c r="F68" s="427"/>
      <c r="G68" s="427"/>
      <c r="H68" s="437"/>
      <c r="I68" s="491"/>
      <c r="J68" s="491"/>
      <c r="K68" s="481"/>
      <c r="L68" s="635"/>
      <c r="M68" s="635"/>
      <c r="N68" s="635"/>
      <c r="O68" s="635"/>
      <c r="P68" s="635"/>
      <c r="Q68" s="509"/>
      <c r="R68" s="510"/>
      <c r="S68" s="510"/>
      <c r="T68" s="510"/>
      <c r="U68" s="510"/>
      <c r="V68" s="508" t="s">
        <v>538</v>
      </c>
      <c r="W68" s="511"/>
      <c r="X68" s="508"/>
      <c r="Y68"/>
      <c r="Z68"/>
      <c r="AA68" s="87"/>
      <c r="AB68" s="87"/>
      <c r="BI68" s="1"/>
      <c r="CF68" s="1"/>
      <c r="CQ68" s="242"/>
      <c r="CR68" s="242"/>
      <c r="CY68"/>
      <c r="CZ68"/>
    </row>
    <row r="69" spans="1:185" hidden="1">
      <c r="A69" s="120" t="s">
        <v>203</v>
      </c>
      <c r="B69" s="120"/>
      <c r="C69" s="120"/>
      <c r="D69" s="120">
        <f>COUNTIF([0]!December,"Skema 1")</f>
        <v>12</v>
      </c>
      <c r="E69" s="383"/>
      <c r="F69" s="120" t="s">
        <v>183</v>
      </c>
      <c r="G69" s="120">
        <f>COUNTIFS($B$14:$B$44,"ma",[0]!December,"Skema 1")</f>
        <v>2</v>
      </c>
      <c r="H69" s="120"/>
      <c r="I69" s="496"/>
      <c r="J69" s="635"/>
      <c r="K69" s="635"/>
      <c r="L69" s="496"/>
      <c r="M69" s="636"/>
      <c r="N69" s="635"/>
      <c r="O69" s="636"/>
      <c r="P69" s="654" t="s">
        <v>551</v>
      </c>
      <c r="Q69" s="656" t="s">
        <v>562</v>
      </c>
      <c r="R69" s="225"/>
      <c r="S69" s="225"/>
      <c r="T69" s="225"/>
      <c r="U69" s="225"/>
      <c r="V69" s="225"/>
      <c r="W69" s="115"/>
      <c r="X69" s="115"/>
      <c r="Y69"/>
      <c r="Z69"/>
      <c r="AA69" s="87"/>
      <c r="AB69" s="87"/>
      <c r="BI69" s="1"/>
      <c r="CF69" s="1"/>
      <c r="CQ69" s="242"/>
      <c r="CR69" s="242"/>
      <c r="CY69"/>
      <c r="CZ69"/>
    </row>
    <row r="70" spans="1:185" hidden="1">
      <c r="A70" s="1272" t="s">
        <v>204</v>
      </c>
      <c r="B70" s="1272"/>
      <c r="C70" s="1272"/>
      <c r="D70" s="120">
        <f>COUNTIF([0]!December,"Skema 2")</f>
        <v>0</v>
      </c>
      <c r="E70" s="383"/>
      <c r="F70" s="120" t="s">
        <v>184</v>
      </c>
      <c r="G70" s="120">
        <f>COUNTIFS($B$14:$B$44,"ti",[0]!December,"Skema 1")</f>
        <v>2</v>
      </c>
      <c r="H70" s="120"/>
      <c r="I70" s="496" t="s">
        <v>552</v>
      </c>
      <c r="J70" s="635"/>
      <c r="K70" s="496"/>
      <c r="L70" s="638"/>
      <c r="M70" s="636"/>
      <c r="N70" s="636"/>
      <c r="O70" s="639"/>
      <c r="P70" s="654">
        <f>IF(Stamoplysninger!$B$27="Ulempetillæg udbetales med 25% af nettotimelønnen.",SUM(DO45:DR45)-SUM(DS45:DV45),0)</f>
        <v>1</v>
      </c>
      <c r="Q70" s="656"/>
      <c r="R70" s="730"/>
      <c r="S70" s="225"/>
      <c r="T70" s="225"/>
      <c r="U70" s="225"/>
      <c r="V70" s="225"/>
      <c r="W70" s="115"/>
      <c r="X70" s="115"/>
      <c r="Y70"/>
      <c r="Z70"/>
      <c r="AA70" s="87"/>
      <c r="AB70" s="87"/>
      <c r="BI70" s="1"/>
      <c r="CF70" s="1"/>
      <c r="CQ70" s="242"/>
      <c r="CR70" s="242"/>
      <c r="CY70"/>
      <c r="CZ70"/>
    </row>
    <row r="71" spans="1:185" s="486" customFormat="1" hidden="1">
      <c r="A71" s="1271" t="s">
        <v>205</v>
      </c>
      <c r="B71" s="1271"/>
      <c r="C71" s="1271"/>
      <c r="D71" s="483">
        <f>COUNTIF([0]!December,"Skema 3")</f>
        <v>0</v>
      </c>
      <c r="E71" s="484"/>
      <c r="F71" s="483" t="s">
        <v>185</v>
      </c>
      <c r="G71" s="483">
        <f>COUNTIFS($B$14:$B$44,"on",[0]!December,"Skema 1")</f>
        <v>3</v>
      </c>
      <c r="H71" s="483"/>
      <c r="I71" s="653" t="s">
        <v>553</v>
      </c>
      <c r="J71" s="635"/>
      <c r="K71" s="496"/>
      <c r="L71" s="638"/>
      <c r="M71" s="636"/>
      <c r="N71" s="636"/>
      <c r="O71" s="636"/>
      <c r="P71" s="654"/>
      <c r="Q71" s="656">
        <f>IF(Stamoplysninger!$B$27="Ulempetillæg afspadseres med 25%(Kræver en aftale imellem ledelsen og den ansatte)",DW45+DX45+DY45+DZ45-EA45-EB45-EC45-ED45,0)</f>
        <v>0</v>
      </c>
      <c r="R71" s="731"/>
      <c r="S71" s="225"/>
      <c r="T71" s="225"/>
      <c r="U71" s="225"/>
      <c r="V71" s="225"/>
      <c r="W71" s="115"/>
      <c r="X71" s="115"/>
      <c r="AA71" s="483"/>
      <c r="AB71" s="483"/>
      <c r="BI71" s="502"/>
      <c r="CF71" s="502"/>
      <c r="CQ71" s="503"/>
      <c r="CR71" s="503"/>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row>
    <row r="72" spans="1:185" s="486" customFormat="1" hidden="1">
      <c r="A72" s="1271" t="s">
        <v>206</v>
      </c>
      <c r="B72" s="1271"/>
      <c r="C72" s="1271"/>
      <c r="D72" s="483">
        <f>COUNTIF([0]!December,"Skema 4")</f>
        <v>0</v>
      </c>
      <c r="E72" s="484"/>
      <c r="F72" s="483" t="s">
        <v>187</v>
      </c>
      <c r="G72" s="483">
        <f>COUNTIFS($B$14:$B$44,"to",[0]!December,"Skema 1")</f>
        <v>3</v>
      </c>
      <c r="H72" s="483"/>
      <c r="I72" s="653" t="s">
        <v>554</v>
      </c>
      <c r="J72" s="635"/>
      <c r="K72" s="496"/>
      <c r="L72" s="638"/>
      <c r="M72" s="641"/>
      <c r="N72" s="641"/>
      <c r="O72" s="4"/>
      <c r="P72" s="654"/>
      <c r="Q72" s="656"/>
      <c r="R72" s="225"/>
      <c r="S72" s="225"/>
      <c r="T72" s="225"/>
      <c r="U72" s="225"/>
      <c r="V72" s="225"/>
      <c r="W72" s="115"/>
      <c r="X72" s="115"/>
      <c r="Y72" s="500"/>
      <c r="Z72" s="500"/>
      <c r="AA72" s="500"/>
      <c r="AB72" s="501"/>
      <c r="AC72" s="501"/>
      <c r="AD72" s="501"/>
      <c r="AE72" s="501"/>
      <c r="AF72" s="501"/>
      <c r="AG72" s="500"/>
      <c r="AI72" s="500"/>
      <c r="AJ72" s="500"/>
      <c r="AN72" s="483"/>
      <c r="AO72" s="483"/>
      <c r="BV72" s="502"/>
      <c r="CS72" s="502"/>
      <c r="DD72" s="503"/>
      <c r="DE72" s="503"/>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row>
    <row r="73" spans="1:185" s="486" customFormat="1" hidden="1">
      <c r="A73" s="483" t="s">
        <v>111</v>
      </c>
      <c r="B73" s="483"/>
      <c r="C73" s="483"/>
      <c r="D73" s="483">
        <f>COUNTIF([0]!December,"Fagdag")+COUNTIF([0]!December,"emnedag")</f>
        <v>2</v>
      </c>
      <c r="E73" s="484"/>
      <c r="F73" s="483" t="s">
        <v>186</v>
      </c>
      <c r="G73" s="483">
        <f>COUNTIFS($B$14:$B$44,"fr",[0]!December,"Skema 1")</f>
        <v>2</v>
      </c>
      <c r="H73" s="483"/>
      <c r="I73" s="638" t="s">
        <v>555</v>
      </c>
      <c r="J73" s="635"/>
      <c r="K73" s="496"/>
      <c r="L73" s="638"/>
      <c r="M73" s="641"/>
      <c r="N73" s="641"/>
      <c r="O73" s="4"/>
      <c r="P73" s="654"/>
      <c r="Q73" s="656">
        <f>IF(Stamoplysninger!$B$31="Weekendtimer og weekendtillæg afspadseres.",EE45+EF45-EG45-EH45+EI45+EJ45,0)</f>
        <v>0</v>
      </c>
      <c r="R73" s="733"/>
      <c r="S73" s="225"/>
      <c r="T73" s="225"/>
      <c r="U73" s="225"/>
      <c r="V73" s="225"/>
      <c r="W73" s="115"/>
      <c r="X73" s="115"/>
      <c r="Y73" s="500"/>
      <c r="Z73" s="500"/>
      <c r="AA73" s="500"/>
      <c r="AB73" s="501"/>
      <c r="AC73" s="501"/>
      <c r="AD73" s="501"/>
      <c r="AE73" s="501"/>
      <c r="AF73" s="501"/>
      <c r="AG73" s="500"/>
      <c r="AI73" s="500"/>
      <c r="AJ73" s="500"/>
      <c r="AN73" s="483"/>
      <c r="AO73" s="483"/>
      <c r="BV73" s="502"/>
      <c r="CS73" s="502"/>
      <c r="DD73" s="503"/>
      <c r="DE73" s="50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row>
    <row r="74" spans="1:185" s="486" customFormat="1" hidden="1">
      <c r="A74" s="487" t="s">
        <v>110</v>
      </c>
      <c r="B74" s="483"/>
      <c r="C74" s="483"/>
      <c r="D74" s="483">
        <f>COUNTIF([0]!December,"Lejrskole")+COUNTIF([0]!December,"Ekskursion")</f>
        <v>0</v>
      </c>
      <c r="E74" s="484"/>
      <c r="F74" s="483"/>
      <c r="G74" s="483"/>
      <c r="H74" s="483"/>
      <c r="I74" s="638" t="s">
        <v>556</v>
      </c>
      <c r="J74" s="638"/>
      <c r="K74" s="638"/>
      <c r="L74" s="638"/>
      <c r="M74" s="642"/>
      <c r="N74" s="642"/>
      <c r="O74" s="4"/>
      <c r="P74" s="655">
        <f>IF(Stamoplysninger!$B$31="Weekendtimer og weekendtillæg udbetales.",EM45+EN45-EO45-EP45+EQ45+ER45,0)</f>
        <v>0</v>
      </c>
      <c r="Q74" s="656"/>
      <c r="R74" s="735"/>
      <c r="S74" s="225"/>
      <c r="T74" s="225"/>
      <c r="U74" s="225"/>
      <c r="V74" s="225"/>
      <c r="W74" s="115"/>
      <c r="X74" s="115"/>
      <c r="Y74" s="500"/>
      <c r="Z74" s="500"/>
      <c r="AA74" s="500"/>
      <c r="AB74" s="501"/>
      <c r="AC74" s="501"/>
      <c r="AD74" s="501"/>
      <c r="AE74" s="501"/>
      <c r="AF74" s="501"/>
      <c r="AG74" s="500"/>
      <c r="AI74" s="500"/>
      <c r="AJ74" s="500"/>
      <c r="AN74" s="483"/>
      <c r="AO74" s="483"/>
      <c r="BV74" s="502"/>
      <c r="CS74" s="502"/>
      <c r="DD74" s="503"/>
      <c r="DE74" s="503"/>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row>
    <row r="75" spans="1:185" s="486" customFormat="1" hidden="1">
      <c r="A75" s="483" t="s">
        <v>109</v>
      </c>
      <c r="B75" s="483"/>
      <c r="C75" s="483"/>
      <c r="D75" s="483">
        <f>COUNTIF([0]!December,"Pæd.dag")</f>
        <v>0</v>
      </c>
      <c r="E75" s="484"/>
      <c r="F75" s="483" t="s">
        <v>188</v>
      </c>
      <c r="G75" s="483">
        <f>COUNTIFS($B$14:$B$44,"ma",[0]!December,"Skema 2")</f>
        <v>0</v>
      </c>
      <c r="H75" s="483"/>
      <c r="I75" s="638" t="s">
        <v>557</v>
      </c>
      <c r="J75" s="638"/>
      <c r="K75" s="638"/>
      <c r="L75" s="638"/>
      <c r="M75" s="642"/>
      <c r="N75" s="642"/>
      <c r="O75" s="4"/>
      <c r="P75" s="654"/>
      <c r="Q75" s="656"/>
      <c r="R75" s="225"/>
      <c r="S75" s="225"/>
      <c r="T75" s="225"/>
      <c r="U75" s="225"/>
      <c r="V75" s="225"/>
      <c r="W75" s="115"/>
      <c r="X75" s="115"/>
      <c r="Y75" s="500"/>
      <c r="Z75" s="500"/>
      <c r="AA75" s="500"/>
      <c r="AB75" s="501"/>
      <c r="AC75" s="501"/>
      <c r="AD75" s="501"/>
      <c r="AE75" s="501"/>
      <c r="AG75" s="500"/>
      <c r="AI75" s="500"/>
      <c r="AJ75" s="500"/>
      <c r="AN75" s="483"/>
      <c r="AO75" s="483"/>
      <c r="BV75" s="502"/>
      <c r="CS75" s="502"/>
      <c r="DD75" s="503"/>
      <c r="DE75" s="503"/>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row>
    <row r="76" spans="1:185" s="486" customFormat="1" hidden="1">
      <c r="A76" s="483" t="s">
        <v>118</v>
      </c>
      <c r="B76" s="483"/>
      <c r="C76" s="483"/>
      <c r="D76" s="483">
        <f>COUNTIF([0]!December,"Weekend")</f>
        <v>8</v>
      </c>
      <c r="E76" s="484"/>
      <c r="F76" s="483" t="s">
        <v>189</v>
      </c>
      <c r="G76" s="483">
        <f>COUNTIFS($B$14:$B$44,"ti",[0]!December,"Skema 2")</f>
        <v>0</v>
      </c>
      <c r="H76" s="483"/>
      <c r="I76" s="638" t="s">
        <v>558</v>
      </c>
      <c r="J76" s="638"/>
      <c r="K76" s="638"/>
      <c r="L76" s="638"/>
      <c r="M76" s="643"/>
      <c r="N76" s="643"/>
      <c r="O76" s="4"/>
      <c r="P76" s="654"/>
      <c r="Q76" s="657">
        <f>IF(Stamoplysninger!$B$31="Der er indgået lokalaftale omkring weekendtimer.(Kræver aftale med TR/FSL) Weekendtillæg afspadseres.",EU45+EV45-EW45-EX45,0)</f>
        <v>0</v>
      </c>
      <c r="R76" s="737"/>
      <c r="S76" s="225"/>
      <c r="T76" s="225"/>
      <c r="U76" s="225"/>
      <c r="V76" s="225"/>
      <c r="W76" s="115"/>
      <c r="X76" s="115"/>
      <c r="AM76" s="502"/>
      <c r="BJ76" s="502"/>
      <c r="BU76" s="503"/>
      <c r="BV76" s="503"/>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row>
    <row r="77" spans="1:185" s="486" customFormat="1" hidden="1">
      <c r="A77" s="483" t="s">
        <v>125</v>
      </c>
      <c r="B77" s="483"/>
      <c r="C77" s="483"/>
      <c r="D77" s="483">
        <f>COUNTIF([0]!December,"SH-dag")</f>
        <v>1</v>
      </c>
      <c r="E77" s="484"/>
      <c r="F77" s="483" t="s">
        <v>190</v>
      </c>
      <c r="G77" s="483">
        <f>COUNTIFS($B$14:$B$44,"on",[0]!December,"Skema 2")</f>
        <v>0</v>
      </c>
      <c r="H77" s="483"/>
      <c r="I77" s="638" t="s">
        <v>559</v>
      </c>
      <c r="J77" s="638"/>
      <c r="K77" s="638"/>
      <c r="L77" s="638"/>
      <c r="M77" s="643"/>
      <c r="N77" s="643"/>
      <c r="O77" s="4"/>
      <c r="P77" s="654">
        <f>IF(Stamoplysninger!$B$31="Der er indgået lokalaftale omkring weekendtimer(Kræver aftale med TR/FSL). Weekendtillæg udbetales.",EY45+EZ45-FA45-FB45,0)</f>
        <v>0</v>
      </c>
      <c r="Q77" s="656"/>
      <c r="R77" s="739"/>
      <c r="S77" s="225"/>
      <c r="T77" s="225"/>
      <c r="U77" s="225"/>
      <c r="V77" s="225"/>
      <c r="W77" s="115"/>
      <c r="X77" s="115"/>
      <c r="AM77" s="502"/>
      <c r="BJ77" s="502"/>
      <c r="BU77" s="503"/>
      <c r="BV77" s="503"/>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row>
    <row r="78" spans="1:185" s="486" customFormat="1" hidden="1">
      <c r="A78" s="483" t="s">
        <v>108</v>
      </c>
      <c r="B78" s="483"/>
      <c r="C78" s="483"/>
      <c r="D78" s="483">
        <f>COUNTIF([0]!December,"Feriedag")</f>
        <v>0</v>
      </c>
      <c r="E78" s="484"/>
      <c r="F78" s="483" t="s">
        <v>191</v>
      </c>
      <c r="G78" s="483">
        <f>COUNTIFS($B$14:$B$44,"to",[0]!December,"Skema 2")</f>
        <v>0</v>
      </c>
      <c r="H78" s="483"/>
      <c r="I78" s="638" t="s">
        <v>560</v>
      </c>
      <c r="J78" s="638"/>
      <c r="K78" s="638"/>
      <c r="L78" s="638"/>
      <c r="M78" s="643"/>
      <c r="N78" s="643"/>
      <c r="O78" s="4"/>
      <c r="P78" s="654"/>
      <c r="Q78" s="610">
        <f>IF(Stamoplysninger!$B$31="Der er indgået lokalaftale omkring weekendtillæg(Kræver aftale med TR/FSL). Weekendtimerne afspadseres.",FC45+FD45-FE45-FF45,0)</f>
        <v>0</v>
      </c>
      <c r="R78" s="741"/>
      <c r="S78" s="38"/>
      <c r="T78" s="38"/>
      <c r="U78"/>
      <c r="V78"/>
      <c r="W78"/>
      <c r="X78"/>
      <c r="AM78" s="502"/>
      <c r="BJ78" s="502"/>
      <c r="BU78" s="503"/>
      <c r="BV78" s="503"/>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row>
    <row r="79" spans="1:185" s="486" customFormat="1" hidden="1">
      <c r="A79" s="483" t="s">
        <v>175</v>
      </c>
      <c r="B79" s="483"/>
      <c r="C79" s="483"/>
      <c r="D79" s="483">
        <f>COUNTIF([0]!December,"Nul-dag")</f>
        <v>8</v>
      </c>
      <c r="E79" s="484"/>
      <c r="F79" s="483" t="s">
        <v>192</v>
      </c>
      <c r="G79" s="483">
        <f>COUNTIFS($B$14:$B$44,"fr",[0]!December,"Skema 2")</f>
        <v>0</v>
      </c>
      <c r="H79" s="483"/>
      <c r="I79" s="638" t="s">
        <v>561</v>
      </c>
      <c r="J79" s="638"/>
      <c r="K79" s="638"/>
      <c r="L79" s="638"/>
      <c r="M79" s="643"/>
      <c r="N79" s="643"/>
      <c r="O79" s="4"/>
      <c r="P79" s="654">
        <f>IF(Stamoplysninger!$B$31="Der er indgået lokalaftale omkring weekendtillæg(Kræver aftale med TR/FSL). Weekendtimerne udbetales.",FG45+FH45-FI45-FJ45,0)</f>
        <v>0</v>
      </c>
      <c r="Q79" s="610"/>
      <c r="R79" s="742"/>
      <c r="S79"/>
      <c r="T79"/>
      <c r="U79"/>
      <c r="V79" t="s">
        <v>612</v>
      </c>
      <c r="W79"/>
      <c r="X79"/>
      <c r="AM79" s="502"/>
      <c r="BJ79" s="502"/>
      <c r="BU79" s="503"/>
      <c r="BV79" s="503"/>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row>
    <row r="80" spans="1:185" s="486" customFormat="1" hidden="1">
      <c r="A80" s="488" t="s">
        <v>406</v>
      </c>
      <c r="B80" s="483"/>
      <c r="C80" s="483"/>
      <c r="D80" s="483">
        <f>COUNTIF([0]!December,"Orlov")</f>
        <v>0</v>
      </c>
      <c r="E80" s="484"/>
      <c r="F80" s="489"/>
      <c r="G80" s="489"/>
      <c r="H80" s="489"/>
      <c r="I80" s="638" t="s">
        <v>567</v>
      </c>
      <c r="J80" s="638"/>
      <c r="K80" s="638"/>
      <c r="L80" s="638"/>
      <c r="M80" s="644"/>
      <c r="N80" s="644"/>
      <c r="O80" s="4"/>
      <c r="P80" s="637"/>
      <c r="Q80"/>
      <c r="R80" s="727">
        <f>IF(AND(C14="ikke relevant",S14="X"),V14*-1,0)</f>
        <v>0</v>
      </c>
      <c r="S80"/>
      <c r="T80" s="727">
        <f>IF(AND(C14="ikke relevant",U14="X"),X14*-1,0)</f>
        <v>0</v>
      </c>
      <c r="U80"/>
      <c r="V80">
        <f>IF(AND(C14="ikke relevant",H14&gt;""),R14*-1,0)</f>
        <v>0</v>
      </c>
      <c r="W80"/>
      <c r="X80"/>
      <c r="AM80" s="502"/>
      <c r="BJ80" s="502"/>
      <c r="BU80" s="503"/>
      <c r="BV80" s="503"/>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row>
    <row r="81" spans="1:185" s="486" customFormat="1" hidden="1">
      <c r="A81" s="483" t="s">
        <v>158</v>
      </c>
      <c r="B81" s="483"/>
      <c r="C81" s="483"/>
      <c r="D81" s="483">
        <f>COUNTIF([0]!December,"Ikke relevant")</f>
        <v>0</v>
      </c>
      <c r="E81" s="484"/>
      <c r="F81" s="483" t="s">
        <v>193</v>
      </c>
      <c r="G81" s="483">
        <f>COUNTIFS($B$14:$B$44,"ma",[0]!December,"Skema 3")</f>
        <v>0</v>
      </c>
      <c r="H81" s="483"/>
      <c r="I81" s="638"/>
      <c r="J81" s="638"/>
      <c r="K81" s="638"/>
      <c r="L81" s="496"/>
      <c r="M81" s="644"/>
      <c r="N81" s="644"/>
      <c r="O81" s="4"/>
      <c r="P81" s="637"/>
      <c r="Q81"/>
      <c r="R81" s="727">
        <f t="shared" ref="R81:R109" si="42">IF(AND(C15="ikke relevant",S15="X"),V15*-1,0)</f>
        <v>0</v>
      </c>
      <c r="S81"/>
      <c r="T81" s="727">
        <f t="shared" ref="T81:T110" si="43">IF(AND(C15="ikke relevant",U15="X"),X15*-1,0)</f>
        <v>0</v>
      </c>
      <c r="U81"/>
      <c r="V81">
        <f t="shared" ref="V81:V110" si="44">IF(AND(C15="ikke relevant",H15&gt;""),R15*-1,0)</f>
        <v>0</v>
      </c>
      <c r="W81"/>
      <c r="X81"/>
      <c r="AM81" s="502"/>
      <c r="BJ81" s="502"/>
      <c r="BU81" s="503"/>
      <c r="BV81" s="503"/>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row>
    <row r="82" spans="1:185" s="486" customFormat="1" hidden="1">
      <c r="A82" s="483" t="s">
        <v>107</v>
      </c>
      <c r="B82" s="483"/>
      <c r="C82" s="483"/>
      <c r="D82" s="483">
        <f>SUM(D69:D81)</f>
        <v>31</v>
      </c>
      <c r="E82" s="483"/>
      <c r="F82" s="483" t="s">
        <v>194</v>
      </c>
      <c r="G82" s="483">
        <f>COUNTIFS($B$14:$B$44,"ti",[0]!December,"Skema 3")</f>
        <v>0</v>
      </c>
      <c r="H82" s="483"/>
      <c r="I82" s="638"/>
      <c r="J82" s="638"/>
      <c r="K82" s="638"/>
      <c r="L82" s="496"/>
      <c r="M82" s="644"/>
      <c r="N82" s="644"/>
      <c r="O82" s="4"/>
      <c r="P82" s="637"/>
      <c r="Q82"/>
      <c r="R82" s="727">
        <f t="shared" si="42"/>
        <v>0</v>
      </c>
      <c r="S82"/>
      <c r="T82" s="727">
        <f t="shared" si="43"/>
        <v>0</v>
      </c>
      <c r="U82"/>
      <c r="V82">
        <f t="shared" si="44"/>
        <v>0</v>
      </c>
      <c r="W82"/>
      <c r="X82"/>
      <c r="Z82" s="502"/>
      <c r="AX82" s="502"/>
      <c r="BI82" s="503"/>
      <c r="BJ82" s="503"/>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row>
    <row r="83" spans="1:185" s="486" customFormat="1" hidden="1">
      <c r="A83" s="483" t="s">
        <v>236</v>
      </c>
      <c r="B83" s="483"/>
      <c r="C83" s="483"/>
      <c r="D83" s="483">
        <f>D82-D76-A92-D81</f>
        <v>23</v>
      </c>
      <c r="E83" s="490"/>
      <c r="F83" s="483" t="s">
        <v>195</v>
      </c>
      <c r="G83" s="483">
        <f>COUNTIFS($B$14:$B$44,"on",[0]!December,"Skema 3")</f>
        <v>0</v>
      </c>
      <c r="H83" s="483"/>
      <c r="I83" s="638"/>
      <c r="J83" s="638"/>
      <c r="K83" s="638"/>
      <c r="L83" s="496"/>
      <c r="M83" s="644"/>
      <c r="N83" s="644"/>
      <c r="O83" s="4"/>
      <c r="P83" s="637"/>
      <c r="Q83"/>
      <c r="R83" s="727">
        <f t="shared" si="42"/>
        <v>0</v>
      </c>
      <c r="S83"/>
      <c r="T83" s="727">
        <f t="shared" si="43"/>
        <v>0</v>
      </c>
      <c r="U83"/>
      <c r="V83">
        <f t="shared" si="44"/>
        <v>0</v>
      </c>
      <c r="W83"/>
      <c r="X83"/>
      <c r="Z83" s="502"/>
      <c r="AX83" s="502"/>
      <c r="BI83" s="503"/>
      <c r="BJ83" s="50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row>
    <row r="84" spans="1:185" s="486" customFormat="1" hidden="1">
      <c r="A84" s="483"/>
      <c r="B84" s="483"/>
      <c r="C84" s="483"/>
      <c r="D84" s="483"/>
      <c r="E84" s="483"/>
      <c r="F84" s="483" t="s">
        <v>196</v>
      </c>
      <c r="G84" s="483">
        <f>COUNTIFS($B$14:$B$44,"to",[0]!December,"Skema 3")</f>
        <v>0</v>
      </c>
      <c r="H84" s="483"/>
      <c r="I84" s="640"/>
      <c r="J84" s="638"/>
      <c r="K84" s="638"/>
      <c r="L84" s="496"/>
      <c r="M84" s="636"/>
      <c r="N84" s="636"/>
      <c r="O84" s="4"/>
      <c r="P84" s="637"/>
      <c r="Q84"/>
      <c r="R84" s="727">
        <f t="shared" si="42"/>
        <v>0</v>
      </c>
      <c r="S84"/>
      <c r="T84" s="727">
        <f t="shared" si="43"/>
        <v>0</v>
      </c>
      <c r="U84"/>
      <c r="V84">
        <f t="shared" si="44"/>
        <v>0</v>
      </c>
      <c r="W84"/>
      <c r="X84"/>
      <c r="Z84" s="502"/>
      <c r="AX84" s="502"/>
      <c r="BI84" s="503"/>
      <c r="BJ84" s="503"/>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row>
    <row r="85" spans="1:185" s="486" customFormat="1" hidden="1">
      <c r="A85" s="483"/>
      <c r="B85" s="483"/>
      <c r="C85" s="483"/>
      <c r="D85" s="483"/>
      <c r="E85" s="483"/>
      <c r="F85" s="483" t="s">
        <v>197</v>
      </c>
      <c r="G85" s="483">
        <f>COUNTIFS($B$14:$B$44,"fr",[0]!December,"Skema 3")</f>
        <v>0</v>
      </c>
      <c r="H85" s="483"/>
      <c r="I85" s="491"/>
      <c r="J85" s="496"/>
      <c r="K85" s="496"/>
      <c r="L85" s="496"/>
      <c r="M85" s="4"/>
      <c r="N85" s="4"/>
      <c r="O85" s="4"/>
      <c r="P85" s="4"/>
      <c r="Q85"/>
      <c r="R85" s="727">
        <f t="shared" si="42"/>
        <v>0</v>
      </c>
      <c r="S85"/>
      <c r="T85" s="727">
        <f t="shared" si="43"/>
        <v>0</v>
      </c>
      <c r="U85"/>
      <c r="V85">
        <f t="shared" si="44"/>
        <v>0</v>
      </c>
      <c r="W85"/>
      <c r="X85"/>
      <c r="Z85" s="502"/>
      <c r="AX85" s="502"/>
      <c r="BI85" s="503"/>
      <c r="BJ85" s="503"/>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row>
    <row r="86" spans="1:185" s="486" customFormat="1" hidden="1">
      <c r="A86" s="483" t="s">
        <v>289</v>
      </c>
      <c r="B86" s="483"/>
      <c r="C86" s="483"/>
      <c r="D86" s="483"/>
      <c r="E86" s="483"/>
      <c r="F86" s="483"/>
      <c r="G86" s="483"/>
      <c r="H86" s="483"/>
      <c r="I86" s="491"/>
      <c r="J86" s="496"/>
      <c r="K86" s="496"/>
      <c r="L86" s="496"/>
      <c r="M86" s="4"/>
      <c r="N86" s="4"/>
      <c r="O86" s="4"/>
      <c r="P86" s="4"/>
      <c r="Q86"/>
      <c r="R86" s="727">
        <f t="shared" si="42"/>
        <v>0</v>
      </c>
      <c r="S86"/>
      <c r="T86" s="727">
        <f t="shared" si="43"/>
        <v>0</v>
      </c>
      <c r="U86"/>
      <c r="V86">
        <f t="shared" si="44"/>
        <v>0</v>
      </c>
      <c r="W86"/>
      <c r="X86"/>
      <c r="Z86" s="502"/>
      <c r="AX86" s="502"/>
      <c r="BI86" s="503"/>
      <c r="BJ86" s="503"/>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row>
    <row r="87" spans="1:185" s="486" customFormat="1" hidden="1">
      <c r="A87" s="483">
        <f>COUNTIF(C18:C19,"Skema 1")+COUNTIF(C18:C19,"Skema 2")+COUNTIF(C18:C19,"Skema 3")+COUNTIF(C18:C19,"Skema 4")+COUNTIF(C18:C19,"Fagdag")+COUNTIF(C18:C19,"Emnedag")+COUNTIF(C18:C19,"Lejrskole")+COUNTIF(C18:C19,"Ekskursion")+COUNTIF(C18:C19,"Pæd.dag")</f>
        <v>0</v>
      </c>
      <c r="B87" s="483"/>
      <c r="C87" s="483"/>
      <c r="D87" s="483"/>
      <c r="E87" s="483"/>
      <c r="F87" s="483" t="s">
        <v>198</v>
      </c>
      <c r="G87" s="483">
        <f>COUNTIFS($B$14:$B$44,"ma",[0]!December,"Skema 4")</f>
        <v>0</v>
      </c>
      <c r="H87" s="483"/>
      <c r="I87" s="491"/>
      <c r="J87" s="496"/>
      <c r="K87" s="496"/>
      <c r="L87" s="496"/>
      <c r="M87" s="4"/>
      <c r="N87" s="4"/>
      <c r="O87" s="4"/>
      <c r="P87" s="4"/>
      <c r="Q87"/>
      <c r="R87" s="727">
        <f t="shared" si="42"/>
        <v>0</v>
      </c>
      <c r="S87"/>
      <c r="T87" s="727">
        <f t="shared" si="43"/>
        <v>0</v>
      </c>
      <c r="U87"/>
      <c r="V87">
        <f t="shared" si="44"/>
        <v>0</v>
      </c>
      <c r="W87"/>
      <c r="X87"/>
      <c r="Z87" s="502"/>
      <c r="AX87" s="502"/>
      <c r="BI87" s="503"/>
      <c r="BJ87" s="503"/>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row>
    <row r="88" spans="1:185" s="486" customFormat="1" hidden="1">
      <c r="A88" s="483">
        <f>COUNTIF(C25:C26,"Skema 1")+COUNTIF(C25:C26,"Skema 2")+COUNTIF(C25:C26,"Skema 3")+COUNTIF(C25:C26,"Skema 4")+COUNTIF(C25:C26,"Fagdag")+COUNTIF(C25:C26,"Emnedag")+COUNTIF(C25:C26,"Lejrskole")+COUNTIF(C25:C26,"Ekskursion")+COUNTIF(C25:C26,"Pæd.dag")</f>
        <v>0</v>
      </c>
      <c r="B88" s="483"/>
      <c r="C88" s="483"/>
      <c r="D88" s="483"/>
      <c r="E88" s="483"/>
      <c r="F88" s="483" t="s">
        <v>199</v>
      </c>
      <c r="G88" s="483">
        <f>COUNTIFS($B$14:$B$44,"ti",[0]!December,"Skema 4")</f>
        <v>0</v>
      </c>
      <c r="H88" s="483"/>
      <c r="I88" s="491"/>
      <c r="J88" s="496"/>
      <c r="K88" s="496"/>
      <c r="L88" s="496"/>
      <c r="M88" s="4"/>
      <c r="N88" s="4"/>
      <c r="O88" s="4"/>
      <c r="P88" s="4"/>
      <c r="Q88"/>
      <c r="R88" s="727">
        <f t="shared" si="42"/>
        <v>0</v>
      </c>
      <c r="S88"/>
      <c r="T88" s="727">
        <f t="shared" si="43"/>
        <v>0</v>
      </c>
      <c r="U88"/>
      <c r="V88">
        <f t="shared" si="44"/>
        <v>0</v>
      </c>
      <c r="W88"/>
      <c r="X88"/>
      <c r="Z88" s="502"/>
      <c r="AX88" s="502"/>
      <c r="BI88" s="503"/>
      <c r="BJ88" s="503"/>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row>
    <row r="89" spans="1:185" s="486" customFormat="1" hidden="1">
      <c r="A89" s="483">
        <f>COUNTIF(C32:C33,"Skema 1")+COUNTIF(C32:C33,"Skema 2")+COUNTIF(C32:C33,"Skema 3")+COUNTIF(C32:C33,"Skema 4")+COUNTIF(C32:C33,"Fagdag")+COUNTIF(C32:C33,"Emnedag")+COUNTIF(C32:C33,"Lejrskole")+COUNTIF(C32:C33,"Ekskursion")+COUNTIF(C32:C33,"Pæd.dag")</f>
        <v>0</v>
      </c>
      <c r="B89" s="483"/>
      <c r="C89" s="483"/>
      <c r="D89" s="483"/>
      <c r="E89" s="483"/>
      <c r="F89" s="483" t="s">
        <v>200</v>
      </c>
      <c r="G89" s="483">
        <f>COUNTIFS($B$14:$B$44,"on",[0]!December,"Skema 4")</f>
        <v>0</v>
      </c>
      <c r="H89" s="483"/>
      <c r="I89" s="491"/>
      <c r="J89" s="496"/>
      <c r="K89" s="496"/>
      <c r="L89" s="496"/>
      <c r="M89" s="4"/>
      <c r="N89" s="4"/>
      <c r="O89" s="4"/>
      <c r="P89" s="4"/>
      <c r="Q89"/>
      <c r="R89" s="727">
        <f t="shared" si="42"/>
        <v>0</v>
      </c>
      <c r="S89"/>
      <c r="T89" s="727">
        <f t="shared" si="43"/>
        <v>0</v>
      </c>
      <c r="U89"/>
      <c r="V89">
        <f t="shared" si="44"/>
        <v>0</v>
      </c>
      <c r="W89"/>
      <c r="X89"/>
      <c r="Z89" s="502"/>
      <c r="AX89" s="502"/>
      <c r="BI89" s="503"/>
      <c r="BJ89" s="503"/>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row>
    <row r="90" spans="1:185" hidden="1">
      <c r="A90" s="483">
        <f>COUNTIF(C39:C40,"Skema 1")+COUNTIF(C39:C40,"Skema 2")+COUNTIF(C39:C40,"Skema 3")+COUNTIF(C39:C40,"Skema 4")+COUNTIF(C39:C40,"Fagdag")+COUNTIF(C39:C40,"Emnedag")+COUNTIF(C39:C40,"Lejrskole")+COUNTIF(C39:C40,"Ekskursion")+COUNTIF(C39:C40,"Pæd.dag")</f>
        <v>0</v>
      </c>
      <c r="B90" s="120"/>
      <c r="C90" s="120"/>
      <c r="D90" s="120"/>
      <c r="E90" s="120"/>
      <c r="F90" s="120" t="s">
        <v>201</v>
      </c>
      <c r="G90" s="120">
        <f>COUNTIFS($B$14:$B$44,"to",[0]!December,"Skema 4")</f>
        <v>0</v>
      </c>
      <c r="H90" s="483"/>
      <c r="I90" s="491"/>
      <c r="J90" s="496"/>
      <c r="K90" s="496"/>
      <c r="L90" s="496"/>
      <c r="M90" s="4"/>
      <c r="N90" s="4"/>
      <c r="O90" s="4"/>
      <c r="P90" s="4"/>
      <c r="R90" s="727">
        <f t="shared" si="42"/>
        <v>0</v>
      </c>
      <c r="T90" s="727">
        <f t="shared" si="43"/>
        <v>0</v>
      </c>
      <c r="V90">
        <f t="shared" si="44"/>
        <v>0</v>
      </c>
      <c r="Y90"/>
      <c r="Z90"/>
      <c r="AO90" s="1">
        <f>SUM(N90:AN90)</f>
        <v>0</v>
      </c>
      <c r="BL90" s="1">
        <f>SUM(AI90:BK90)</f>
        <v>0</v>
      </c>
      <c r="BW90" s="242"/>
      <c r="BX90" s="242"/>
      <c r="CY90"/>
      <c r="CZ90"/>
    </row>
    <row r="91" spans="1:185" hidden="1">
      <c r="A91" s="483"/>
      <c r="B91" s="120"/>
      <c r="C91" s="120"/>
      <c r="D91" s="120"/>
      <c r="E91" s="120"/>
      <c r="F91" s="120" t="s">
        <v>202</v>
      </c>
      <c r="G91" s="120">
        <f>COUNTIFS($B$14:$B$44,"fr",[0]!December,"Skema 4")</f>
        <v>0</v>
      </c>
      <c r="H91" s="483"/>
      <c r="I91" s="483"/>
      <c r="J91" s="486"/>
      <c r="K91" s="486"/>
      <c r="L91" s="38"/>
      <c r="R91" s="727">
        <f t="shared" si="42"/>
        <v>0</v>
      </c>
      <c r="T91" s="727">
        <f t="shared" si="43"/>
        <v>0</v>
      </c>
      <c r="V91">
        <f t="shared" si="44"/>
        <v>0</v>
      </c>
      <c r="Y91"/>
      <c r="Z91"/>
      <c r="AO91" s="1">
        <f>SUM(N91:AN91)</f>
        <v>0</v>
      </c>
      <c r="BL91" s="1">
        <f>SUM(AI91:BK91)</f>
        <v>0</v>
      </c>
      <c r="BW91" s="242"/>
      <c r="BX91" s="242"/>
      <c r="CY91"/>
      <c r="CZ91"/>
    </row>
    <row r="92" spans="1:185" hidden="1">
      <c r="A92" s="483">
        <f>SUM(A87:A91)</f>
        <v>0</v>
      </c>
      <c r="B92" s="120"/>
      <c r="C92" s="120"/>
      <c r="D92" s="120"/>
      <c r="E92" s="120"/>
      <c r="F92" s="120"/>
      <c r="G92" s="384">
        <f>SUM(G69:G91)</f>
        <v>12</v>
      </c>
      <c r="H92" s="486"/>
      <c r="I92" s="483"/>
      <c r="J92" s="486"/>
      <c r="K92" s="486"/>
      <c r="L92" s="38"/>
      <c r="R92" s="727">
        <f t="shared" si="42"/>
        <v>0</v>
      </c>
      <c r="T92" s="727">
        <f t="shared" si="43"/>
        <v>0</v>
      </c>
      <c r="V92">
        <f t="shared" si="44"/>
        <v>0</v>
      </c>
      <c r="Y92"/>
      <c r="Z92"/>
      <c r="AO92" s="1">
        <f>SUM(N92:AN92)</f>
        <v>0</v>
      </c>
      <c r="BL92" s="1">
        <f>SUM(AI92:BK92)</f>
        <v>0</v>
      </c>
      <c r="BW92" s="242"/>
      <c r="BX92" s="242"/>
      <c r="CY92"/>
      <c r="CZ92"/>
    </row>
    <row r="93" spans="1:185" hidden="1">
      <c r="A93" s="38"/>
      <c r="B93" s="38"/>
      <c r="C93" s="38"/>
      <c r="D93" s="38"/>
      <c r="E93" s="120"/>
      <c r="F93" s="120"/>
      <c r="G93" s="120"/>
      <c r="H93" s="38"/>
      <c r="I93" s="486"/>
      <c r="J93" s="486"/>
      <c r="K93" s="486"/>
      <c r="L93" s="38"/>
      <c r="R93" s="727">
        <f t="shared" si="42"/>
        <v>0</v>
      </c>
      <c r="T93" s="727">
        <f t="shared" si="43"/>
        <v>0</v>
      </c>
      <c r="V93">
        <f t="shared" si="44"/>
        <v>0</v>
      </c>
      <c r="Y93"/>
      <c r="Z93"/>
      <c r="AO93" s="1">
        <f>SUM(N93:AN93)</f>
        <v>0</v>
      </c>
      <c r="BL93" s="1">
        <f>SUM(AI93:BK93)</f>
        <v>0</v>
      </c>
      <c r="BW93" s="242"/>
      <c r="BX93" s="242"/>
      <c r="CY93"/>
      <c r="CZ93"/>
    </row>
    <row r="94" spans="1:185" hidden="1">
      <c r="A94" s="38"/>
      <c r="B94" s="38"/>
      <c r="C94" s="38"/>
      <c r="D94" s="38"/>
      <c r="E94" s="120"/>
      <c r="F94" s="120"/>
      <c r="G94" s="120"/>
      <c r="H94" s="38"/>
      <c r="I94" s="38"/>
      <c r="J94" s="486"/>
      <c r="K94" s="486"/>
      <c r="L94" s="38"/>
      <c r="R94" s="727">
        <f t="shared" si="42"/>
        <v>0</v>
      </c>
      <c r="T94" s="727">
        <f t="shared" si="43"/>
        <v>0</v>
      </c>
      <c r="V94">
        <f t="shared" si="44"/>
        <v>0</v>
      </c>
      <c r="Y94"/>
      <c r="Z94"/>
      <c r="BW94" s="242"/>
      <c r="BX94" s="242"/>
      <c r="CY94"/>
      <c r="CZ94"/>
    </row>
    <row r="95" spans="1:185" hidden="1">
      <c r="A95" s="38"/>
      <c r="B95" s="38"/>
      <c r="C95" s="38"/>
      <c r="D95" s="38"/>
      <c r="E95" s="120"/>
      <c r="F95" s="120"/>
      <c r="G95" s="120"/>
      <c r="H95" s="38"/>
      <c r="I95" s="38"/>
      <c r="J95" s="38"/>
      <c r="K95" s="38"/>
      <c r="L95" s="38"/>
      <c r="R95" s="727">
        <f t="shared" si="42"/>
        <v>0</v>
      </c>
      <c r="T95" s="727">
        <f t="shared" si="43"/>
        <v>0</v>
      </c>
      <c r="V95">
        <f t="shared" si="44"/>
        <v>0</v>
      </c>
      <c r="Y95"/>
      <c r="Z95"/>
      <c r="BW95" s="242"/>
      <c r="BX95" s="242"/>
      <c r="CY95"/>
      <c r="CZ95"/>
    </row>
    <row r="96" spans="1:185" hidden="1">
      <c r="A96" s="38"/>
      <c r="B96" s="38"/>
      <c r="C96" s="38"/>
      <c r="D96" s="38"/>
      <c r="E96" s="120"/>
      <c r="F96" s="120"/>
      <c r="G96" s="120"/>
      <c r="H96" s="38"/>
      <c r="I96" s="38"/>
      <c r="J96" s="38"/>
      <c r="K96" s="38"/>
      <c r="L96" s="38"/>
      <c r="R96" s="727">
        <f t="shared" si="42"/>
        <v>0</v>
      </c>
      <c r="T96" s="727">
        <f t="shared" si="43"/>
        <v>0</v>
      </c>
      <c r="V96">
        <f t="shared" si="44"/>
        <v>0</v>
      </c>
      <c r="Y96"/>
      <c r="Z96"/>
      <c r="BW96" s="242"/>
      <c r="BX96" s="242"/>
      <c r="CY96"/>
      <c r="CZ96"/>
    </row>
    <row r="97" spans="1:111" hidden="1">
      <c r="A97" s="38"/>
      <c r="B97" s="38"/>
      <c r="C97" s="38"/>
      <c r="D97" s="38"/>
      <c r="E97" s="120"/>
      <c r="F97" s="120"/>
      <c r="G97" s="120"/>
      <c r="I97" s="38"/>
      <c r="J97" s="38"/>
      <c r="K97" s="38"/>
      <c r="L97" s="38"/>
      <c r="R97" s="727">
        <f t="shared" si="42"/>
        <v>0</v>
      </c>
      <c r="T97" s="727">
        <f t="shared" si="43"/>
        <v>0</v>
      </c>
      <c r="V97">
        <f t="shared" si="44"/>
        <v>0</v>
      </c>
      <c r="Y97"/>
      <c r="Z97"/>
      <c r="BW97" s="242"/>
      <c r="BX97" s="242"/>
      <c r="CY97"/>
      <c r="CZ97"/>
    </row>
    <row r="98" spans="1:111" hidden="1">
      <c r="A98" s="38"/>
      <c r="B98" s="38"/>
      <c r="C98" s="38"/>
      <c r="D98" s="38"/>
      <c r="E98" s="120"/>
      <c r="F98" s="120"/>
      <c r="G98" s="120"/>
      <c r="I98" s="38"/>
      <c r="J98" s="38"/>
      <c r="K98" s="38"/>
      <c r="L98" s="38"/>
      <c r="R98" s="727">
        <f t="shared" si="42"/>
        <v>0</v>
      </c>
      <c r="T98" s="727">
        <f t="shared" si="43"/>
        <v>0</v>
      </c>
      <c r="V98">
        <f t="shared" si="44"/>
        <v>0</v>
      </c>
      <c r="Y98"/>
      <c r="Z98"/>
      <c r="AF98" s="226"/>
      <c r="BW98" s="242"/>
      <c r="BX98" s="242"/>
      <c r="CY98"/>
      <c r="CZ98"/>
    </row>
    <row r="99" spans="1:111" hidden="1">
      <c r="A99" s="432"/>
      <c r="B99" s="432"/>
      <c r="C99" s="432"/>
      <c r="D99" s="432"/>
      <c r="E99" s="115"/>
      <c r="F99" s="115"/>
      <c r="G99" s="115"/>
      <c r="I99" s="38"/>
      <c r="J99" s="38"/>
      <c r="K99" s="38"/>
      <c r="L99" s="38"/>
      <c r="R99" s="727">
        <f t="shared" si="42"/>
        <v>0</v>
      </c>
      <c r="T99" s="727">
        <f t="shared" si="43"/>
        <v>0</v>
      </c>
      <c r="V99">
        <f t="shared" si="44"/>
        <v>0</v>
      </c>
      <c r="Y99"/>
      <c r="Z99"/>
      <c r="AD99" s="4"/>
      <c r="AE99" s="226"/>
      <c r="AF99" s="226"/>
      <c r="AG99" s="226"/>
      <c r="AH99" s="226"/>
      <c r="CY99"/>
      <c r="CZ99"/>
      <c r="DF99" s="242"/>
      <c r="DG99" s="242"/>
    </row>
    <row r="100" spans="1:111" hidden="1">
      <c r="A100" s="432"/>
      <c r="B100" s="432"/>
      <c r="C100" s="432"/>
      <c r="D100" s="432"/>
      <c r="E100" s="115"/>
      <c r="F100" s="115"/>
      <c r="G100" s="115"/>
      <c r="I100" s="38"/>
      <c r="J100" s="38"/>
      <c r="K100" s="38"/>
      <c r="L100" s="38"/>
      <c r="R100" s="727">
        <f t="shared" si="42"/>
        <v>0</v>
      </c>
      <c r="T100" s="727">
        <f t="shared" si="43"/>
        <v>0</v>
      </c>
      <c r="V100">
        <f t="shared" si="44"/>
        <v>0</v>
      </c>
      <c r="Y100"/>
      <c r="Z100"/>
      <c r="AD100" s="4"/>
      <c r="AE100" s="226"/>
      <c r="AG100" s="226"/>
      <c r="AH100" s="226"/>
      <c r="CY100"/>
      <c r="CZ100"/>
      <c r="DF100" s="242"/>
      <c r="DG100" s="242"/>
    </row>
    <row r="101" spans="1:111" hidden="1">
      <c r="A101" s="432"/>
      <c r="B101" s="432"/>
      <c r="C101" s="432"/>
      <c r="D101" s="432"/>
      <c r="E101" s="115"/>
      <c r="F101" s="115"/>
      <c r="G101" s="115"/>
      <c r="I101" s="38"/>
      <c r="J101" s="38"/>
      <c r="K101" s="38"/>
      <c r="L101" s="38"/>
      <c r="R101" s="727">
        <f t="shared" si="42"/>
        <v>0</v>
      </c>
      <c r="T101" s="727">
        <f t="shared" si="43"/>
        <v>0</v>
      </c>
      <c r="V101">
        <f t="shared" si="44"/>
        <v>0</v>
      </c>
    </row>
    <row r="102" spans="1:111" hidden="1">
      <c r="A102" s="432"/>
      <c r="B102" s="432"/>
      <c r="C102" s="432"/>
      <c r="D102" s="432"/>
      <c r="E102" s="115"/>
      <c r="F102" s="115"/>
      <c r="G102" s="115"/>
      <c r="I102" s="38"/>
      <c r="J102" s="38"/>
      <c r="K102" s="38"/>
      <c r="L102" s="38"/>
      <c r="R102" s="727">
        <f t="shared" si="42"/>
        <v>0</v>
      </c>
      <c r="T102" s="727">
        <f t="shared" si="43"/>
        <v>0</v>
      </c>
      <c r="V102">
        <f t="shared" si="44"/>
        <v>0</v>
      </c>
    </row>
    <row r="103" spans="1:111" hidden="1">
      <c r="A103" s="432"/>
      <c r="B103" s="432"/>
      <c r="C103" s="432"/>
      <c r="D103" s="432"/>
      <c r="E103" s="432"/>
      <c r="F103" s="432"/>
      <c r="G103" s="432"/>
      <c r="I103" s="38"/>
      <c r="J103" s="38"/>
      <c r="K103" s="38"/>
      <c r="L103" s="38"/>
      <c r="R103" s="727">
        <f t="shared" si="42"/>
        <v>0</v>
      </c>
      <c r="T103" s="727">
        <f t="shared" si="43"/>
        <v>0</v>
      </c>
      <c r="V103">
        <f t="shared" si="44"/>
        <v>0</v>
      </c>
    </row>
    <row r="104" spans="1:111" hidden="1">
      <c r="A104" s="432"/>
      <c r="B104" s="432"/>
      <c r="C104" s="432"/>
      <c r="D104" s="432"/>
      <c r="E104" s="432"/>
      <c r="F104" s="432"/>
      <c r="G104" s="432"/>
      <c r="I104" s="38"/>
      <c r="J104" s="38"/>
      <c r="K104" s="38"/>
      <c r="L104" s="38"/>
      <c r="R104" s="727">
        <f t="shared" si="42"/>
        <v>0</v>
      </c>
      <c r="T104" s="727">
        <f t="shared" si="43"/>
        <v>0</v>
      </c>
      <c r="V104">
        <f t="shared" si="44"/>
        <v>0</v>
      </c>
    </row>
    <row r="105" spans="1:111" hidden="1">
      <c r="A105" s="432"/>
      <c r="B105" s="432"/>
      <c r="C105" s="432"/>
      <c r="D105" s="432"/>
      <c r="E105" s="432"/>
      <c r="F105" s="432"/>
      <c r="G105" s="432"/>
      <c r="I105" s="38"/>
      <c r="J105" s="38"/>
      <c r="K105" s="38"/>
      <c r="L105" s="432"/>
      <c r="R105" s="727">
        <f t="shared" si="42"/>
        <v>0</v>
      </c>
      <c r="T105" s="727">
        <f t="shared" si="43"/>
        <v>0</v>
      </c>
      <c r="V105">
        <f t="shared" si="44"/>
        <v>0</v>
      </c>
    </row>
    <row r="106" spans="1:111" hidden="1">
      <c r="A106" s="432"/>
      <c r="B106" s="432"/>
      <c r="C106" s="432"/>
      <c r="D106" s="432"/>
      <c r="I106" s="38"/>
      <c r="J106" s="38"/>
      <c r="K106" s="38"/>
      <c r="L106" s="432"/>
      <c r="R106" s="727">
        <f t="shared" si="42"/>
        <v>0</v>
      </c>
      <c r="T106" s="727">
        <f t="shared" si="43"/>
        <v>0</v>
      </c>
      <c r="V106">
        <f t="shared" si="44"/>
        <v>0</v>
      </c>
    </row>
    <row r="107" spans="1:111" hidden="1">
      <c r="I107" s="38"/>
      <c r="J107" s="38"/>
      <c r="K107" s="38"/>
      <c r="L107" s="432"/>
      <c r="R107" s="727">
        <f t="shared" si="42"/>
        <v>0</v>
      </c>
      <c r="T107" s="727">
        <f t="shared" si="43"/>
        <v>0</v>
      </c>
      <c r="V107">
        <f t="shared" si="44"/>
        <v>0</v>
      </c>
    </row>
    <row r="108" spans="1:111" hidden="1">
      <c r="I108" s="432"/>
      <c r="J108" s="38"/>
      <c r="K108" s="38"/>
      <c r="L108" s="432"/>
      <c r="R108" s="727">
        <f t="shared" si="42"/>
        <v>0</v>
      </c>
      <c r="T108" s="727">
        <f t="shared" si="43"/>
        <v>0</v>
      </c>
      <c r="V108">
        <f t="shared" si="44"/>
        <v>0</v>
      </c>
    </row>
    <row r="109" spans="1:111" hidden="1">
      <c r="I109" s="432"/>
      <c r="J109" s="432"/>
      <c r="K109" s="432"/>
      <c r="L109" s="432"/>
      <c r="R109" s="727">
        <f t="shared" si="42"/>
        <v>0</v>
      </c>
      <c r="T109" s="727">
        <f t="shared" si="43"/>
        <v>0</v>
      </c>
      <c r="V109">
        <f t="shared" si="44"/>
        <v>0</v>
      </c>
    </row>
    <row r="110" spans="1:111" ht="17" hidden="1" thickBot="1">
      <c r="I110" s="432"/>
      <c r="J110" s="432"/>
      <c r="K110" s="432"/>
      <c r="L110" s="432"/>
      <c r="R110" s="727">
        <f>IF(AND(C44="ikke relevant",S44="X"),V44*-1,0)</f>
        <v>0</v>
      </c>
      <c r="T110" s="727">
        <f t="shared" si="43"/>
        <v>0</v>
      </c>
      <c r="V110">
        <f t="shared" si="44"/>
        <v>0</v>
      </c>
    </row>
    <row r="111" spans="1:111" ht="17" hidden="1" thickBot="1">
      <c r="I111" s="432"/>
      <c r="J111" s="432"/>
      <c r="K111" s="432"/>
      <c r="L111" s="432"/>
      <c r="P111" t="s">
        <v>664</v>
      </c>
      <c r="R111" s="669">
        <f>SUM(R80:R110)</f>
        <v>0</v>
      </c>
      <c r="S111" s="669">
        <f>SUM(S80:S110)</f>
        <v>0</v>
      </c>
      <c r="T111" s="669">
        <f>SUM(T80:T110)</f>
        <v>0</v>
      </c>
      <c r="V111">
        <f>SUM(V80:V110)</f>
        <v>0</v>
      </c>
    </row>
    <row r="112" spans="1:111" ht="16" hidden="1" customHeight="1">
      <c r="I112" s="432"/>
      <c r="J112" s="432"/>
      <c r="K112" s="432"/>
      <c r="L112" s="432"/>
      <c r="R112" s="1030" t="s">
        <v>666</v>
      </c>
      <c r="T112" s="1030" t="s">
        <v>667</v>
      </c>
    </row>
    <row r="113" spans="18:20" hidden="1">
      <c r="R113" s="884"/>
      <c r="T113" s="884"/>
    </row>
    <row r="114" spans="18:20" hidden="1">
      <c r="R114" s="884"/>
      <c r="T114" s="884"/>
    </row>
    <row r="115" spans="18:20" hidden="1">
      <c r="R115" s="884"/>
      <c r="T115" s="884"/>
    </row>
    <row r="116" spans="18:20" hidden="1"/>
    <row r="117" spans="18:20" hidden="1"/>
    <row r="118" spans="18:20" hidden="1"/>
    <row r="119" spans="18:20" hidden="1"/>
    <row r="120" spans="18:20" hidden="1"/>
    <row r="121" spans="18:20" hidden="1"/>
    <row r="122" spans="18:20" hidden="1"/>
  </sheetData>
  <sheetProtection sheet="1" objects="1" scenarios="1"/>
  <mergeCells count="199">
    <mergeCell ref="E22:G22"/>
    <mergeCell ref="E23:G23"/>
    <mergeCell ref="E24:G24"/>
    <mergeCell ref="E25:G25"/>
    <mergeCell ref="A58:G59"/>
    <mergeCell ref="E44:G44"/>
    <mergeCell ref="A45:I45"/>
    <mergeCell ref="E35:G35"/>
    <mergeCell ref="E36:G36"/>
    <mergeCell ref="E38:G38"/>
    <mergeCell ref="E39:G39"/>
    <mergeCell ref="E40:G40"/>
    <mergeCell ref="E34:G34"/>
    <mergeCell ref="I47:K47"/>
    <mergeCell ref="A48:G48"/>
    <mergeCell ref="I48:K48"/>
    <mergeCell ref="I58:K58"/>
    <mergeCell ref="FI8:GC8"/>
    <mergeCell ref="FI9:FL9"/>
    <mergeCell ref="FO9:FR9"/>
    <mergeCell ref="DO11:DV11"/>
    <mergeCell ref="FO11:FR11"/>
    <mergeCell ref="FS11:FT11"/>
    <mergeCell ref="GB11:GC11"/>
    <mergeCell ref="FC10:FF10"/>
    <mergeCell ref="FG10:FJ10"/>
    <mergeCell ref="FK10:FX10"/>
    <mergeCell ref="DW11:ED11"/>
    <mergeCell ref="FC11:FF11"/>
    <mergeCell ref="FG11:FJ11"/>
    <mergeCell ref="FK11:FN11"/>
    <mergeCell ref="FQ13:FR13"/>
    <mergeCell ref="DS13:DV13"/>
    <mergeCell ref="V54:X54"/>
    <mergeCell ref="A67:G67"/>
    <mergeCell ref="I67:K67"/>
    <mergeCell ref="A72:C72"/>
    <mergeCell ref="E37:G37"/>
    <mergeCell ref="A70:C70"/>
    <mergeCell ref="A71:C71"/>
    <mergeCell ref="I56:K56"/>
    <mergeCell ref="A61:K61"/>
    <mergeCell ref="A62:B62"/>
    <mergeCell ref="C62:D62"/>
    <mergeCell ref="E62:G62"/>
    <mergeCell ref="H62:K62"/>
    <mergeCell ref="A63:B63"/>
    <mergeCell ref="C63:D63"/>
    <mergeCell ref="E63:G63"/>
    <mergeCell ref="A49:G49"/>
    <mergeCell ref="I49:K49"/>
    <mergeCell ref="A50:G50"/>
    <mergeCell ref="I50:K50"/>
    <mergeCell ref="E41:G41"/>
    <mergeCell ref="E42:G42"/>
    <mergeCell ref="M56:U56"/>
    <mergeCell ref="V56:X56"/>
    <mergeCell ref="A55:H55"/>
    <mergeCell ref="I55:K55"/>
    <mergeCell ref="A51:G51"/>
    <mergeCell ref="I51:K51"/>
    <mergeCell ref="A52:G52"/>
    <mergeCell ref="I52:K52"/>
    <mergeCell ref="M51:U51"/>
    <mergeCell ref="A53:H53"/>
    <mergeCell ref="I53:K53"/>
    <mergeCell ref="V51:X51"/>
    <mergeCell ref="M52:X52"/>
    <mergeCell ref="M53:U53"/>
    <mergeCell ref="V53:X53"/>
    <mergeCell ref="M54:U54"/>
    <mergeCell ref="B2:E2"/>
    <mergeCell ref="E9:G9"/>
    <mergeCell ref="K9:L9"/>
    <mergeCell ref="A10:R10"/>
    <mergeCell ref="P11:P12"/>
    <mergeCell ref="Q11:Q12"/>
    <mergeCell ref="R11:R12"/>
    <mergeCell ref="A9:D9"/>
    <mergeCell ref="M47:X47"/>
    <mergeCell ref="E43:G43"/>
    <mergeCell ref="E11:G13"/>
    <mergeCell ref="K11:L11"/>
    <mergeCell ref="N11:N12"/>
    <mergeCell ref="O11:O12"/>
    <mergeCell ref="E30:G30"/>
    <mergeCell ref="S11:X11"/>
    <mergeCell ref="S13:U13"/>
    <mergeCell ref="V13:X13"/>
    <mergeCell ref="E20:G20"/>
    <mergeCell ref="E21:G21"/>
    <mergeCell ref="E28:G28"/>
    <mergeCell ref="E29:G29"/>
    <mergeCell ref="E16:G16"/>
    <mergeCell ref="K13:R13"/>
    <mergeCell ref="S10:X10"/>
    <mergeCell ref="A8:X8"/>
    <mergeCell ref="A12:D13"/>
    <mergeCell ref="H12:H13"/>
    <mergeCell ref="I11:I13"/>
    <mergeCell ref="J11:J13"/>
    <mergeCell ref="A3:H3"/>
    <mergeCell ref="A4:B4"/>
    <mergeCell ref="C4:D4"/>
    <mergeCell ref="E4:F4"/>
    <mergeCell ref="G4:H4"/>
    <mergeCell ref="I4:J4"/>
    <mergeCell ref="A5:B5"/>
    <mergeCell ref="C5:D5"/>
    <mergeCell ref="E5:F5"/>
    <mergeCell ref="G5:H5"/>
    <mergeCell ref="A6:B6"/>
    <mergeCell ref="C6:D6"/>
    <mergeCell ref="E6:F6"/>
    <mergeCell ref="G6:H6"/>
    <mergeCell ref="A7:B7"/>
    <mergeCell ref="C7:D7"/>
    <mergeCell ref="E7:F7"/>
    <mergeCell ref="G7:H7"/>
    <mergeCell ref="A66:B66"/>
    <mergeCell ref="A60:G60"/>
    <mergeCell ref="I60:K60"/>
    <mergeCell ref="I63:K63"/>
    <mergeCell ref="A64:B64"/>
    <mergeCell ref="C64:D64"/>
    <mergeCell ref="E64:G64"/>
    <mergeCell ref="I64:K64"/>
    <mergeCell ref="A65:B65"/>
    <mergeCell ref="C65:D65"/>
    <mergeCell ref="E65:G65"/>
    <mergeCell ref="I65:K65"/>
    <mergeCell ref="C66:D66"/>
    <mergeCell ref="E66:G66"/>
    <mergeCell ref="I66:K66"/>
    <mergeCell ref="M58:U58"/>
    <mergeCell ref="V58:X58"/>
    <mergeCell ref="I59:K59"/>
    <mergeCell ref="E17:G17"/>
    <mergeCell ref="E18:G18"/>
    <mergeCell ref="E19:G19"/>
    <mergeCell ref="M57:U57"/>
    <mergeCell ref="V57:X57"/>
    <mergeCell ref="E31:G31"/>
    <mergeCell ref="M50:U50"/>
    <mergeCell ref="E32:G32"/>
    <mergeCell ref="E33:G33"/>
    <mergeCell ref="V50:X50"/>
    <mergeCell ref="A54:H54"/>
    <mergeCell ref="I54:K54"/>
    <mergeCell ref="A47:G47"/>
    <mergeCell ref="E26:G26"/>
    <mergeCell ref="E27:G27"/>
    <mergeCell ref="M48:U48"/>
    <mergeCell ref="V48:X48"/>
    <mergeCell ref="M49:U49"/>
    <mergeCell ref="V49:X49"/>
    <mergeCell ref="M55:U55"/>
    <mergeCell ref="V55:X55"/>
    <mergeCell ref="DA11:DE11"/>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AG11:AK11"/>
    <mergeCell ref="AA11:AE11"/>
    <mergeCell ref="R112:R115"/>
    <mergeCell ref="T112:T115"/>
    <mergeCell ref="FU11:FX11"/>
    <mergeCell ref="FY11:FZ11"/>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EE11:EH11"/>
    <mergeCell ref="EI11:EL11"/>
    <mergeCell ref="EM11:EP11"/>
    <mergeCell ref="EQ11:ET11"/>
    <mergeCell ref="EU11:EX11"/>
    <mergeCell ref="EY11:FB11"/>
  </mergeCells>
  <conditionalFormatting sqref="A14:H14 D15:H36 A15:C44 D37:E37 H37 D38:H44">
    <cfRule type="expression" dxfId="707" priority="107" stopIfTrue="1">
      <formula>OR($C14="Orlov")</formula>
    </cfRule>
    <cfRule type="expression" dxfId="706" priority="101">
      <formula>OR($C14="ekskursion")</formula>
    </cfRule>
    <cfRule type="expression" dxfId="705" priority="94">
      <formula>OR($C14="skema 2")</formula>
    </cfRule>
    <cfRule type="expression" dxfId="704" priority="95">
      <formula>OR($C14="Skema 3")</formula>
    </cfRule>
    <cfRule type="expression" dxfId="703" priority="96">
      <formula>OR($C14="Skema 4")</formula>
    </cfRule>
    <cfRule type="expression" dxfId="702" priority="97">
      <formula>OR($C14="Ikke relevant")</formula>
    </cfRule>
    <cfRule type="expression" dxfId="701" priority="98">
      <formula>OR($C14="pæd.dag")</formula>
    </cfRule>
    <cfRule type="expression" dxfId="700" priority="99">
      <formula>OR($C14="nul-dag")</formula>
    </cfRule>
    <cfRule type="expression" dxfId="699" priority="100">
      <formula>OR($C14="SH-dag")</formula>
    </cfRule>
    <cfRule type="expression" dxfId="698" priority="106">
      <formula>OR($C14="weekend")</formula>
    </cfRule>
    <cfRule type="expression" dxfId="697" priority="105">
      <formula>OR($C14="feriedag")</formula>
    </cfRule>
    <cfRule type="expression" dxfId="696" priority="104">
      <formula>OR($C14="fagdag")</formula>
    </cfRule>
    <cfRule type="expression" dxfId="695" priority="103">
      <formula>OR($C14="emnedag")</formula>
    </cfRule>
    <cfRule type="expression" dxfId="694" priority="93">
      <formula>OR($C14="Skema 1")</formula>
    </cfRule>
    <cfRule type="expression" dxfId="693" priority="102">
      <formula>OR($C14="lejrskole")</formula>
    </cfRule>
  </conditionalFormatting>
  <conditionalFormatting sqref="E25">
    <cfRule type="expression" dxfId="692" priority="114">
      <formula>OR($D24="fagdag")</formula>
    </cfRule>
    <cfRule type="expression" dxfId="691" priority="111">
      <formula>OR($D24="ekskursion")</formula>
    </cfRule>
    <cfRule type="expression" dxfId="690" priority="110">
      <formula>OR($D24="SH-dag")</formula>
    </cfRule>
    <cfRule type="expression" dxfId="689" priority="109">
      <formula>OR($D24="nul-dag")</formula>
    </cfRule>
    <cfRule type="expression" dxfId="688" priority="112">
      <formula>OR($D24="lejrskole")</formula>
    </cfRule>
    <cfRule type="expression" dxfId="687" priority="113">
      <formula>OR($D24="emnedag")</formula>
    </cfRule>
    <cfRule type="expression" dxfId="686" priority="115">
      <formula>OR($D24="feriedag")</formula>
    </cfRule>
    <cfRule type="expression" dxfId="685" priority="116">
      <formula>OR($D24="weekend")</formula>
    </cfRule>
    <cfRule type="expression" dxfId="684" priority="117" stopIfTrue="1">
      <formula>OR($D24="skoledag")</formula>
    </cfRule>
    <cfRule type="expression" dxfId="683" priority="118">
      <formula>OR($D24="Ikke relevant")</formula>
    </cfRule>
    <cfRule type="expression" dxfId="682" priority="108">
      <formula>OR($D24="pæd.dag")</formula>
    </cfRule>
  </conditionalFormatting>
  <conditionalFormatting sqref="H63:H66">
    <cfRule type="expression" dxfId="681" priority="46">
      <formula>OR($A63&gt;0,)</formula>
    </cfRule>
  </conditionalFormatting>
  <conditionalFormatting sqref="I63:I66">
    <cfRule type="expression" dxfId="680" priority="47">
      <formula>OR($C63&gt;0,)</formula>
    </cfRule>
  </conditionalFormatting>
  <conditionalFormatting sqref="K14:K44">
    <cfRule type="expression" dxfId="679" priority="90">
      <formula>OR($C14="Pæd.dag",)</formula>
    </cfRule>
  </conditionalFormatting>
  <conditionalFormatting sqref="K14:L44">
    <cfRule type="expression" dxfId="678" priority="92">
      <formula>OR($C14="Ekskursion",)</formula>
    </cfRule>
    <cfRule type="expression" dxfId="677" priority="91">
      <formula>OR($C14="Lejrskole",)</formula>
    </cfRule>
  </conditionalFormatting>
  <conditionalFormatting sqref="K14:M44">
    <cfRule type="expression" dxfId="676" priority="89">
      <formula>OR($C14="emnedag",)</formula>
    </cfRule>
    <cfRule type="expression" dxfId="675" priority="88">
      <formula>OR($C14="fagdag",)</formula>
    </cfRule>
  </conditionalFormatting>
  <conditionalFormatting sqref="R14:R44">
    <cfRule type="expression" dxfId="674" priority="119">
      <formula>OR($H14&gt;"0",)</formula>
    </cfRule>
  </conditionalFormatting>
  <conditionalFormatting sqref="V14:V44">
    <cfRule type="expression" dxfId="673" priority="55">
      <formula>OR($S14="X",)</formula>
    </cfRule>
  </conditionalFormatting>
  <conditionalFormatting sqref="V54:X57">
    <cfRule type="expression" dxfId="672" priority="48">
      <formula>OR($M54&gt;0,)</formula>
    </cfRule>
  </conditionalFormatting>
  <conditionalFormatting sqref="W14:W44">
    <cfRule type="expression" dxfId="671" priority="54">
      <formula>OR($T14="X",)</formula>
    </cfRule>
  </conditionalFormatting>
  <conditionalFormatting sqref="X14:X44">
    <cfRule type="expression" dxfId="670" priority="53">
      <formula>OR($U14="X",)</formula>
    </cfRule>
  </conditionalFormatting>
  <dataValidations count="1">
    <dataValidation type="list" allowBlank="1" showInputMessage="1" showErrorMessage="1" sqref="S14:T44 U14:U42 A63:D66" xr:uid="{097CEB81-1AE9-CD48-96FF-F462A837FEDB}">
      <formula1>$W$1:$W$2</formula1>
    </dataValidation>
  </dataValidations>
  <hyperlinks>
    <hyperlink ref="E4:F4" location="Arbejdstidsoversigt!A19" display="Arbejdstids-oversigt" xr:uid="{9622E358-ED70-C749-B1D7-047B8EEA430F}"/>
    <hyperlink ref="G4:H4" location="Opgørelse!B12" display="Opgørelse" xr:uid="{A65468E8-FE3F-9D46-88D9-8C2427F388A3}"/>
    <hyperlink ref="A5:B5" location="August!A12" display="August" xr:uid="{97DFBC1A-B0A8-B941-87B5-BE391A9BCBE0}"/>
    <hyperlink ref="C5:D5" location="September!A8" display="September" xr:uid="{148D8DC8-71B3-A14A-952E-9370A3AFB3CB}"/>
    <hyperlink ref="E5:F5" location="Oktober!A8" display="Oktober" xr:uid="{76E627FF-E082-F94D-B4EA-CC5056654209}"/>
    <hyperlink ref="G5:H5" location="November!A8" display="November" xr:uid="{665F8732-935B-B541-A164-2174F3159F14}"/>
    <hyperlink ref="A6:B6" location="December!A8" display="December" xr:uid="{C797D493-3C54-6740-A17A-C6F4E2EC4DB5}"/>
    <hyperlink ref="C6:D6" location="Januar!A8" display="Januar" xr:uid="{A6B2D264-CA07-524E-8769-8FCC4089088E}"/>
    <hyperlink ref="E6:F6" location="Februar!A8" display="Februar" xr:uid="{2C8B1A5D-4AAD-BB49-93D3-9BD2666D0184}"/>
    <hyperlink ref="A7:B7" location="April!A8" display="April" xr:uid="{56F64ABE-6288-FF4F-91F0-C88AD6248E6A}"/>
    <hyperlink ref="C7:D7" location="Maj!A8" display="Maj" xr:uid="{DD37F639-E750-8C40-81C5-7D5682558D8A}"/>
    <hyperlink ref="E7:F7" location="Juni!A8" display="Juni" xr:uid="{D9F18FCD-CBBB-D047-8902-4B0F6B446A85}"/>
    <hyperlink ref="G7:H7" location="Juli!A8" display="Juli" xr:uid="{9CDBD381-29BC-7447-A0FB-978CCE80F1C9}"/>
    <hyperlink ref="G6:H6" location="Marts!A8" display="Marts" xr:uid="{FED9740F-46F1-154C-9F12-E642A822F10A}"/>
    <hyperlink ref="I4:J4" location="Stamoplysninger!E18" display="Stamoplysninger" xr:uid="{79B828CC-1F5D-164C-AF06-AB1080178199}"/>
    <hyperlink ref="C4:D4" location="Opgaver!A8" display="Opgaver" xr:uid="{9BFEB855-C71B-014A-B4DB-AC6C3FEE6291}"/>
    <hyperlink ref="A4:B4" location="Skemaoplysninger!A20" display="Skemaoplysninger" xr:uid="{ECCE6104-83DB-9544-9336-09A54247CD90}"/>
  </hyperlinks>
  <pageMargins left="0.7" right="0.7" top="0.75" bottom="0.75" header="0.3" footer="0.3"/>
  <pageSetup paperSize="9" scale="59" orientation="landscape" horizontalDpi="0" verticalDpi="0"/>
  <drawing r:id="rId1"/>
  <legacyDrawing r:id="rId2"/>
  <extLst>
    <ext xmlns:x14="http://schemas.microsoft.com/office/spreadsheetml/2009/9/main" uri="{CCE6A557-97BC-4b89-ADB6-D9C93CAAB3DF}">
      <x14:dataValidations xmlns:xm="http://schemas.microsoft.com/office/excel/2006/main" count="1">
        <x14:dataValidation type="list" allowBlank="1" showInputMessage="1" xr:uid="{37EFE759-2E14-BE47-BE74-01C1CC11467F}">
          <x14:formula1>
            <xm:f>August!$A$94:$A$108</xm:f>
          </x14:formula1>
          <xm:sqref>C14:C44</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0D0C7-7579-5A40-B201-89777DB2E7FA}">
  <sheetPr>
    <tabColor theme="4" tint="-0.249977111117893"/>
    <pageSetUpPr fitToPage="1"/>
  </sheetPr>
  <dimension ref="A1:GP122"/>
  <sheetViews>
    <sheetView topLeftCell="A12" zoomScale="90" workbookViewId="0">
      <selection activeCell="E26" sqref="E26:G26"/>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5" width="10.83203125" hidden="1" customWidth="1"/>
    <col min="186" max="268"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38"/>
      <c r="Y1" s="240"/>
      <c r="Z1" s="87"/>
      <c r="AB1" s="87"/>
      <c r="AC1" s="87"/>
      <c r="AH1" s="87"/>
      <c r="AI1" s="87"/>
      <c r="CX1" s="242"/>
      <c r="CZ1"/>
    </row>
    <row r="2" spans="1:198" ht="20">
      <c r="A2" s="89">
        <v>1</v>
      </c>
      <c r="B2" s="1252"/>
      <c r="C2" s="1252"/>
      <c r="D2" s="1252"/>
      <c r="E2" s="1252"/>
      <c r="F2" s="87"/>
      <c r="G2" s="87"/>
      <c r="H2" s="273"/>
      <c r="I2" s="272"/>
      <c r="J2" s="225"/>
      <c r="K2" s="225"/>
      <c r="L2" s="225"/>
      <c r="M2" s="225"/>
      <c r="N2" s="225"/>
      <c r="O2" s="225"/>
      <c r="P2" s="87"/>
      <c r="Q2" s="87"/>
      <c r="R2" s="87"/>
      <c r="S2" s="87"/>
      <c r="T2" s="87"/>
      <c r="U2" s="87"/>
      <c r="V2" s="87"/>
      <c r="W2" s="120" t="s">
        <v>31</v>
      </c>
      <c r="X2" s="120" t="s">
        <v>31</v>
      </c>
      <c r="Y2"/>
      <c r="Z2" s="87"/>
      <c r="AB2" s="87"/>
      <c r="AC2" s="87"/>
      <c r="AH2" s="87"/>
      <c r="AI2" s="87"/>
      <c r="CX2" s="242"/>
      <c r="CZ2"/>
    </row>
    <row r="3" spans="1:198" ht="24" customHeight="1" thickBot="1">
      <c r="A3" s="864" t="s">
        <v>689</v>
      </c>
      <c r="B3" s="864"/>
      <c r="C3" s="864"/>
      <c r="D3" s="864"/>
      <c r="E3" s="864"/>
      <c r="F3" s="864"/>
      <c r="G3" s="864"/>
      <c r="H3" s="864"/>
      <c r="I3" s="723"/>
      <c r="J3" s="723"/>
      <c r="K3" s="723"/>
      <c r="L3" s="723"/>
      <c r="M3" s="723"/>
      <c r="N3" s="723"/>
      <c r="O3" s="723"/>
      <c r="P3" s="723"/>
      <c r="Q3" s="723"/>
      <c r="R3" s="723"/>
      <c r="S3" s="723"/>
      <c r="T3" s="723"/>
      <c r="Y3"/>
      <c r="Z3"/>
      <c r="AP3" s="38"/>
      <c r="CY3"/>
      <c r="CZ3"/>
    </row>
    <row r="4" spans="1:198" ht="50" customHeight="1" thickBot="1">
      <c r="A4" s="1226" t="s">
        <v>691</v>
      </c>
      <c r="B4" s="1227"/>
      <c r="C4" s="867" t="s">
        <v>495</v>
      </c>
      <c r="D4" s="868"/>
      <c r="E4" s="869" t="s">
        <v>688</v>
      </c>
      <c r="F4" s="870"/>
      <c r="G4" s="965" t="s">
        <v>367</v>
      </c>
      <c r="H4" s="966"/>
      <c r="I4" s="871" t="s">
        <v>687</v>
      </c>
      <c r="J4" s="1018"/>
      <c r="K4" s="628"/>
      <c r="Y4"/>
      <c r="Z4"/>
      <c r="CY4"/>
      <c r="CZ4"/>
    </row>
    <row r="5" spans="1:198" ht="50" customHeight="1" thickBot="1">
      <c r="A5" s="873" t="s">
        <v>231</v>
      </c>
      <c r="B5" s="873"/>
      <c r="C5" s="1228" t="s">
        <v>233</v>
      </c>
      <c r="D5" s="1228"/>
      <c r="E5" s="873" t="s">
        <v>234</v>
      </c>
      <c r="F5" s="873"/>
      <c r="G5" s="873" t="s">
        <v>235</v>
      </c>
      <c r="H5" s="873"/>
      <c r="Y5"/>
      <c r="Z5"/>
      <c r="CY5"/>
      <c r="CZ5"/>
    </row>
    <row r="6" spans="1:198" ht="50" customHeight="1" thickBot="1">
      <c r="A6" s="873" t="s">
        <v>279</v>
      </c>
      <c r="B6" s="873"/>
      <c r="C6" s="873" t="s">
        <v>280</v>
      </c>
      <c r="D6" s="873"/>
      <c r="E6" s="873" t="s">
        <v>281</v>
      </c>
      <c r="F6" s="873"/>
      <c r="G6" s="873" t="s">
        <v>282</v>
      </c>
      <c r="H6" s="873"/>
      <c r="Y6"/>
      <c r="Z6"/>
      <c r="CY6"/>
      <c r="CZ6"/>
    </row>
    <row r="7" spans="1:198" ht="50" customHeight="1" thickBot="1">
      <c r="A7" s="873" t="s">
        <v>283</v>
      </c>
      <c r="B7" s="873"/>
      <c r="C7" s="873" t="s">
        <v>284</v>
      </c>
      <c r="D7" s="873"/>
      <c r="E7" s="873" t="s">
        <v>285</v>
      </c>
      <c r="F7" s="873"/>
      <c r="G7" s="873" t="s">
        <v>286</v>
      </c>
      <c r="H7" s="873"/>
      <c r="Y7"/>
      <c r="Z7"/>
      <c r="CY7"/>
      <c r="CZ7"/>
    </row>
    <row r="8" spans="1:198" ht="17" thickBot="1">
      <c r="A8" s="1273" t="s">
        <v>306</v>
      </c>
      <c r="B8" s="1274"/>
      <c r="C8" s="1274"/>
      <c r="D8" s="1274"/>
      <c r="E8" s="1274"/>
      <c r="F8" s="1274"/>
      <c r="G8" s="1274"/>
      <c r="H8" s="1274"/>
      <c r="I8" s="1274"/>
      <c r="J8" s="1274"/>
      <c r="K8" s="1274"/>
      <c r="L8" s="1274"/>
      <c r="M8" s="1274"/>
      <c r="N8" s="1274"/>
      <c r="O8" s="1274"/>
      <c r="P8" s="1274"/>
      <c r="Q8" s="1274"/>
      <c r="R8" s="1274"/>
      <c r="S8" s="1274"/>
      <c r="T8" s="1274"/>
      <c r="U8" s="1274"/>
      <c r="V8" s="1274"/>
      <c r="W8" s="1274"/>
      <c r="X8" s="1275"/>
      <c r="Y8" s="87"/>
      <c r="Z8"/>
      <c r="AC8" s="87"/>
      <c r="AD8" s="87"/>
      <c r="AF8" s="87"/>
      <c r="CT8" s="242"/>
      <c r="CU8" s="242"/>
      <c r="CY8"/>
      <c r="CZ8"/>
      <c r="FI8" s="1179" t="s">
        <v>584</v>
      </c>
      <c r="FJ8" s="1180"/>
      <c r="FK8" s="1180"/>
      <c r="FL8" s="1180"/>
      <c r="FM8" s="1180"/>
      <c r="FN8" s="1180"/>
      <c r="FO8" s="1180"/>
      <c r="FP8" s="1180"/>
      <c r="FQ8" s="1180"/>
      <c r="FR8" s="1180"/>
      <c r="FS8" s="1180"/>
      <c r="FT8" s="1180"/>
      <c r="FU8" s="1180"/>
      <c r="FV8" s="1180"/>
      <c r="FW8" s="1180"/>
      <c r="FX8" s="1180"/>
      <c r="FY8" s="1180"/>
      <c r="FZ8" s="1180"/>
      <c r="GA8" s="1180"/>
      <c r="GB8" s="1180"/>
      <c r="GC8" s="1181"/>
    </row>
    <row r="9" spans="1:198" ht="254" customHeight="1" thickBot="1">
      <c r="A9" s="1066" t="s">
        <v>421</v>
      </c>
      <c r="B9" s="1067"/>
      <c r="C9" s="1067"/>
      <c r="D9" s="1067"/>
      <c r="E9" s="1068" t="s">
        <v>307</v>
      </c>
      <c r="F9" s="1068"/>
      <c r="G9" s="1068"/>
      <c r="H9" s="274" t="s">
        <v>404</v>
      </c>
      <c r="I9" s="425"/>
      <c r="J9" s="425"/>
      <c r="K9" s="1078" t="s">
        <v>496</v>
      </c>
      <c r="L9" s="1078"/>
      <c r="M9" s="471" t="s">
        <v>444</v>
      </c>
      <c r="N9" s="471" t="s">
        <v>422</v>
      </c>
      <c r="O9" s="471" t="s">
        <v>423</v>
      </c>
      <c r="P9" s="472" t="s">
        <v>445</v>
      </c>
      <c r="Q9" s="472" t="s">
        <v>305</v>
      </c>
      <c r="R9" s="472" t="s">
        <v>424</v>
      </c>
      <c r="S9" s="473" t="s">
        <v>451</v>
      </c>
      <c r="T9" s="473" t="s">
        <v>425</v>
      </c>
      <c r="U9" s="473" t="s">
        <v>426</v>
      </c>
      <c r="V9" s="474" t="s">
        <v>446</v>
      </c>
      <c r="W9" s="474" t="s">
        <v>393</v>
      </c>
      <c r="X9" s="475" t="s">
        <v>392</v>
      </c>
      <c r="Y9" s="240"/>
      <c r="Z9" s="87"/>
      <c r="AB9" s="87"/>
      <c r="AC9" s="87"/>
      <c r="AH9" s="87"/>
      <c r="AI9" s="87"/>
      <c r="CX9" s="242"/>
      <c r="CZ9"/>
      <c r="FI9" s="837" t="s">
        <v>582</v>
      </c>
      <c r="FJ9" s="837"/>
      <c r="FK9" s="837"/>
      <c r="FL9" s="837"/>
      <c r="FM9" t="s">
        <v>575</v>
      </c>
      <c r="FO9" s="837" t="s">
        <v>581</v>
      </c>
      <c r="FP9" s="837"/>
      <c r="FQ9" s="837"/>
      <c r="FR9" s="837"/>
    </row>
    <row r="10" spans="1:198" ht="26" customHeight="1" thickBot="1">
      <c r="A10" s="1194" t="str">
        <f>""&amp;A12&amp;" måneds kalender for: "&amp;Stamoplysninger!E13&amp;". Måneden vedr. normperioden: "&amp;Stamoplysninger!E16&amp;" - "&amp;Stamoplysninger!G16&amp;"."</f>
        <v>Januar måneds kalender for: Beate Simonsen. Måneden vedr. normperioden:  - .</v>
      </c>
      <c r="B10" s="1195"/>
      <c r="C10" s="1195"/>
      <c r="D10" s="1195"/>
      <c r="E10" s="1195"/>
      <c r="F10" s="1195"/>
      <c r="G10" s="1195"/>
      <c r="H10" s="1195"/>
      <c r="I10" s="1195"/>
      <c r="J10" s="1195"/>
      <c r="K10" s="1195"/>
      <c r="L10" s="1195"/>
      <c r="M10" s="1195"/>
      <c r="N10" s="1195"/>
      <c r="O10" s="1195"/>
      <c r="P10" s="1195"/>
      <c r="Q10" s="1195"/>
      <c r="R10" s="1196"/>
      <c r="S10" s="1073" t="s">
        <v>302</v>
      </c>
      <c r="T10" s="1074"/>
      <c r="U10" s="1074"/>
      <c r="V10" s="1074"/>
      <c r="W10" s="1074"/>
      <c r="X10" s="1075"/>
      <c r="Y10" s="240"/>
      <c r="Z10" s="87"/>
      <c r="AB10" s="87"/>
      <c r="AC10" s="87"/>
      <c r="AH10" s="87"/>
      <c r="AI10" s="87"/>
      <c r="CX10" s="242"/>
      <c r="CZ10"/>
      <c r="DV10" t="s">
        <v>665</v>
      </c>
      <c r="ED10" t="s">
        <v>665</v>
      </c>
      <c r="FC10" s="1208" t="s">
        <v>654</v>
      </c>
      <c r="FD10" s="1208"/>
      <c r="FE10" s="1208"/>
      <c r="FF10" s="1208"/>
      <c r="FG10" s="1208" t="s">
        <v>654</v>
      </c>
      <c r="FH10" s="1208"/>
      <c r="FI10" s="1208"/>
      <c r="FJ10" s="1208"/>
      <c r="FK10" s="1182" t="s">
        <v>569</v>
      </c>
      <c r="FL10" s="1182"/>
      <c r="FM10" s="1182"/>
      <c r="FN10" s="1182"/>
      <c r="FO10" s="1182"/>
      <c r="FP10" s="1182"/>
      <c r="FQ10" s="1182"/>
      <c r="FR10" s="1182"/>
      <c r="FS10" s="1182"/>
      <c r="FT10" s="1182"/>
      <c r="FU10" s="1182"/>
      <c r="FV10" s="1182"/>
      <c r="FW10" s="1182"/>
      <c r="FX10" s="1182"/>
      <c r="GA10" t="s">
        <v>583</v>
      </c>
      <c r="GB10" t="s">
        <v>576</v>
      </c>
      <c r="GD10" t="s">
        <v>577</v>
      </c>
      <c r="GF10" t="s">
        <v>578</v>
      </c>
      <c r="GH10" s="511" t="s">
        <v>579</v>
      </c>
    </row>
    <row r="11" spans="1:198" ht="47" customHeight="1">
      <c r="A11" s="320">
        <v>2027</v>
      </c>
      <c r="B11" s="236"/>
      <c r="C11" s="237"/>
      <c r="D11" s="238"/>
      <c r="E11" s="1199" t="s">
        <v>455</v>
      </c>
      <c r="F11" s="1200"/>
      <c r="G11" s="1201"/>
      <c r="H11" s="317" t="s">
        <v>674</v>
      </c>
      <c r="I11" s="1031" t="s">
        <v>452</v>
      </c>
      <c r="J11" s="1032" t="s">
        <v>470</v>
      </c>
      <c r="K11" s="1197" t="s">
        <v>299</v>
      </c>
      <c r="L11" s="1198"/>
      <c r="M11" s="318" t="s">
        <v>300</v>
      </c>
      <c r="N11" s="1047" t="s">
        <v>435</v>
      </c>
      <c r="O11" s="1047" t="s">
        <v>304</v>
      </c>
      <c r="P11" s="1047" t="s">
        <v>443</v>
      </c>
      <c r="Q11" s="1047" t="s">
        <v>381</v>
      </c>
      <c r="R11" s="1215" t="s">
        <v>497</v>
      </c>
      <c r="S11" s="1223" t="s">
        <v>301</v>
      </c>
      <c r="T11" s="1224"/>
      <c r="U11" s="1224"/>
      <c r="V11" s="1224"/>
      <c r="W11" s="1224"/>
      <c r="X11" s="1225"/>
      <c r="Y11" s="209"/>
      <c r="Z11" s="209"/>
      <c r="AA11" s="1049" t="s">
        <v>258</v>
      </c>
      <c r="AB11" s="1049"/>
      <c r="AC11" s="1049"/>
      <c r="AD11" s="1049"/>
      <c r="AE11" s="1049"/>
      <c r="AF11" s="206"/>
      <c r="AG11" s="1049" t="s">
        <v>219</v>
      </c>
      <c r="AH11" s="1049"/>
      <c r="AI11" s="1049"/>
      <c r="AJ11" s="1049"/>
      <c r="AK11" s="1049"/>
      <c r="AL11" s="1049" t="s">
        <v>220</v>
      </c>
      <c r="AM11" s="1049"/>
      <c r="AN11" s="1049"/>
      <c r="AO11" s="1049"/>
      <c r="AP11" s="1049"/>
      <c r="AQ11" s="1049" t="s">
        <v>221</v>
      </c>
      <c r="AR11" s="1049"/>
      <c r="AS11" s="1049"/>
      <c r="AT11" s="1049"/>
      <c r="AU11" s="1049"/>
      <c r="AV11" s="1049" t="s">
        <v>222</v>
      </c>
      <c r="AW11" s="1049"/>
      <c r="AX11" s="1049"/>
      <c r="AY11" s="1049"/>
      <c r="AZ11" s="1049"/>
      <c r="BA11" s="293"/>
      <c r="BB11" s="206"/>
      <c r="BC11" s="1049" t="s">
        <v>261</v>
      </c>
      <c r="BD11" s="1049"/>
      <c r="BE11" s="1049"/>
      <c r="BF11" s="1049"/>
      <c r="BG11" s="1049" t="s">
        <v>224</v>
      </c>
      <c r="BH11" s="1049"/>
      <c r="BI11" s="1049"/>
      <c r="BJ11" s="1049"/>
      <c r="BK11" s="1049"/>
      <c r="BL11" s="1049" t="s">
        <v>225</v>
      </c>
      <c r="BM11" s="1049"/>
      <c r="BN11" s="1049"/>
      <c r="BO11" s="1049"/>
      <c r="BP11" s="1049"/>
      <c r="BQ11" s="1049" t="s">
        <v>226</v>
      </c>
      <c r="BR11" s="1049"/>
      <c r="BS11" s="1049"/>
      <c r="BT11" s="1049"/>
      <c r="BU11" s="1049"/>
      <c r="BV11" s="1049" t="s">
        <v>227</v>
      </c>
      <c r="BW11" s="1049"/>
      <c r="BX11" s="1049"/>
      <c r="BY11" s="1049"/>
      <c r="BZ11" s="1049"/>
      <c r="CD11" s="1049" t="s">
        <v>262</v>
      </c>
      <c r="CE11" s="1049"/>
      <c r="CF11" s="1049"/>
      <c r="CG11" s="1049"/>
      <c r="CH11" s="1049"/>
      <c r="CI11" s="1049" t="s">
        <v>264</v>
      </c>
      <c r="CJ11" s="1049"/>
      <c r="CK11" s="1049"/>
      <c r="CL11" s="1049"/>
      <c r="CM11" s="1049"/>
      <c r="CN11" s="1049" t="s">
        <v>263</v>
      </c>
      <c r="CO11" s="1049"/>
      <c r="CP11" s="1049"/>
      <c r="CQ11" s="1049"/>
      <c r="CR11" s="1049"/>
      <c r="CS11" s="1049" t="s">
        <v>265</v>
      </c>
      <c r="CT11" s="1049"/>
      <c r="CU11" s="1049"/>
      <c r="CV11" s="1049"/>
      <c r="CW11" s="1049"/>
      <c r="CX11" s="242"/>
      <c r="CZ11"/>
      <c r="DA11" s="837" t="s">
        <v>209</v>
      </c>
      <c r="DB11" s="837"/>
      <c r="DC11" s="837"/>
      <c r="DD11" s="837"/>
      <c r="DE11" s="837"/>
      <c r="DO11" s="1217" t="s">
        <v>315</v>
      </c>
      <c r="DP11" s="1218"/>
      <c r="DQ11" s="1218"/>
      <c r="DR11" s="1218"/>
      <c r="DS11" s="1218"/>
      <c r="DT11" s="1218"/>
      <c r="DU11" s="1218"/>
      <c r="DV11" s="1219"/>
      <c r="DW11" s="1220" t="s">
        <v>370</v>
      </c>
      <c r="DX11" s="1221"/>
      <c r="DY11" s="1221"/>
      <c r="DZ11" s="1221"/>
      <c r="EA11" s="1221"/>
      <c r="EB11" s="1221"/>
      <c r="EC11" s="1221"/>
      <c r="ED11" s="1222"/>
      <c r="EE11" s="1212" t="s">
        <v>316</v>
      </c>
      <c r="EF11" s="1213"/>
      <c r="EG11" s="1213"/>
      <c r="EH11" s="1214"/>
      <c r="EI11" s="1209" t="s">
        <v>655</v>
      </c>
      <c r="EJ11" s="1210"/>
      <c r="EK11" s="1210"/>
      <c r="EL11" s="1211"/>
      <c r="EM11" s="1212" t="s">
        <v>319</v>
      </c>
      <c r="EN11" s="1213"/>
      <c r="EO11" s="1213"/>
      <c r="EP11" s="1214"/>
      <c r="EQ11" s="1212" t="s">
        <v>319</v>
      </c>
      <c r="ER11" s="1213"/>
      <c r="ES11" s="1213"/>
      <c r="ET11" s="1214"/>
      <c r="EU11" s="1042" t="s">
        <v>373</v>
      </c>
      <c r="EV11" s="1043"/>
      <c r="EW11" s="1043"/>
      <c r="EX11" s="1044"/>
      <c r="EY11" s="1042" t="s">
        <v>374</v>
      </c>
      <c r="EZ11" s="1043"/>
      <c r="FA11" s="1043"/>
      <c r="FB11" s="1044"/>
      <c r="FC11" s="1042" t="s">
        <v>375</v>
      </c>
      <c r="FD11" s="1043"/>
      <c r="FE11" s="1043"/>
      <c r="FF11" s="1044"/>
      <c r="FG11" s="1042" t="s">
        <v>376</v>
      </c>
      <c r="FH11" s="1043"/>
      <c r="FI11" s="1043"/>
      <c r="FJ11" s="1044"/>
      <c r="FK11" s="1172" t="s">
        <v>658</v>
      </c>
      <c r="FL11" s="1173"/>
      <c r="FM11" s="1173"/>
      <c r="FN11" s="1174"/>
      <c r="FO11" s="1027" t="s">
        <v>659</v>
      </c>
      <c r="FP11" s="1028"/>
      <c r="FQ11" s="1028"/>
      <c r="FR11" s="1029"/>
      <c r="FS11" s="1183" t="s">
        <v>375</v>
      </c>
      <c r="FT11" s="1183"/>
      <c r="FU11" s="1172" t="s">
        <v>580</v>
      </c>
      <c r="FV11" s="1173"/>
      <c r="FW11" s="1173"/>
      <c r="FX11" s="1184"/>
      <c r="FY11" s="1185" t="s">
        <v>571</v>
      </c>
      <c r="FZ11" s="1186"/>
      <c r="GA11" t="s">
        <v>573</v>
      </c>
      <c r="GB11" s="1183" t="s">
        <v>373</v>
      </c>
      <c r="GC11" s="1183"/>
      <c r="GD11" s="1183" t="s">
        <v>374</v>
      </c>
      <c r="GE11" s="1183"/>
      <c r="GF11" s="1183" t="s">
        <v>376</v>
      </c>
      <c r="GG11" s="1183"/>
      <c r="GH11" s="1183" t="s">
        <v>372</v>
      </c>
      <c r="GI11" s="1183"/>
      <c r="GP11" s="109" t="s">
        <v>663</v>
      </c>
    </row>
    <row r="12" spans="1:198" ht="182" customHeight="1">
      <c r="A12" s="1187" t="s">
        <v>280</v>
      </c>
      <c r="B12" s="1188"/>
      <c r="C12" s="1188"/>
      <c r="D12" s="1189"/>
      <c r="E12" s="1202"/>
      <c r="F12" s="1203"/>
      <c r="G12" s="1204"/>
      <c r="H12" s="1193" t="s">
        <v>668</v>
      </c>
      <c r="I12" s="1031"/>
      <c r="J12" s="1032"/>
      <c r="K12" s="319" t="s">
        <v>498</v>
      </c>
      <c r="L12" s="319" t="s">
        <v>499</v>
      </c>
      <c r="M12" s="319" t="s">
        <v>500</v>
      </c>
      <c r="N12" s="1048"/>
      <c r="O12" s="1048"/>
      <c r="P12" s="1048"/>
      <c r="Q12" s="1048"/>
      <c r="R12" s="1216"/>
      <c r="S12" s="477" t="s">
        <v>669</v>
      </c>
      <c r="T12" s="318" t="s">
        <v>303</v>
      </c>
      <c r="U12" s="318" t="s">
        <v>672</v>
      </c>
      <c r="V12" s="430" t="s">
        <v>428</v>
      </c>
      <c r="W12" s="430" t="s">
        <v>427</v>
      </c>
      <c r="X12" s="431" t="s">
        <v>673</v>
      </c>
      <c r="Y12" s="209" t="s">
        <v>276</v>
      </c>
      <c r="Z12" s="209" t="s">
        <v>277</v>
      </c>
      <c r="AA12" s="294" t="s">
        <v>208</v>
      </c>
      <c r="AB12" t="s">
        <v>134</v>
      </c>
      <c r="AC12" t="s">
        <v>137</v>
      </c>
      <c r="AD12" t="s">
        <v>136</v>
      </c>
      <c r="AE12" t="s">
        <v>135</v>
      </c>
      <c r="AF12" t="s">
        <v>406</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223</v>
      </c>
      <c r="BB12" s="223" t="s">
        <v>210</v>
      </c>
      <c r="BC12" t="s">
        <v>260</v>
      </c>
      <c r="BD12" t="s">
        <v>259</v>
      </c>
      <c r="BE12" t="s">
        <v>245</v>
      </c>
      <c r="BF12" t="s">
        <v>246</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228</v>
      </c>
      <c r="CB12" s="228" t="s">
        <v>248</v>
      </c>
      <c r="CC12" s="294" t="s">
        <v>249</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274</v>
      </c>
      <c r="CY12" s="242" t="s">
        <v>266</v>
      </c>
      <c r="CZ12" s="242" t="s">
        <v>267</v>
      </c>
      <c r="DA12" s="242" t="s">
        <v>268</v>
      </c>
      <c r="DB12" s="242" t="s">
        <v>269</v>
      </c>
      <c r="DC12" s="242" t="s">
        <v>270</v>
      </c>
      <c r="DD12" s="242" t="s">
        <v>271</v>
      </c>
      <c r="DE12" s="242" t="s">
        <v>272</v>
      </c>
      <c r="DF12" s="242" t="s">
        <v>273</v>
      </c>
      <c r="DG12" s="242"/>
      <c r="DO12" s="626" t="s">
        <v>642</v>
      </c>
      <c r="DP12" s="294" t="s">
        <v>643</v>
      </c>
      <c r="DQ12" s="677" t="s">
        <v>644</v>
      </c>
      <c r="DR12" s="677" t="s">
        <v>645</v>
      </c>
      <c r="DS12" s="627" t="s">
        <v>670</v>
      </c>
      <c r="DT12" s="627" t="str">
        <f>DP12</f>
        <v>Ulempetillæg på weekenddage - kræver der er sat kryds i weekendarbejde. KOLONNE I. Minus ved lejrskole.</v>
      </c>
      <c r="DU12" s="679" t="s">
        <v>600</v>
      </c>
      <c r="DV12" s="678" t="str">
        <f>DR12</f>
        <v>Ulempetillæg ændringer på weekenddage. Kræver der er sat kryds i ændring i timetal og at det er en weekeend. KOLONNE I OG S. Minus lejrskole</v>
      </c>
      <c r="DW12" s="680" t="s">
        <v>646</v>
      </c>
      <c r="DX12" s="677" t="s">
        <v>647</v>
      </c>
      <c r="DY12" s="677" t="s">
        <v>648</v>
      </c>
      <c r="DZ12" s="677" t="s">
        <v>649</v>
      </c>
      <c r="EA12" s="627" t="s">
        <v>599</v>
      </c>
      <c r="EB12" s="679" t="str">
        <f>DX12</f>
        <v>Ulempetillæg på weekenddage til afspadsering. Kræver der er sat kryds i weekendarb. KOLONNE I. Minus ved lejrskole.</v>
      </c>
      <c r="EC12" s="679" t="s">
        <v>600</v>
      </c>
      <c r="ED12" s="678" t="str">
        <f>DZ12</f>
        <v>Ulempetillæg ændringer på weekenddage. Kræver der er sat kryds i ændring i timetal og at det er en weekeend. KOLONNE I OG S. Minus lejrskole</v>
      </c>
      <c r="EE12" s="632" t="s">
        <v>650</v>
      </c>
      <c r="EF12" s="630" t="s">
        <v>601</v>
      </c>
      <c r="EG12" s="631" t="s">
        <v>604</v>
      </c>
      <c r="EH12" s="633" t="s">
        <v>603</v>
      </c>
      <c r="EI12" s="715" t="s">
        <v>656</v>
      </c>
      <c r="EJ12" s="719" t="s">
        <v>660</v>
      </c>
      <c r="EK12" s="631" t="s">
        <v>604</v>
      </c>
      <c r="EL12" s="633" t="s">
        <v>603</v>
      </c>
      <c r="EM12" s="632" t="s">
        <v>650</v>
      </c>
      <c r="EN12" s="630" t="s">
        <v>653</v>
      </c>
      <c r="EO12" s="631" t="s">
        <v>604</v>
      </c>
      <c r="EP12" s="633" t="s">
        <v>603</v>
      </c>
      <c r="EQ12" s="715" t="s">
        <v>657</v>
      </c>
      <c r="ER12" s="719" t="s">
        <v>661</v>
      </c>
      <c r="ES12" s="631" t="s">
        <v>604</v>
      </c>
      <c r="ET12" s="633" t="s">
        <v>603</v>
      </c>
      <c r="EU12" s="632" t="s">
        <v>651</v>
      </c>
      <c r="EV12" s="630" t="s">
        <v>652</v>
      </c>
      <c r="EW12" s="631" t="s">
        <v>602</v>
      </c>
      <c r="EX12" s="633" t="s">
        <v>606</v>
      </c>
      <c r="EY12" s="632" t="s">
        <v>651</v>
      </c>
      <c r="EZ12" s="630" t="s">
        <v>652</v>
      </c>
      <c r="FA12" s="631" t="s">
        <v>602</v>
      </c>
      <c r="FB12" s="633" t="s">
        <v>606</v>
      </c>
      <c r="FC12" s="632" t="s">
        <v>607</v>
      </c>
      <c r="FD12" s="630" t="s">
        <v>605</v>
      </c>
      <c r="FE12" s="631" t="s">
        <v>602</v>
      </c>
      <c r="FF12" s="633" t="s">
        <v>606</v>
      </c>
      <c r="FG12" s="632" t="str">
        <f>FC12</f>
        <v>Weekendtimer på weekenddage</v>
      </c>
      <c r="FH12" s="630" t="s">
        <v>605</v>
      </c>
      <c r="FI12" s="631" t="s">
        <v>602</v>
      </c>
      <c r="FJ12" s="633" t="s">
        <v>606</v>
      </c>
      <c r="FK12" s="658" t="s">
        <v>568</v>
      </c>
      <c r="FL12" s="630" t="s">
        <v>550</v>
      </c>
      <c r="FM12" s="658" t="s">
        <v>568</v>
      </c>
      <c r="FN12" s="633" t="s">
        <v>550</v>
      </c>
      <c r="FO12" s="715" t="s">
        <v>568</v>
      </c>
      <c r="FP12" s="630" t="s">
        <v>550</v>
      </c>
      <c r="FQ12" s="658" t="s">
        <v>568</v>
      </c>
      <c r="FR12" s="633" t="s">
        <v>550</v>
      </c>
      <c r="FS12" s="659" t="s">
        <v>563</v>
      </c>
      <c r="FT12" s="660" t="s">
        <v>564</v>
      </c>
      <c r="FU12" s="658" t="s">
        <v>549</v>
      </c>
      <c r="FV12" s="630" t="s">
        <v>550</v>
      </c>
      <c r="FW12" s="662" t="s">
        <v>549</v>
      </c>
      <c r="FX12" s="663" t="s">
        <v>550</v>
      </c>
      <c r="FY12" s="667" t="s">
        <v>570</v>
      </c>
      <c r="FZ12" s="660" t="s">
        <v>570</v>
      </c>
      <c r="GA12" s="294" t="s">
        <v>572</v>
      </c>
      <c r="GB12" s="659" t="s">
        <v>574</v>
      </c>
      <c r="GC12" s="659" t="s">
        <v>574</v>
      </c>
      <c r="GD12" s="659" t="s">
        <v>574</v>
      </c>
      <c r="GE12" s="659" t="s">
        <v>574</v>
      </c>
      <c r="GF12" s="659" t="s">
        <v>565</v>
      </c>
      <c r="GG12" s="660" t="s">
        <v>566</v>
      </c>
      <c r="GH12" s="659" t="s">
        <v>565</v>
      </c>
      <c r="GI12" s="660" t="s">
        <v>566</v>
      </c>
      <c r="GJ12" s="712" t="s">
        <v>635</v>
      </c>
      <c r="GK12" s="712" t="s">
        <v>636</v>
      </c>
      <c r="GL12" s="712" t="s">
        <v>637</v>
      </c>
      <c r="GM12" s="712" t="s">
        <v>638</v>
      </c>
      <c r="GN12" s="712" t="s">
        <v>640</v>
      </c>
      <c r="GO12" s="712" t="s">
        <v>639</v>
      </c>
      <c r="GP12" s="722" t="s">
        <v>662</v>
      </c>
    </row>
    <row r="13" spans="1:198" ht="20" customHeight="1">
      <c r="A13" s="1190"/>
      <c r="B13" s="1191"/>
      <c r="C13" s="1191"/>
      <c r="D13" s="1192"/>
      <c r="E13" s="1205"/>
      <c r="F13" s="1206"/>
      <c r="G13" s="1207"/>
      <c r="H13" s="1048"/>
      <c r="I13" s="1031"/>
      <c r="J13" s="1032"/>
      <c r="K13" s="1076" t="s">
        <v>320</v>
      </c>
      <c r="L13" s="1058"/>
      <c r="M13" s="1058"/>
      <c r="N13" s="1058"/>
      <c r="O13" s="1058"/>
      <c r="P13" s="1058"/>
      <c r="Q13" s="1058"/>
      <c r="R13" s="1077"/>
      <c r="S13" s="1057" t="s">
        <v>377</v>
      </c>
      <c r="T13" s="1058"/>
      <c r="U13" s="1059"/>
      <c r="V13" s="1076" t="s">
        <v>378</v>
      </c>
      <c r="W13" s="1058"/>
      <c r="X13" s="1077"/>
      <c r="Y13" s="209"/>
      <c r="Z13" s="209"/>
      <c r="AA13" s="294"/>
      <c r="BB13" s="223"/>
      <c r="CA13" s="109"/>
      <c r="CB13" s="228"/>
      <c r="CC13" s="294"/>
      <c r="CX13" s="242"/>
      <c r="DA13" s="242"/>
      <c r="DB13" s="242"/>
      <c r="DC13" s="242"/>
      <c r="DD13" s="242"/>
      <c r="DE13" s="242"/>
      <c r="DF13" s="242"/>
      <c r="DG13" s="242"/>
      <c r="DH13" t="s">
        <v>476</v>
      </c>
      <c r="DI13" t="s">
        <v>477</v>
      </c>
      <c r="DJ13" t="s">
        <v>478</v>
      </c>
      <c r="DO13" s="628"/>
      <c r="DP13" s="714" t="s">
        <v>641</v>
      </c>
      <c r="DS13" s="1176" t="s">
        <v>160</v>
      </c>
      <c r="DT13" s="1176"/>
      <c r="DU13" s="1176"/>
      <c r="DV13" s="1177"/>
      <c r="EA13" s="1178" t="s">
        <v>160</v>
      </c>
      <c r="EB13" s="1178"/>
      <c r="EC13" s="1178"/>
      <c r="ED13" s="629"/>
      <c r="EE13" s="277"/>
      <c r="EF13" s="245"/>
      <c r="EG13" s="1045" t="s">
        <v>160</v>
      </c>
      <c r="EH13" s="1046"/>
      <c r="EI13" s="277"/>
      <c r="EJ13" s="245"/>
      <c r="EK13" s="1045" t="s">
        <v>160</v>
      </c>
      <c r="EL13" s="1046"/>
      <c r="EM13" s="277"/>
      <c r="EN13" s="245"/>
      <c r="EO13" s="1045" t="s">
        <v>160</v>
      </c>
      <c r="EP13" s="1046"/>
      <c r="EQ13" s="277"/>
      <c r="ER13" s="245"/>
      <c r="ES13" s="1045" t="s">
        <v>160</v>
      </c>
      <c r="ET13" s="1046"/>
      <c r="EU13" s="277"/>
      <c r="EV13" s="245"/>
      <c r="EW13" s="1045" t="s">
        <v>160</v>
      </c>
      <c r="EX13" s="1046"/>
      <c r="EY13" s="277"/>
      <c r="EZ13" s="245"/>
      <c r="FA13" s="1045" t="s">
        <v>160</v>
      </c>
      <c r="FB13" s="1046"/>
      <c r="FC13" s="277"/>
      <c r="FD13" s="245"/>
      <c r="FE13" s="1045" t="s">
        <v>160</v>
      </c>
      <c r="FF13" s="1046"/>
      <c r="FG13" s="277"/>
      <c r="FH13" s="245"/>
      <c r="FI13" s="1045" t="s">
        <v>160</v>
      </c>
      <c r="FJ13" s="1046"/>
      <c r="FK13" s="277"/>
      <c r="FL13" s="245"/>
      <c r="FM13" s="1045" t="s">
        <v>160</v>
      </c>
      <c r="FN13" s="1046"/>
      <c r="FO13" s="277"/>
      <c r="FP13" s="245"/>
      <c r="FQ13" s="1045" t="s">
        <v>160</v>
      </c>
      <c r="FR13" s="1046"/>
      <c r="FT13" s="622" t="s">
        <v>158</v>
      </c>
      <c r="FU13" s="277"/>
      <c r="FV13" s="245"/>
      <c r="FW13" s="1045" t="s">
        <v>160</v>
      </c>
      <c r="FX13" s="1175"/>
      <c r="FY13" s="277"/>
      <c r="FZ13" s="668" t="s">
        <v>158</v>
      </c>
      <c r="GC13" s="622" t="s">
        <v>158</v>
      </c>
      <c r="GE13" s="622" t="s">
        <v>158</v>
      </c>
      <c r="GG13" s="622" t="s">
        <v>158</v>
      </c>
      <c r="GI13" s="622" t="s">
        <v>158</v>
      </c>
    </row>
    <row r="14" spans="1:198">
      <c r="A14" s="239">
        <f>IF(ISNUMBER(A12),A12+1,1)</f>
        <v>1</v>
      </c>
      <c r="B14" s="125" t="str">
        <f t="shared" ref="B14:B44" si="0">CHOOSE(MOD(WEEKDAY(DATE(A$11,A$2,A14)),7)+1,"lø","sø","ma","ti","on","to","fr",)</f>
        <v>fr</v>
      </c>
      <c r="C14" s="126" t="s">
        <v>117</v>
      </c>
      <c r="D14" s="127" t="str">
        <f t="shared" ref="D14:D44" si="1">IF(B14="ma",(DATE(A$11,A$2,A14)-DATE(A$11,1,1)+7)/7,"")</f>
        <v/>
      </c>
      <c r="E14" s="1060" t="s">
        <v>139</v>
      </c>
      <c r="F14" s="1061"/>
      <c r="G14" s="1062"/>
      <c r="H14" s="292"/>
      <c r="I14" s="746" t="str">
        <f>IF(GO14=1,"X","")</f>
        <v/>
      </c>
      <c r="J14" s="746" t="str">
        <f t="shared" ref="J14:J44" si="2">IF(C14="Lejrskole","X","")</f>
        <v/>
      </c>
      <c r="K14" s="368"/>
      <c r="L14" s="368"/>
      <c r="M14" s="368"/>
      <c r="N14" s="311">
        <f>BA14</f>
        <v>0</v>
      </c>
      <c r="O14" s="311">
        <f>CA14</f>
        <v>0</v>
      </c>
      <c r="P14" s="311">
        <f>IF(Stamoplysninger!$H$34="JA",Januar!DG14,CX14)</f>
        <v>0</v>
      </c>
      <c r="Q14" s="311">
        <f>IF(OR(OR(C14="Lejrskole",C14="Ekskursion",C14="pæd.dag")),0,N14-O14-P14)</f>
        <v>0</v>
      </c>
      <c r="R14" s="751"/>
      <c r="S14" s="315"/>
      <c r="T14" s="316"/>
      <c r="U14" s="316"/>
      <c r="V14" s="422"/>
      <c r="W14" s="400"/>
      <c r="X14" s="619"/>
      <c r="Y14">
        <f>IF($S$14="x",V14-N15,0)</f>
        <v>0</v>
      </c>
      <c r="Z14">
        <f t="shared" ref="Z14:Z44" si="3">IF(T14="x",W14-O15,0)</f>
        <v>0</v>
      </c>
      <c r="AA14" s="1">
        <f t="shared" ref="AA14:AA44" si="4">IF(C14="emnedag",K14,0)</f>
        <v>0</v>
      </c>
      <c r="AB14" s="1">
        <f t="shared" ref="AB14:AB44" si="5">IF(C14="fagdag",K14,0)</f>
        <v>0</v>
      </c>
      <c r="AC14" s="1">
        <f t="shared" ref="AC14:AC44" si="6">IF(C14="Pæd.dag",K14,0)</f>
        <v>0</v>
      </c>
      <c r="AD14" s="1">
        <f t="shared" ref="AD14:AD44" si="7">IF(C14="Ekskursion",K14,0)</f>
        <v>0</v>
      </c>
      <c r="AE14" s="1">
        <f t="shared" ref="AE14:AE44" si="8">IF(C14="Lejrskole",K14,0)</f>
        <v>0</v>
      </c>
      <c r="AF14" s="1">
        <f>IF(C14="Orlov",7.4*Stamoplysninger!$E$20,0)</f>
        <v>0</v>
      </c>
      <c r="AG14" t="str">
        <f>IF(AND(C14="Skema 1",B14="ma"),Arbejdstidsoversigt!$E$77,"")</f>
        <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4" si="9">SUM(AG14:AK14)*24</f>
        <v>0</v>
      </c>
      <c r="BC14" s="1">
        <f>IF($C$14="Lejrskole",$L$14,0)</f>
        <v>0</v>
      </c>
      <c r="BD14" s="1">
        <f t="shared" ref="BD14:BD44" si="10">IF(C14="Ekskursion",L14,0)</f>
        <v>0</v>
      </c>
      <c r="BE14" s="1">
        <f t="shared" ref="BE14:BE44" si="11">IF(C14="fagdag",L14,0)</f>
        <v>0</v>
      </c>
      <c r="BF14" s="1">
        <f t="shared" ref="BF14:BF44" si="12">IF(C14="emnedag",L14,0)</f>
        <v>0</v>
      </c>
      <c r="BG14" s="207" t="str">
        <f>IF(AND(C14="Skema 1",B14="ma"),Skemaoplysninger!$E$46,"")</f>
        <v/>
      </c>
      <c r="BH14" s="207" t="str">
        <f>IF(AND(C14="Skema 1",B14="ti"),Skemaoplysninger!$G$46,"")</f>
        <v/>
      </c>
      <c r="BI14" s="207" t="str">
        <f>IF(AND(C14="Skema 1",B14="on"),Skemaoplysninger!$I$46,"")</f>
        <v/>
      </c>
      <c r="BJ14" s="207" t="str">
        <f>IF(AND(C14="Skema 1",B14="to"),Skemaoplysninger!$K$46,"")</f>
        <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0</v>
      </c>
      <c r="CB14" s="1">
        <f t="shared" ref="CB14:CB44" si="13">IF(C14="fagdag",M14,0)</f>
        <v>0</v>
      </c>
      <c r="CC14" s="1">
        <f t="shared" ref="CC14:CC44" si="14">IF(C14="emnedag",M14,0)</f>
        <v>0</v>
      </c>
      <c r="CD14" s="207" t="str">
        <f>IF(AND(C14="Skema 1",B14="ma"),Skemaoplysninger!$E$47,"")</f>
        <v/>
      </c>
      <c r="CE14" s="207" t="str">
        <f>IF(AND(C14="Skema 1",B14="ti"),Skemaoplysninger!$G$47,"")</f>
        <v/>
      </c>
      <c r="CF14" s="207" t="str">
        <f>IF(AND(C14="Skema 1",B14="on"),Skemaoplysninger!$I$47,"")</f>
        <v/>
      </c>
      <c r="CG14" s="207" t="str">
        <f>IF(AND(C14="Skema 1",B14="to"),Skemaoplysninger!$K$47,"")</f>
        <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t="str">
        <f>IF(H14="",E14,"")</f>
        <v>Nytårsdag</v>
      </c>
      <c r="DJ14" t="str">
        <f>IF(E14="",H14,"")</f>
        <v/>
      </c>
      <c r="DK14" t="str">
        <f t="shared" ref="DK14:DM43" si="15">IF(DH14=0,"",DH14)</f>
        <v/>
      </c>
      <c r="DL14" t="str">
        <f>IF(DI14=0,"",DI14)</f>
        <v>Nytårsdag</v>
      </c>
      <c r="DM14" t="str">
        <f>IF(DJ14=0,"",DJ14)</f>
        <v/>
      </c>
      <c r="DN14" t="str">
        <f>DK14&amp;""&amp;DL14&amp;""&amp;DM14</f>
        <v>Nytårsdag</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4" si="16">IF(AND(I14="X",S14="X"),V14,0)</f>
        <v>0</v>
      </c>
      <c r="FZ14" s="634">
        <f t="shared" ref="FZ14:FZ44" si="17">IF(AND(AND(C14="ikke relevant",I14="X",S14="X")),V14,0)</f>
        <v>0</v>
      </c>
      <c r="GA14">
        <f t="shared" ref="GA14:GA44" si="18">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4" si="19">IF(C14="emnedag","X",0)</f>
        <v>0</v>
      </c>
      <c r="GL14">
        <f t="shared" ref="GL14:GL44" si="20">IF(C14="ekskursion","X",0)</f>
        <v>0</v>
      </c>
      <c r="GM14">
        <f t="shared" ref="GM14:GM44" si="21">IF(C14="pæd.dag","X",0)</f>
        <v>0</v>
      </c>
      <c r="GN14" s="713">
        <f t="shared" ref="GN14:GN44" si="22">IF(C14="lejrskole","X",0)</f>
        <v>0</v>
      </c>
      <c r="GO14">
        <f>COUNTIF(GJ14:GN14,"X")</f>
        <v>0</v>
      </c>
      <c r="GP14" s="647">
        <f>IF(AND(I14="X",S14="X"),V14,0)</f>
        <v>0</v>
      </c>
    </row>
    <row r="15" spans="1:198">
      <c r="A15" s="239">
        <f t="shared" ref="A15:A43" si="23">IF(ISNUMBER(A14),A14+1,1)</f>
        <v>2</v>
      </c>
      <c r="B15" s="125" t="str">
        <f t="shared" si="0"/>
        <v>lø</v>
      </c>
      <c r="C15" s="126" t="s">
        <v>118</v>
      </c>
      <c r="D15" s="127" t="str">
        <f t="shared" si="1"/>
        <v/>
      </c>
      <c r="E15" s="1060"/>
      <c r="F15" s="1061"/>
      <c r="G15" s="1062"/>
      <c r="H15" s="292"/>
      <c r="I15" s="746" t="str">
        <f>IF(GO15=1,"X","")</f>
        <v/>
      </c>
      <c r="J15" s="746" t="str">
        <f t="shared" si="2"/>
        <v/>
      </c>
      <c r="K15" s="368"/>
      <c r="L15" s="368"/>
      <c r="M15" s="368"/>
      <c r="N15" s="311">
        <f t="shared" ref="N15:N44" si="24">BA15</f>
        <v>0</v>
      </c>
      <c r="O15" s="311">
        <f t="shared" ref="O15:O44" si="25">CA15</f>
        <v>0</v>
      </c>
      <c r="P15" s="311">
        <f>IF(Stamoplysninger!$H$34="JA",Januar!DG15,CX15)</f>
        <v>0</v>
      </c>
      <c r="Q15" s="311">
        <f t="shared" ref="Q15:Q44" si="26">IF(OR(OR(C15="Lejrskole",C15="Ekskursion",C15="pæd.dag")),0,N15-O15-P15)</f>
        <v>0</v>
      </c>
      <c r="R15" s="751"/>
      <c r="S15" s="315"/>
      <c r="T15" s="316"/>
      <c r="U15" s="316"/>
      <c r="V15" s="422"/>
      <c r="W15" s="400"/>
      <c r="X15" s="619"/>
      <c r="Y15">
        <f t="shared" ref="Y15:Y44" si="27">IF(S15="x",V15-N16,0)</f>
        <v>0</v>
      </c>
      <c r="Z15">
        <f t="shared" si="3"/>
        <v>0</v>
      </c>
      <c r="AA15" s="1">
        <f t="shared" si="4"/>
        <v>0</v>
      </c>
      <c r="AB15" s="1">
        <f t="shared" si="5"/>
        <v>0</v>
      </c>
      <c r="AC15" s="1">
        <f t="shared" si="6"/>
        <v>0</v>
      </c>
      <c r="AD15" s="1">
        <f t="shared" si="7"/>
        <v>0</v>
      </c>
      <c r="AE15" s="1">
        <f t="shared" si="8"/>
        <v>0</v>
      </c>
      <c r="AF15" s="1">
        <f>IF(C15="Orlov",7.4*Stamoplysninger!$E$20,0)</f>
        <v>0</v>
      </c>
      <c r="AG15" t="str">
        <f>IF(AND(C15="Skema 1",B15="ma"),Arbejdstidsoversigt!$E$77,"")</f>
        <v/>
      </c>
      <c r="AH15" t="str">
        <f>IF(AND(C15="Skema 1",B15="ti"),Arbejdstidsoversigt!$E$78,"")</f>
        <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4" si="28">SUM(AA15:AZ15)</f>
        <v>0</v>
      </c>
      <c r="BB15" s="224">
        <f t="shared" si="9"/>
        <v>0</v>
      </c>
      <c r="BC15" s="1">
        <f t="shared" ref="BC15:BC44" si="29">IF(C15="Lejrskole",L15,0)</f>
        <v>0</v>
      </c>
      <c r="BD15" s="1">
        <f t="shared" si="10"/>
        <v>0</v>
      </c>
      <c r="BE15" s="1">
        <f t="shared" si="11"/>
        <v>0</v>
      </c>
      <c r="BF15" s="1">
        <f t="shared" si="12"/>
        <v>0</v>
      </c>
      <c r="BG15" s="207" t="str">
        <f>IF(AND(C15="Skema 1",B15="ma"),Skemaoplysninger!$E$46,"")</f>
        <v/>
      </c>
      <c r="BH15" s="207" t="str">
        <f>IF(AND(C15="Skema 1",B15="ti"),Skemaoplysninger!$G$46,"")</f>
        <v/>
      </c>
      <c r="BI15" s="207" t="str">
        <f>IF(AND(C15="Skema 1",B15="on"),Skemaoplysninger!$I$46,"")</f>
        <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44" si="30">SUM(BG15:BZ15)*24+SUM(BC15:BF15)</f>
        <v>0</v>
      </c>
      <c r="CB15" s="1">
        <f t="shared" si="13"/>
        <v>0</v>
      </c>
      <c r="CC15" s="1">
        <f t="shared" si="14"/>
        <v>0</v>
      </c>
      <c r="CD15" s="207" t="str">
        <f>IF(AND(C15="Skema 1",B15="ma"),Skemaoplysninger!$E$47,"")</f>
        <v/>
      </c>
      <c r="CE15" s="207" t="str">
        <f>IF(AND(C15="Skema 1",B15="ti"),Skemaoplysninger!$G$47,"")</f>
        <v/>
      </c>
      <c r="CF15" s="207" t="str">
        <f>IF(AND(C15="Skema 1",B15="on"),Skemaoplysninger!$I$47,"")</f>
        <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4" si="31">SUM(CY15:DF15)</f>
        <v>0</v>
      </c>
      <c r="DH15" t="str">
        <f t="shared" ref="DH15:DH44" si="32">IF(AND(E15&gt;0,H15&gt;0),""&amp;E15&amp;" og "&amp;H15&amp;"","")</f>
        <v/>
      </c>
      <c r="DI15">
        <f t="shared" ref="DI15:DI44" si="33">IF(H15="",E15,"")</f>
        <v>0</v>
      </c>
      <c r="DJ15">
        <f t="shared" ref="DJ15:DJ44" si="34">IF(E15="",H15,"")</f>
        <v>0</v>
      </c>
      <c r="DK15" t="str">
        <f t="shared" si="15"/>
        <v/>
      </c>
      <c r="DL15" t="str">
        <f t="shared" si="15"/>
        <v/>
      </c>
      <c r="DM15" t="str">
        <f t="shared" si="15"/>
        <v/>
      </c>
      <c r="DN15" t="str">
        <f t="shared" ref="DN15:DN44" si="35">DK15&amp;""&amp;DL15&amp;""&amp;DM15</f>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6"/>
        <v>0</v>
      </c>
      <c r="FZ15" s="634">
        <f t="shared" si="17"/>
        <v>0</v>
      </c>
      <c r="GA15">
        <f t="shared" si="18"/>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4" si="36">IF(C15="fagdag","X",0)</f>
        <v>0</v>
      </c>
      <c r="GK15">
        <f t="shared" si="19"/>
        <v>0</v>
      </c>
      <c r="GL15">
        <f t="shared" si="20"/>
        <v>0</v>
      </c>
      <c r="GM15">
        <f t="shared" si="21"/>
        <v>0</v>
      </c>
      <c r="GN15" s="713">
        <f t="shared" si="22"/>
        <v>0</v>
      </c>
      <c r="GO15">
        <f t="shared" ref="GO15:GO44" si="37">COUNTIF(GJ15:GN15,"X")</f>
        <v>0</v>
      </c>
      <c r="GP15" s="647">
        <f t="shared" ref="GP15:GP44" si="38">IF(AND(I15="X",S15="X"),V15,0)</f>
        <v>0</v>
      </c>
    </row>
    <row r="16" spans="1:198">
      <c r="A16" s="239">
        <f t="shared" si="23"/>
        <v>3</v>
      </c>
      <c r="B16" s="125" t="str">
        <f t="shared" si="0"/>
        <v>sø</v>
      </c>
      <c r="C16" s="126" t="s">
        <v>118</v>
      </c>
      <c r="D16" s="127" t="str">
        <f t="shared" si="1"/>
        <v/>
      </c>
      <c r="E16" s="1060"/>
      <c r="F16" s="1061"/>
      <c r="G16" s="1062"/>
      <c r="H16" s="292"/>
      <c r="I16" s="746" t="str">
        <f>IF(GO16=1,"X","")</f>
        <v/>
      </c>
      <c r="J16" s="746" t="str">
        <f t="shared" si="2"/>
        <v/>
      </c>
      <c r="K16" s="368"/>
      <c r="L16" s="368"/>
      <c r="M16" s="368"/>
      <c r="N16" s="311">
        <f t="shared" si="24"/>
        <v>0</v>
      </c>
      <c r="O16" s="311">
        <f t="shared" si="25"/>
        <v>0</v>
      </c>
      <c r="P16" s="311">
        <f>IF(Stamoplysninger!$H$34="JA",Januar!DG16,CX16)</f>
        <v>0</v>
      </c>
      <c r="Q16" s="311">
        <f t="shared" si="26"/>
        <v>0</v>
      </c>
      <c r="R16" s="751"/>
      <c r="S16" s="315"/>
      <c r="T16" s="316"/>
      <c r="U16" s="316"/>
      <c r="V16" s="422"/>
      <c r="W16" s="400"/>
      <c r="X16" s="619"/>
      <c r="Y16">
        <f t="shared" si="27"/>
        <v>0</v>
      </c>
      <c r="Z16">
        <f t="shared" si="3"/>
        <v>0</v>
      </c>
      <c r="AA16" s="1">
        <f t="shared" si="4"/>
        <v>0</v>
      </c>
      <c r="AB16" s="1">
        <f t="shared" si="5"/>
        <v>0</v>
      </c>
      <c r="AC16" s="1">
        <f t="shared" si="6"/>
        <v>0</v>
      </c>
      <c r="AD16" s="1">
        <f t="shared" si="7"/>
        <v>0</v>
      </c>
      <c r="AE16" s="1">
        <f t="shared" si="8"/>
        <v>0</v>
      </c>
      <c r="AF16" s="1">
        <f>IF(C16="Orlov",7.4*Stamoplysninger!$E$20,0)</f>
        <v>0</v>
      </c>
      <c r="AG16" t="str">
        <f>IF(AND(C16="Skema 1",B16="ma"),Arbejdstidsoversigt!$E$77,"")</f>
        <v/>
      </c>
      <c r="AH16" t="str">
        <f>IF(AND(C16="Skema 1",B16="ti"),Arbejdstidsoversigt!$E$78,"")</f>
        <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9"/>
        <v>0</v>
      </c>
      <c r="BC16" s="1">
        <f t="shared" si="29"/>
        <v>0</v>
      </c>
      <c r="BD16" s="1">
        <f t="shared" si="10"/>
        <v>0</v>
      </c>
      <c r="BE16" s="1">
        <f t="shared" si="11"/>
        <v>0</v>
      </c>
      <c r="BF16" s="1">
        <f t="shared" si="12"/>
        <v>0</v>
      </c>
      <c r="BG16" s="207" t="str">
        <f>IF(AND(C16="Skema 1",B16="ma"),Skemaoplysninger!$E$46,"")</f>
        <v/>
      </c>
      <c r="BH16" s="207" t="str">
        <f>IF(AND(C16="Skema 1",B16="ti"),Skemaoplysninger!$G$46,"")</f>
        <v/>
      </c>
      <c r="BI16" s="207" t="str">
        <f>IF(AND(C16="Skema 1",B16="on"),Skemaoplysninger!$I$46,"")</f>
        <v/>
      </c>
      <c r="BJ16" s="207" t="str">
        <f>IF(AND(C16="Skema 1",B16="to"),Skemaoplysninger!$K$46,"")</f>
        <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0"/>
        <v>0</v>
      </c>
      <c r="CB16" s="1">
        <f t="shared" si="13"/>
        <v>0</v>
      </c>
      <c r="CC16" s="1">
        <f t="shared" si="14"/>
        <v>0</v>
      </c>
      <c r="CD16" s="207" t="str">
        <f>IF(AND(C16="Skema 1",B16="ma"),Skemaoplysninger!$E$47,"")</f>
        <v/>
      </c>
      <c r="CE16" s="207" t="str">
        <f>IF(AND(C16="Skema 1",B16="ti"),Skemaoplysninger!$G$47,"")</f>
        <v/>
      </c>
      <c r="CF16" s="207" t="str">
        <f>IF(AND(C16="Skema 1",B16="on"),Skemaoplysninger!$I$47,"")</f>
        <v/>
      </c>
      <c r="CG16" s="207" t="str">
        <f>IF(AND(C16="Skema 1",B16="to"),Skemaoplysninger!$K$47,"")</f>
        <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5"/>
        <v/>
      </c>
      <c r="DL16" t="str">
        <f t="shared" si="15"/>
        <v/>
      </c>
      <c r="DM16" t="str">
        <f t="shared" si="15"/>
        <v/>
      </c>
      <c r="DN16" t="str">
        <f t="shared" si="35"/>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6"/>
        <v>0</v>
      </c>
      <c r="FZ16" s="634">
        <f t="shared" si="17"/>
        <v>0</v>
      </c>
      <c r="GA16">
        <f t="shared" si="18"/>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9"/>
        <v>0</v>
      </c>
      <c r="GL16">
        <f t="shared" si="20"/>
        <v>0</v>
      </c>
      <c r="GM16">
        <f t="shared" si="21"/>
        <v>0</v>
      </c>
      <c r="GN16" s="713">
        <f t="shared" si="22"/>
        <v>0</v>
      </c>
      <c r="GO16">
        <f t="shared" si="37"/>
        <v>0</v>
      </c>
      <c r="GP16" s="647">
        <f t="shared" si="38"/>
        <v>0</v>
      </c>
    </row>
    <row r="17" spans="1:198">
      <c r="A17" s="239">
        <f t="shared" si="23"/>
        <v>4</v>
      </c>
      <c r="B17" s="125" t="str">
        <f t="shared" si="0"/>
        <v>ma</v>
      </c>
      <c r="C17" s="126" t="s">
        <v>126</v>
      </c>
      <c r="D17" s="127">
        <f t="shared" si="1"/>
        <v>1.4285714285714286</v>
      </c>
      <c r="E17" s="1060"/>
      <c r="F17" s="1061"/>
      <c r="G17" s="1062"/>
      <c r="H17" s="292"/>
      <c r="I17" s="745"/>
      <c r="J17" s="746" t="str">
        <f t="shared" si="2"/>
        <v/>
      </c>
      <c r="K17" s="368"/>
      <c r="L17" s="368"/>
      <c r="M17" s="368"/>
      <c r="N17" s="311">
        <f t="shared" si="24"/>
        <v>0</v>
      </c>
      <c r="O17" s="311">
        <f t="shared" si="25"/>
        <v>0</v>
      </c>
      <c r="P17" s="311">
        <f>IF(Stamoplysninger!$H$34="JA",Januar!DG17,CX17)</f>
        <v>0</v>
      </c>
      <c r="Q17" s="311">
        <f t="shared" si="26"/>
        <v>0</v>
      </c>
      <c r="R17" s="751"/>
      <c r="S17" s="315"/>
      <c r="T17" s="316"/>
      <c r="U17" s="316"/>
      <c r="V17" s="422"/>
      <c r="W17" s="400"/>
      <c r="X17" s="619"/>
      <c r="Y17">
        <f t="shared" si="27"/>
        <v>0</v>
      </c>
      <c r="Z17">
        <f t="shared" si="3"/>
        <v>0</v>
      </c>
      <c r="AA17" s="1">
        <f t="shared" si="4"/>
        <v>0</v>
      </c>
      <c r="AB17" s="1">
        <f t="shared" si="5"/>
        <v>0</v>
      </c>
      <c r="AC17" s="1">
        <f t="shared" si="6"/>
        <v>0</v>
      </c>
      <c r="AD17" s="1">
        <f t="shared" si="7"/>
        <v>0</v>
      </c>
      <c r="AE17" s="1">
        <f t="shared" si="8"/>
        <v>0</v>
      </c>
      <c r="AF17" s="1">
        <f>IF(C17="Orlov",7.4*Stamoplysninger!$E$20,0)</f>
        <v>0</v>
      </c>
      <c r="AG17" t="str">
        <f>IF(AND(C17="Skema 1",B17="ma"),Arbejdstidsoversigt!$E$77,"")</f>
        <v/>
      </c>
      <c r="AH17" t="str">
        <f>IF(AND(C17="Skema 1",B17="ti"),Arbejdstidsoversigt!$E$78,"")</f>
        <v/>
      </c>
      <c r="AI17" t="str">
        <f>IF(AND(C17="Skema 1",B17="on"),Arbejdstidsoversigt!$E$79,"")</f>
        <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9"/>
        <v>0</v>
      </c>
      <c r="BC17" s="1">
        <f t="shared" si="29"/>
        <v>0</v>
      </c>
      <c r="BD17" s="1">
        <f t="shared" si="10"/>
        <v>0</v>
      </c>
      <c r="BE17" s="1">
        <f t="shared" si="11"/>
        <v>0</v>
      </c>
      <c r="BF17" s="1">
        <f t="shared" si="12"/>
        <v>0</v>
      </c>
      <c r="BG17" s="207" t="str">
        <f>IF(AND(C17="Skema 1",B17="ma"),Skemaoplysninger!$E$46,"")</f>
        <v/>
      </c>
      <c r="BH17" s="207" t="str">
        <f>IF(AND(C17="Skema 1",B17="ti"),Skemaoplysninger!$G$46,"")</f>
        <v/>
      </c>
      <c r="BI17" s="207" t="str">
        <f>IF(AND(C17="Skema 1",B17="on"),Skemaoplysninger!$I$46,"")</f>
        <v/>
      </c>
      <c r="BJ17" s="207" t="str">
        <f>IF(AND(C17="Skema 1",B17="to"),Skemaoplysninger!$K$46,"")</f>
        <v/>
      </c>
      <c r="BK17" s="207" t="str">
        <f>IF(AND(C17="Skema 1",B17="fr"),Skemaoplysninger!$M$46,"")</f>
        <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0</v>
      </c>
      <c r="CB17" s="1">
        <f t="shared" si="13"/>
        <v>0</v>
      </c>
      <c r="CC17" s="1">
        <f t="shared" si="14"/>
        <v>0</v>
      </c>
      <c r="CD17" s="207" t="str">
        <f>IF(AND(C17="Skema 1",B17="ma"),Skemaoplysninger!$E$47,"")</f>
        <v/>
      </c>
      <c r="CE17" s="207" t="str">
        <f>IF(AND(C17="Skema 1",B17="ti"),Skemaoplysninger!$G$47,"")</f>
        <v/>
      </c>
      <c r="CF17" s="207" t="str">
        <f>IF(AND(C17="Skema 1",B17="on"),Skemaoplysninger!$I$47,"")</f>
        <v/>
      </c>
      <c r="CG17" s="207" t="str">
        <f>IF(AND(C17="Skema 1",B17="to"),Skemaoplysninger!$K$47,"")</f>
        <v/>
      </c>
      <c r="CH17" s="207" t="str">
        <f>IF(AND(C17="Skema 1",B17="fr"),Skemaoplysninger!$M$47,"")</f>
        <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5"/>
        <v/>
      </c>
      <c r="DL17" t="str">
        <f t="shared" si="15"/>
        <v/>
      </c>
      <c r="DM17" t="str">
        <f t="shared" si="15"/>
        <v/>
      </c>
      <c r="DN17" t="str">
        <f t="shared" si="3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6"/>
        <v>0</v>
      </c>
      <c r="FZ17" s="634">
        <f t="shared" si="17"/>
        <v>0</v>
      </c>
      <c r="GA17">
        <f t="shared" si="18"/>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9"/>
        <v>0</v>
      </c>
      <c r="GL17">
        <f t="shared" si="20"/>
        <v>0</v>
      </c>
      <c r="GM17">
        <f t="shared" si="21"/>
        <v>0</v>
      </c>
      <c r="GN17" s="713">
        <f t="shared" si="22"/>
        <v>0</v>
      </c>
      <c r="GO17">
        <f t="shared" si="37"/>
        <v>0</v>
      </c>
      <c r="GP17" s="647">
        <f t="shared" si="38"/>
        <v>0</v>
      </c>
    </row>
    <row r="18" spans="1:198">
      <c r="A18" s="239">
        <f t="shared" si="23"/>
        <v>5</v>
      </c>
      <c r="B18" s="125" t="str">
        <f t="shared" si="0"/>
        <v>ti</v>
      </c>
      <c r="C18" s="126" t="s">
        <v>203</v>
      </c>
      <c r="D18" s="127" t="str">
        <f t="shared" si="1"/>
        <v/>
      </c>
      <c r="E18" s="1060"/>
      <c r="F18" s="1061"/>
      <c r="G18" s="1062"/>
      <c r="H18" s="292"/>
      <c r="I18" s="745"/>
      <c r="J18" s="746" t="str">
        <f t="shared" si="2"/>
        <v/>
      </c>
      <c r="K18" s="368"/>
      <c r="L18" s="368"/>
      <c r="M18" s="368"/>
      <c r="N18" s="311">
        <f t="shared" si="24"/>
        <v>8.11</v>
      </c>
      <c r="O18" s="311">
        <f t="shared" si="25"/>
        <v>4.5</v>
      </c>
      <c r="P18" s="311">
        <f>IF(Stamoplysninger!$H$34="JA",Januar!DG18,CX18)</f>
        <v>1.9166666666666665</v>
      </c>
      <c r="Q18" s="311">
        <f t="shared" si="26"/>
        <v>1.6933333333333329</v>
      </c>
      <c r="R18" s="751"/>
      <c r="S18" s="315"/>
      <c r="T18" s="316"/>
      <c r="U18" s="316"/>
      <c r="V18" s="422"/>
      <c r="W18" s="400"/>
      <c r="X18" s="619"/>
      <c r="Y18">
        <f t="shared" si="27"/>
        <v>0</v>
      </c>
      <c r="Z18">
        <f t="shared" si="3"/>
        <v>0</v>
      </c>
      <c r="AA18" s="1">
        <f t="shared" si="4"/>
        <v>0</v>
      </c>
      <c r="AB18" s="1">
        <f t="shared" si="5"/>
        <v>0</v>
      </c>
      <c r="AC18" s="1">
        <f t="shared" si="6"/>
        <v>0</v>
      </c>
      <c r="AD18" s="1">
        <f t="shared" si="7"/>
        <v>0</v>
      </c>
      <c r="AE18" s="1">
        <f t="shared" si="8"/>
        <v>0</v>
      </c>
      <c r="AF18" s="1">
        <f>IF(C18="Orlov",7.4*Stamoplysninger!$E$20,0)</f>
        <v>0</v>
      </c>
      <c r="AG18" t="str">
        <f>IF(AND(C18="Skema 1",B18="ma"),Arbejdstidsoversigt!$E$77,"")</f>
        <v/>
      </c>
      <c r="AH18">
        <f>IF(AND(C18="Skema 1",B18="ti"),Arbejdstidsoversigt!$E$78,"")</f>
        <v>8.11</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8.11</v>
      </c>
      <c r="BB18" s="224">
        <f t="shared" si="9"/>
        <v>194.64</v>
      </c>
      <c r="BC18" s="1">
        <f t="shared" si="29"/>
        <v>0</v>
      </c>
      <c r="BD18" s="1">
        <f t="shared" si="10"/>
        <v>0</v>
      </c>
      <c r="BE18" s="1">
        <f t="shared" si="11"/>
        <v>0</v>
      </c>
      <c r="BF18" s="1">
        <f t="shared" si="12"/>
        <v>0</v>
      </c>
      <c r="BG18" s="207" t="str">
        <f>IF(AND(C18="Skema 1",B18="ma"),Skemaoplysninger!$E$46,"")</f>
        <v/>
      </c>
      <c r="BH18" s="207">
        <f>IF(AND(C18="Skema 1",B18="ti"),Skemaoplysninger!$G$46,"")</f>
        <v>0.1875</v>
      </c>
      <c r="BI18" s="207" t="str">
        <f>IF(AND(C18="Skema 1",B18="on"),Skemaoplysninger!$I$46,"")</f>
        <v/>
      </c>
      <c r="BJ18" s="207" t="str">
        <f>IF(AND(C18="Skema 1",B18="to"),Skemaoplysninger!$K$46,"")</f>
        <v/>
      </c>
      <c r="BK18" s="207" t="str">
        <f>IF(AND(C18="Skema 1",B18="fr"),Skemaoplysninger!$M$46,"")</f>
        <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4.5</v>
      </c>
      <c r="CB18" s="1">
        <f t="shared" si="13"/>
        <v>0</v>
      </c>
      <c r="CC18" s="1">
        <f t="shared" si="14"/>
        <v>0</v>
      </c>
      <c r="CD18" s="207" t="str">
        <f>IF(AND(C18="Skema 1",B18="ma"),Skemaoplysninger!$E$47,"")</f>
        <v/>
      </c>
      <c r="CE18" s="207">
        <f>IF(AND(C18="Skema 1",B18="ti"),Skemaoplysninger!$G$47,"")</f>
        <v>7.9861111111111105E-2</v>
      </c>
      <c r="CF18" s="207" t="str">
        <f>IF(AND(C18="Skema 1",B18="on"),Skemaoplysninger!$I$47,"")</f>
        <v/>
      </c>
      <c r="CG18" s="207" t="str">
        <f>IF(AND(C18="Skema 1",B18="to"),Skemaoplysninger!$K$47,"")</f>
        <v/>
      </c>
      <c r="CH18" s="207" t="str">
        <f>IF(AND(C18="Skema 1",B18="fr"),Skemaoplysninger!$M$47,"")</f>
        <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1.9166666666666665</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5"/>
        <v/>
      </c>
      <c r="DL18" t="str">
        <f t="shared" si="15"/>
        <v/>
      </c>
      <c r="DM18" t="str">
        <f t="shared" si="15"/>
        <v/>
      </c>
      <c r="DN18" t="str">
        <f t="shared" si="35"/>
        <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6"/>
        <v>0</v>
      </c>
      <c r="FZ18" s="634">
        <f t="shared" si="17"/>
        <v>0</v>
      </c>
      <c r="GA18">
        <f t="shared" si="18"/>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9"/>
        <v>0</v>
      </c>
      <c r="GL18">
        <f t="shared" si="20"/>
        <v>0</v>
      </c>
      <c r="GM18">
        <f t="shared" si="21"/>
        <v>0</v>
      </c>
      <c r="GN18" s="713">
        <f t="shared" si="22"/>
        <v>0</v>
      </c>
      <c r="GO18">
        <f t="shared" si="37"/>
        <v>0</v>
      </c>
      <c r="GP18" s="647">
        <f t="shared" si="38"/>
        <v>0</v>
      </c>
    </row>
    <row r="19" spans="1:198" ht="16" customHeight="1">
      <c r="A19" s="239">
        <f t="shared" si="23"/>
        <v>6</v>
      </c>
      <c r="B19" s="125" t="str">
        <f t="shared" si="0"/>
        <v>on</v>
      </c>
      <c r="C19" s="126" t="s">
        <v>203</v>
      </c>
      <c r="D19" s="127" t="str">
        <f t="shared" si="1"/>
        <v/>
      </c>
      <c r="E19" s="1060"/>
      <c r="F19" s="1061"/>
      <c r="G19" s="1062"/>
      <c r="H19" s="292"/>
      <c r="I19" s="745"/>
      <c r="J19" s="746" t="str">
        <f t="shared" si="2"/>
        <v/>
      </c>
      <c r="K19" s="368"/>
      <c r="L19" s="368"/>
      <c r="M19" s="368"/>
      <c r="N19" s="311">
        <f t="shared" si="24"/>
        <v>8.11</v>
      </c>
      <c r="O19" s="311">
        <f t="shared" si="25"/>
        <v>2.75</v>
      </c>
      <c r="P19" s="311">
        <f>IF(Stamoplysninger!$H$34="JA",Januar!DG19,CX19)</f>
        <v>1.25</v>
      </c>
      <c r="Q19" s="311">
        <f t="shared" si="26"/>
        <v>4.1099999999999994</v>
      </c>
      <c r="R19" s="751"/>
      <c r="S19" s="315"/>
      <c r="T19" s="316"/>
      <c r="U19" s="316"/>
      <c r="V19" s="422"/>
      <c r="W19" s="400"/>
      <c r="X19" s="619"/>
      <c r="Y19">
        <f t="shared" si="27"/>
        <v>0</v>
      </c>
      <c r="Z19">
        <f t="shared" si="3"/>
        <v>0</v>
      </c>
      <c r="AA19" s="1">
        <f t="shared" si="4"/>
        <v>0</v>
      </c>
      <c r="AB19" s="1">
        <f t="shared" si="5"/>
        <v>0</v>
      </c>
      <c r="AC19" s="1">
        <f t="shared" si="6"/>
        <v>0</v>
      </c>
      <c r="AD19" s="1">
        <f t="shared" si="7"/>
        <v>0</v>
      </c>
      <c r="AE19" s="1">
        <f t="shared" si="8"/>
        <v>0</v>
      </c>
      <c r="AF19" s="1">
        <f>IF(C19="Orlov",7.4*Stamoplysninger!$E$20,0)</f>
        <v>0</v>
      </c>
      <c r="AG19" t="str">
        <f>IF(AND(C19="Skema 1",B19="ma"),Arbejdstidsoversigt!$E$77,"")</f>
        <v/>
      </c>
      <c r="AH19" t="str">
        <f>IF(AND(C19="Skema 1",B19="ti"),Arbejdstidsoversigt!$E$78,"")</f>
        <v/>
      </c>
      <c r="AI19">
        <f>IF(AND(C19="Skema 1",B19="on"),Arbejdstidsoversigt!$E$79,"")</f>
        <v>8.11</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8.11</v>
      </c>
      <c r="BB19" s="224">
        <f t="shared" si="9"/>
        <v>194.64</v>
      </c>
      <c r="BC19" s="1">
        <f t="shared" si="29"/>
        <v>0</v>
      </c>
      <c r="BD19" s="1">
        <f t="shared" si="10"/>
        <v>0</v>
      </c>
      <c r="BE19" s="1">
        <f t="shared" si="11"/>
        <v>0</v>
      </c>
      <c r="BF19" s="1">
        <f t="shared" si="12"/>
        <v>0</v>
      </c>
      <c r="BG19" s="207" t="str">
        <f>IF(AND(C19="Skema 1",B19="ma"),Skemaoplysninger!$E$46,"")</f>
        <v/>
      </c>
      <c r="BH19" s="207" t="str">
        <f>IF(AND(C19="Skema 1",B19="ti"),Skemaoplysninger!$G$46,"")</f>
        <v/>
      </c>
      <c r="BI19" s="207">
        <f>IF(AND(C19="Skema 1",B19="on"),Skemaoplysninger!$I$46,"")</f>
        <v>0.11458333333333333</v>
      </c>
      <c r="BJ19" s="207" t="str">
        <f>IF(AND(C19="Skema 1",B19="to"),Skemaoplysninger!$K$46,"")</f>
        <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2.75</v>
      </c>
      <c r="CB19" s="1">
        <f t="shared" si="13"/>
        <v>0</v>
      </c>
      <c r="CC19" s="1">
        <f t="shared" si="14"/>
        <v>0</v>
      </c>
      <c r="CD19" s="207" t="str">
        <f>IF(AND(C19="Skema 1",B19="ma"),Skemaoplysninger!$E$47,"")</f>
        <v/>
      </c>
      <c r="CE19" s="207" t="str">
        <f>IF(AND(C19="Skema 1",B19="ti"),Skemaoplysninger!$G$47,"")</f>
        <v/>
      </c>
      <c r="CF19" s="207">
        <f>IF(AND(C19="Skema 1",B19="on"),Skemaoplysninger!$I$47,"")</f>
        <v>5.2083333333333329E-2</v>
      </c>
      <c r="CG19" s="207" t="str">
        <f>IF(AND(C19="Skema 1",B19="to"),Skemaoplysninger!$K$47,"")</f>
        <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1.25</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5"/>
        <v/>
      </c>
      <c r="DL19" t="str">
        <f t="shared" si="15"/>
        <v/>
      </c>
      <c r="DM19" t="str">
        <f t="shared" si="15"/>
        <v/>
      </c>
      <c r="DN19" t="str">
        <f t="shared" si="35"/>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6"/>
        <v>0</v>
      </c>
      <c r="FZ19" s="634">
        <f t="shared" si="17"/>
        <v>0</v>
      </c>
      <c r="GA19">
        <f t="shared" si="18"/>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9"/>
        <v>0</v>
      </c>
      <c r="GL19">
        <f t="shared" si="20"/>
        <v>0</v>
      </c>
      <c r="GM19">
        <f t="shared" si="21"/>
        <v>0</v>
      </c>
      <c r="GN19" s="713">
        <f t="shared" si="22"/>
        <v>0</v>
      </c>
      <c r="GO19">
        <f t="shared" si="37"/>
        <v>0</v>
      </c>
      <c r="GP19" s="647">
        <f t="shared" si="38"/>
        <v>0</v>
      </c>
    </row>
    <row r="20" spans="1:198" ht="16" customHeight="1">
      <c r="A20" s="239">
        <f t="shared" si="23"/>
        <v>7</v>
      </c>
      <c r="B20" s="125" t="str">
        <f t="shared" si="0"/>
        <v>to</v>
      </c>
      <c r="C20" s="126" t="s">
        <v>203</v>
      </c>
      <c r="D20" s="127" t="str">
        <f t="shared" si="1"/>
        <v/>
      </c>
      <c r="E20" s="1060"/>
      <c r="F20" s="1061"/>
      <c r="G20" s="1062"/>
      <c r="H20" s="292"/>
      <c r="I20" s="745"/>
      <c r="J20" s="746" t="str">
        <f t="shared" si="2"/>
        <v/>
      </c>
      <c r="K20" s="368"/>
      <c r="L20" s="368"/>
      <c r="M20" s="368"/>
      <c r="N20" s="311">
        <f t="shared" si="24"/>
        <v>9</v>
      </c>
      <c r="O20" s="311">
        <f t="shared" si="25"/>
        <v>3.75</v>
      </c>
      <c r="P20" s="311">
        <f>IF(Stamoplysninger!$H$34="JA",Januar!DG20,CX20)</f>
        <v>1</v>
      </c>
      <c r="Q20" s="311">
        <f t="shared" si="26"/>
        <v>4.25</v>
      </c>
      <c r="R20" s="751"/>
      <c r="S20" s="315"/>
      <c r="T20" s="316"/>
      <c r="U20" s="316"/>
      <c r="V20" s="422"/>
      <c r="W20" s="400"/>
      <c r="X20" s="619"/>
      <c r="Y20">
        <f t="shared" si="27"/>
        <v>0</v>
      </c>
      <c r="Z20">
        <f t="shared" si="3"/>
        <v>0</v>
      </c>
      <c r="AA20" s="1">
        <f t="shared" si="4"/>
        <v>0</v>
      </c>
      <c r="AB20" s="1">
        <f t="shared" si="5"/>
        <v>0</v>
      </c>
      <c r="AC20" s="1">
        <f t="shared" si="6"/>
        <v>0</v>
      </c>
      <c r="AD20" s="1">
        <f t="shared" si="7"/>
        <v>0</v>
      </c>
      <c r="AE20" s="1">
        <f t="shared" si="8"/>
        <v>0</v>
      </c>
      <c r="AF20" s="1">
        <f>IF(C20="Orlov",7.4*Stamoplysninger!$E$20,0)</f>
        <v>0</v>
      </c>
      <c r="AG20" t="str">
        <f>IF(AND(C20="Skema 1",B20="ma"),Arbejdstidsoversigt!$E$77,"")</f>
        <v/>
      </c>
      <c r="AH20" t="str">
        <f>IF(AND(C20="Skema 1",B20="ti"),Arbejdstidsoversigt!$E$78,"")</f>
        <v/>
      </c>
      <c r="AI20" t="str">
        <f>IF(AND(C20="Skema 1",B20="on"),Arbejdstidsoversigt!$E$79,"")</f>
        <v/>
      </c>
      <c r="AJ20">
        <f>IF(AND(C20="Skema 1",B20="to"),Arbejdstidsoversigt!$E$80,"")</f>
        <v>9</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9</v>
      </c>
      <c r="BB20" s="224">
        <f t="shared" si="9"/>
        <v>216</v>
      </c>
      <c r="BC20" s="1">
        <f t="shared" si="29"/>
        <v>0</v>
      </c>
      <c r="BD20" s="1">
        <f t="shared" si="10"/>
        <v>0</v>
      </c>
      <c r="BE20" s="1">
        <f t="shared" si="11"/>
        <v>0</v>
      </c>
      <c r="BF20" s="1">
        <f t="shared" si="12"/>
        <v>0</v>
      </c>
      <c r="BG20" s="207" t="str">
        <f>IF(AND(C20="Skema 1",B20="ma"),Skemaoplysninger!$E$46,"")</f>
        <v/>
      </c>
      <c r="BH20" s="207" t="str">
        <f>IF(AND(C20="Skema 1",B20="ti"),Skemaoplysninger!$G$46,"")</f>
        <v/>
      </c>
      <c r="BI20" s="207" t="str">
        <f>IF(AND(C20="Skema 1",B20="on"),Skemaoplysninger!$I$46,"")</f>
        <v/>
      </c>
      <c r="BJ20" s="207">
        <f>IF(AND(C20="Skema 1",B20="to"),Skemaoplysninger!$K$46,"")</f>
        <v>0.15625</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3.75</v>
      </c>
      <c r="CB20" s="1">
        <f t="shared" si="13"/>
        <v>0</v>
      </c>
      <c r="CC20" s="1">
        <f t="shared" si="14"/>
        <v>0</v>
      </c>
      <c r="CD20" s="207" t="str">
        <f>IF(AND(C20="Skema 1",B20="ma"),Skemaoplysninger!$E$47,"")</f>
        <v/>
      </c>
      <c r="CE20" s="207" t="str">
        <f>IF(AND(C20="Skema 1",B20="ti"),Skemaoplysninger!$G$47,"")</f>
        <v/>
      </c>
      <c r="CF20" s="207" t="str">
        <f>IF(AND(C20="Skema 1",B20="on"),Skemaoplysninger!$I$47,"")</f>
        <v/>
      </c>
      <c r="CG20" s="207">
        <f>IF(AND(C20="Skema 1",B20="to"),Skemaoplysninger!$K$47,"")</f>
        <v>4.1666666666666664E-2</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1</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5"/>
        <v/>
      </c>
      <c r="DL20" t="str">
        <f t="shared" si="15"/>
        <v/>
      </c>
      <c r="DM20" t="str">
        <f t="shared" si="15"/>
        <v/>
      </c>
      <c r="DN20" t="str">
        <f t="shared" si="35"/>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6"/>
        <v>0</v>
      </c>
      <c r="FZ20" s="634">
        <f t="shared" si="17"/>
        <v>0</v>
      </c>
      <c r="GA20">
        <f t="shared" si="18"/>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9"/>
        <v>0</v>
      </c>
      <c r="GL20">
        <f t="shared" si="20"/>
        <v>0</v>
      </c>
      <c r="GM20">
        <f t="shared" si="21"/>
        <v>0</v>
      </c>
      <c r="GN20" s="713">
        <f t="shared" si="22"/>
        <v>0</v>
      </c>
      <c r="GO20">
        <f t="shared" si="37"/>
        <v>0</v>
      </c>
      <c r="GP20" s="647">
        <f t="shared" si="38"/>
        <v>0</v>
      </c>
    </row>
    <row r="21" spans="1:198">
      <c r="A21" s="239">
        <f t="shared" si="23"/>
        <v>8</v>
      </c>
      <c r="B21" s="125" t="str">
        <f t="shared" si="0"/>
        <v>fr</v>
      </c>
      <c r="C21" s="126" t="s">
        <v>203</v>
      </c>
      <c r="D21" s="127" t="str">
        <f t="shared" si="1"/>
        <v/>
      </c>
      <c r="E21" s="1060"/>
      <c r="F21" s="1061"/>
      <c r="G21" s="1062"/>
      <c r="H21" s="292"/>
      <c r="I21" s="745"/>
      <c r="J21" s="746" t="str">
        <f t="shared" si="2"/>
        <v/>
      </c>
      <c r="K21" s="368"/>
      <c r="L21" s="368"/>
      <c r="M21" s="368"/>
      <c r="N21" s="311">
        <f t="shared" si="24"/>
        <v>7.1</v>
      </c>
      <c r="O21" s="311">
        <f t="shared" si="25"/>
        <v>3.75</v>
      </c>
      <c r="P21" s="311">
        <f>IF(Stamoplysninger!$H$34="JA",Januar!DG21,CX21)</f>
        <v>1</v>
      </c>
      <c r="Q21" s="311">
        <f t="shared" si="26"/>
        <v>2.3499999999999996</v>
      </c>
      <c r="R21" s="751"/>
      <c r="S21" s="315"/>
      <c r="T21" s="316"/>
      <c r="U21" s="316"/>
      <c r="V21" s="422"/>
      <c r="W21" s="400"/>
      <c r="X21" s="619"/>
      <c r="Y21">
        <f t="shared" si="27"/>
        <v>0</v>
      </c>
      <c r="Z21">
        <f t="shared" si="3"/>
        <v>0</v>
      </c>
      <c r="AA21" s="1">
        <f t="shared" si="4"/>
        <v>0</v>
      </c>
      <c r="AB21" s="1">
        <f t="shared" si="5"/>
        <v>0</v>
      </c>
      <c r="AC21" s="1">
        <f t="shared" si="6"/>
        <v>0</v>
      </c>
      <c r="AD21" s="1">
        <f t="shared" si="7"/>
        <v>0</v>
      </c>
      <c r="AE21" s="1">
        <f t="shared" si="8"/>
        <v>0</v>
      </c>
      <c r="AF21" s="1">
        <f>IF(C21="Orlov",7.4*Stamoplysninger!$E$20,0)</f>
        <v>0</v>
      </c>
      <c r="AG21" t="str">
        <f>IF(AND(C21="Skema 1",B21="ma"),Arbejdstidsoversigt!$E$77,"")</f>
        <v/>
      </c>
      <c r="AH21" t="str">
        <f>IF(AND(C21="Skema 1",B21="ti"),Arbejdstidsoversigt!$E$78,"")</f>
        <v/>
      </c>
      <c r="AI21" t="str">
        <f>IF(AND(C21="Skema 1",B21="on"),Arbejdstidsoversigt!$E$79,"")</f>
        <v/>
      </c>
      <c r="AJ21" t="str">
        <f>IF(AND(C21="Skema 1",B21="to"),Arbejdstidsoversigt!$E$80,"")</f>
        <v/>
      </c>
      <c r="AK21">
        <f>IF(AND(C21="Skema 1",B21="fr"),Arbejdstidsoversigt!$E$81,"")</f>
        <v>7.1</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7.1</v>
      </c>
      <c r="BB21" s="224">
        <f t="shared" si="9"/>
        <v>170.39999999999998</v>
      </c>
      <c r="BC21" s="1">
        <f t="shared" si="29"/>
        <v>0</v>
      </c>
      <c r="BD21" s="1">
        <f t="shared" si="10"/>
        <v>0</v>
      </c>
      <c r="BE21" s="1">
        <f t="shared" si="11"/>
        <v>0</v>
      </c>
      <c r="BF21" s="1">
        <f t="shared" si="12"/>
        <v>0</v>
      </c>
      <c r="BG21" s="207" t="str">
        <f>IF(AND(C21="Skema 1",B21="ma"),Skemaoplysninger!$E$46,"")</f>
        <v/>
      </c>
      <c r="BH21" s="207" t="str">
        <f>IF(AND(C21="Skema 1",B21="ti"),Skemaoplysninger!$G$46,"")</f>
        <v/>
      </c>
      <c r="BI21" s="207" t="str">
        <f>IF(AND(C21="Skema 1",B21="on"),Skemaoplysninger!$I$46,"")</f>
        <v/>
      </c>
      <c r="BJ21" s="207" t="str">
        <f>IF(AND(C21="Skema 1",B21="to"),Skemaoplysninger!$K$46,"")</f>
        <v/>
      </c>
      <c r="BK21" s="207">
        <f>IF(AND(C21="Skema 1",B21="fr"),Skemaoplysninger!$M$46,"")</f>
        <v>0.15625</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3.75</v>
      </c>
      <c r="CB21" s="1">
        <f t="shared" si="13"/>
        <v>0</v>
      </c>
      <c r="CC21" s="1">
        <f t="shared" si="14"/>
        <v>0</v>
      </c>
      <c r="CD21" s="207" t="str">
        <f>IF(AND(C21="Skema 1",B21="ma"),Skemaoplysninger!$E$47,"")</f>
        <v/>
      </c>
      <c r="CE21" s="207" t="str">
        <f>IF(AND(C21="Skema 1",B21="ti"),Skemaoplysninger!$G$47,"")</f>
        <v/>
      </c>
      <c r="CF21" s="207" t="str">
        <f>IF(AND(C21="Skema 1",B21="on"),Skemaoplysninger!$I$47,"")</f>
        <v/>
      </c>
      <c r="CG21" s="207" t="str">
        <f>IF(AND(C21="Skema 1",B21="to"),Skemaoplysninger!$K$47,"")</f>
        <v/>
      </c>
      <c r="CH21" s="207">
        <f>IF(AND(C21="Skema 1",B21="fr"),Skemaoplysninger!$M$47,"")</f>
        <v>4.1666666666666664E-2</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1</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5"/>
        <v/>
      </c>
      <c r="DL21" t="str">
        <f t="shared" si="15"/>
        <v/>
      </c>
      <c r="DM21" t="str">
        <f t="shared" si="15"/>
        <v/>
      </c>
      <c r="DN21" t="str">
        <f t="shared" si="35"/>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6"/>
        <v>0</v>
      </c>
      <c r="FZ21" s="634">
        <f t="shared" si="17"/>
        <v>0</v>
      </c>
      <c r="GA21">
        <f t="shared" si="18"/>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9"/>
        <v>0</v>
      </c>
      <c r="GL21">
        <f t="shared" si="20"/>
        <v>0</v>
      </c>
      <c r="GM21">
        <f t="shared" si="21"/>
        <v>0</v>
      </c>
      <c r="GN21" s="713">
        <f t="shared" si="22"/>
        <v>0</v>
      </c>
      <c r="GO21">
        <f t="shared" si="37"/>
        <v>0</v>
      </c>
      <c r="GP21" s="647">
        <f t="shared" si="38"/>
        <v>0</v>
      </c>
    </row>
    <row r="22" spans="1:198">
      <c r="A22" s="239">
        <f t="shared" si="23"/>
        <v>9</v>
      </c>
      <c r="B22" s="125" t="str">
        <f t="shared" si="0"/>
        <v>lø</v>
      </c>
      <c r="C22" s="126" t="s">
        <v>118</v>
      </c>
      <c r="D22" s="127" t="str">
        <f t="shared" si="1"/>
        <v/>
      </c>
      <c r="E22" s="1060"/>
      <c r="F22" s="1061"/>
      <c r="G22" s="1062"/>
      <c r="H22" s="292"/>
      <c r="I22" s="746" t="str">
        <f>IF(GO22=1,"X","")</f>
        <v/>
      </c>
      <c r="J22" s="746" t="str">
        <f t="shared" si="2"/>
        <v/>
      </c>
      <c r="K22" s="368"/>
      <c r="L22" s="368"/>
      <c r="M22" s="368"/>
      <c r="N22" s="311">
        <f t="shared" si="24"/>
        <v>0</v>
      </c>
      <c r="O22" s="311">
        <f t="shared" si="25"/>
        <v>0</v>
      </c>
      <c r="P22" s="311">
        <f>IF(Stamoplysninger!$H$34="JA",Januar!DG22,CX22)</f>
        <v>0</v>
      </c>
      <c r="Q22" s="311">
        <f t="shared" si="26"/>
        <v>0</v>
      </c>
      <c r="R22" s="751"/>
      <c r="S22" s="315"/>
      <c r="T22" s="316"/>
      <c r="U22" s="316"/>
      <c r="V22" s="422"/>
      <c r="W22" s="400"/>
      <c r="X22" s="619"/>
      <c r="Y22">
        <f t="shared" si="27"/>
        <v>0</v>
      </c>
      <c r="Z22">
        <f t="shared" si="3"/>
        <v>0</v>
      </c>
      <c r="AA22" s="1">
        <f t="shared" si="4"/>
        <v>0</v>
      </c>
      <c r="AB22" s="1">
        <f t="shared" si="5"/>
        <v>0</v>
      </c>
      <c r="AC22" s="1">
        <f t="shared" si="6"/>
        <v>0</v>
      </c>
      <c r="AD22" s="1">
        <f t="shared" si="7"/>
        <v>0</v>
      </c>
      <c r="AE22" s="1">
        <f t="shared" si="8"/>
        <v>0</v>
      </c>
      <c r="AF22" s="1">
        <f>IF(C22="Orlov",7.4*Stamoplysninger!$E$20,0)</f>
        <v>0</v>
      </c>
      <c r="AG22" t="str">
        <f>IF(AND(C22="Skema 1",B22="ma"),Arbejdstidsoversigt!$E$77,"")</f>
        <v/>
      </c>
      <c r="AH22" t="str">
        <f>IF(AND(C22="Skema 1",B22="ti"),Arbejdstidsoversigt!$E$78,"")</f>
        <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9"/>
        <v>0</v>
      </c>
      <c r="BC22" s="1">
        <f t="shared" si="29"/>
        <v>0</v>
      </c>
      <c r="BD22" s="1">
        <f t="shared" si="10"/>
        <v>0</v>
      </c>
      <c r="BE22" s="1">
        <f t="shared" si="11"/>
        <v>0</v>
      </c>
      <c r="BF22" s="1">
        <f t="shared" si="12"/>
        <v>0</v>
      </c>
      <c r="BG22" s="207" t="str">
        <f>IF(AND(C22="Skema 1",B22="ma"),Skemaoplysninger!$E$46,"")</f>
        <v/>
      </c>
      <c r="BH22" s="207" t="str">
        <f>IF(AND(C22="Skema 1",B22="ti"),Skemaoplysninger!$G$46,"")</f>
        <v/>
      </c>
      <c r="BI22" s="207" t="str">
        <f>IF(AND(C22="Skema 1",B22="on"),Skemaoplysninger!$I$46,"")</f>
        <v/>
      </c>
      <c r="BJ22" s="207" t="str">
        <f>IF(AND(C22="Skema 1",B22="to"),Skemaoplysninger!$K$46,"")</f>
        <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0</v>
      </c>
      <c r="CB22" s="1">
        <f t="shared" si="13"/>
        <v>0</v>
      </c>
      <c r="CC22" s="1">
        <f t="shared" si="14"/>
        <v>0</v>
      </c>
      <c r="CD22" s="207" t="str">
        <f>IF(AND(C22="Skema 1",B22="ma"),Skemaoplysninger!$E$47,"")</f>
        <v/>
      </c>
      <c r="CE22" s="207" t="str">
        <f>IF(AND(C22="Skema 1",B22="ti"),Skemaoplysninger!$G$47,"")</f>
        <v/>
      </c>
      <c r="CF22" s="207" t="str">
        <f>IF(AND(C22="Skema 1",B22="on"),Skemaoplysninger!$I$47,"")</f>
        <v/>
      </c>
      <c r="CG22" s="207" t="str">
        <f>IF(AND(C22="Skema 1",B22="to"),Skemaoplysninger!$K$47,"")</f>
        <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5"/>
        <v/>
      </c>
      <c r="DL22" t="str">
        <f t="shared" si="15"/>
        <v/>
      </c>
      <c r="DM22" t="str">
        <f t="shared" si="15"/>
        <v/>
      </c>
      <c r="DN22" t="str">
        <f t="shared" si="35"/>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6"/>
        <v>0</v>
      </c>
      <c r="FZ22" s="634">
        <f t="shared" si="17"/>
        <v>0</v>
      </c>
      <c r="GA22">
        <f t="shared" si="18"/>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9"/>
        <v>0</v>
      </c>
      <c r="GL22">
        <f t="shared" si="20"/>
        <v>0</v>
      </c>
      <c r="GM22">
        <f t="shared" si="21"/>
        <v>0</v>
      </c>
      <c r="GN22" s="713">
        <f t="shared" si="22"/>
        <v>0</v>
      </c>
      <c r="GO22">
        <f t="shared" si="37"/>
        <v>0</v>
      </c>
      <c r="GP22" s="647">
        <f t="shared" si="38"/>
        <v>0</v>
      </c>
    </row>
    <row r="23" spans="1:198">
      <c r="A23" s="239">
        <f t="shared" si="23"/>
        <v>10</v>
      </c>
      <c r="B23" s="125" t="str">
        <f t="shared" si="0"/>
        <v>sø</v>
      </c>
      <c r="C23" s="126" t="s">
        <v>118</v>
      </c>
      <c r="D23" s="127" t="str">
        <f t="shared" si="1"/>
        <v/>
      </c>
      <c r="E23" s="1060"/>
      <c r="F23" s="1061"/>
      <c r="G23" s="1062"/>
      <c r="H23" s="292"/>
      <c r="I23" s="746" t="str">
        <f>IF(GO23=1,"X","")</f>
        <v/>
      </c>
      <c r="J23" s="746" t="str">
        <f t="shared" si="2"/>
        <v/>
      </c>
      <c r="K23" s="368"/>
      <c r="L23" s="368"/>
      <c r="M23" s="368"/>
      <c r="N23" s="311">
        <f t="shared" si="24"/>
        <v>0</v>
      </c>
      <c r="O23" s="311">
        <f t="shared" si="25"/>
        <v>0</v>
      </c>
      <c r="P23" s="311">
        <f>IF(Stamoplysninger!$H$34="JA",Januar!DG23,CX23)</f>
        <v>0</v>
      </c>
      <c r="Q23" s="311">
        <f t="shared" si="26"/>
        <v>0</v>
      </c>
      <c r="R23" s="751"/>
      <c r="S23" s="315"/>
      <c r="T23" s="316"/>
      <c r="U23" s="316"/>
      <c r="V23" s="422"/>
      <c r="W23" s="400"/>
      <c r="X23" s="619"/>
      <c r="Y23">
        <f t="shared" si="27"/>
        <v>0</v>
      </c>
      <c r="Z23">
        <f t="shared" si="3"/>
        <v>0</v>
      </c>
      <c r="AA23" s="1">
        <f t="shared" si="4"/>
        <v>0</v>
      </c>
      <c r="AB23" s="1">
        <f t="shared" si="5"/>
        <v>0</v>
      </c>
      <c r="AC23" s="1">
        <f t="shared" si="6"/>
        <v>0</v>
      </c>
      <c r="AD23" s="1">
        <f t="shared" si="7"/>
        <v>0</v>
      </c>
      <c r="AE23" s="1">
        <f t="shared" si="8"/>
        <v>0</v>
      </c>
      <c r="AF23" s="1">
        <f>IF(C23="Orlov",7.4*Stamoplysninger!$E$20,0)</f>
        <v>0</v>
      </c>
      <c r="AG23" t="str">
        <f>IF(AND(C23="Skema 1",B23="ma"),Arbejdstidsoversigt!$E$77,"")</f>
        <v/>
      </c>
      <c r="AH23" t="str">
        <f>IF(AND(C23="Skema 1",B23="ti"),Arbejdstidsoversigt!$E$78,"")</f>
        <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9"/>
        <v>0</v>
      </c>
      <c r="BC23" s="1">
        <f t="shared" si="29"/>
        <v>0</v>
      </c>
      <c r="BD23" s="1">
        <f t="shared" si="10"/>
        <v>0</v>
      </c>
      <c r="BE23" s="1">
        <f t="shared" si="11"/>
        <v>0</v>
      </c>
      <c r="BF23" s="1">
        <f t="shared" si="12"/>
        <v>0</v>
      </c>
      <c r="BG23" s="207" t="str">
        <f>IF(AND(C23="Skema 1",B23="ma"),Skemaoplysninger!$E$46,"")</f>
        <v/>
      </c>
      <c r="BH23" s="207" t="str">
        <f>IF(AND(C23="Skema 1",B23="ti"),Skemaoplysninger!$G$46,"")</f>
        <v/>
      </c>
      <c r="BI23" s="207" t="str">
        <f>IF(AND(C23="Skema 1",B23="on"),Skemaoplysninger!$I$46,"")</f>
        <v/>
      </c>
      <c r="BJ23" s="207" t="str">
        <f>IF(AND(C23="Skema 1",B23="to"),Skemaoplysninger!$K$46,"")</f>
        <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0</v>
      </c>
      <c r="CB23" s="1">
        <f t="shared" si="13"/>
        <v>0</v>
      </c>
      <c r="CC23" s="1">
        <f t="shared" si="14"/>
        <v>0</v>
      </c>
      <c r="CD23" s="207" t="str">
        <f>IF(AND(C23="Skema 1",B23="ma"),Skemaoplysninger!$E$47,"")</f>
        <v/>
      </c>
      <c r="CE23" s="207" t="str">
        <f>IF(AND(C23="Skema 1",B23="ti"),Skemaoplysninger!$G$47,"")</f>
        <v/>
      </c>
      <c r="CF23" s="207" t="str">
        <f>IF(AND(C23="Skema 1",B23="on"),Skemaoplysninger!$I$47,"")</f>
        <v/>
      </c>
      <c r="CG23" s="207" t="str">
        <f>IF(AND(C23="Skema 1",B23="to"),Skemaoplysninger!$K$47,"")</f>
        <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5"/>
        <v/>
      </c>
      <c r="DL23" t="str">
        <f t="shared" si="15"/>
        <v/>
      </c>
      <c r="DM23" t="str">
        <f t="shared" si="15"/>
        <v/>
      </c>
      <c r="DN23" t="str">
        <f t="shared" si="35"/>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6"/>
        <v>0</v>
      </c>
      <c r="FZ23" s="634">
        <f t="shared" si="17"/>
        <v>0</v>
      </c>
      <c r="GA23">
        <f t="shared" si="18"/>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9"/>
        <v>0</v>
      </c>
      <c r="GL23">
        <f t="shared" si="20"/>
        <v>0</v>
      </c>
      <c r="GM23">
        <f t="shared" si="21"/>
        <v>0</v>
      </c>
      <c r="GN23" s="713">
        <f t="shared" si="22"/>
        <v>0</v>
      </c>
      <c r="GO23">
        <f t="shared" si="37"/>
        <v>0</v>
      </c>
      <c r="GP23" s="647">
        <f t="shared" si="38"/>
        <v>0</v>
      </c>
    </row>
    <row r="24" spans="1:198">
      <c r="A24" s="239">
        <f t="shared" si="23"/>
        <v>11</v>
      </c>
      <c r="B24" s="125" t="str">
        <f t="shared" si="0"/>
        <v>ma</v>
      </c>
      <c r="C24" s="126" t="s">
        <v>203</v>
      </c>
      <c r="D24" s="127">
        <f t="shared" si="1"/>
        <v>2.4285714285714284</v>
      </c>
      <c r="E24" s="1060"/>
      <c r="F24" s="1061"/>
      <c r="G24" s="1062"/>
      <c r="H24" s="292"/>
      <c r="I24" s="745"/>
      <c r="J24" s="746" t="str">
        <f t="shared" si="2"/>
        <v/>
      </c>
      <c r="K24" s="368"/>
      <c r="L24" s="368"/>
      <c r="M24" s="368"/>
      <c r="N24" s="311">
        <f t="shared" si="24"/>
        <v>8.11</v>
      </c>
      <c r="O24" s="311">
        <f t="shared" si="25"/>
        <v>4.5</v>
      </c>
      <c r="P24" s="311">
        <f>IF(Stamoplysninger!$H$34="JA",Januar!DG24,CX24)</f>
        <v>1.9166666666666665</v>
      </c>
      <c r="Q24" s="311">
        <f t="shared" si="26"/>
        <v>1.6933333333333329</v>
      </c>
      <c r="R24" s="751"/>
      <c r="S24" s="315"/>
      <c r="T24" s="316"/>
      <c r="U24" s="316"/>
      <c r="V24" s="422"/>
      <c r="W24" s="400"/>
      <c r="X24" s="619"/>
      <c r="Y24">
        <f t="shared" si="27"/>
        <v>0</v>
      </c>
      <c r="Z24">
        <f t="shared" si="3"/>
        <v>0</v>
      </c>
      <c r="AA24" s="1">
        <f t="shared" si="4"/>
        <v>0</v>
      </c>
      <c r="AB24" s="1">
        <f t="shared" si="5"/>
        <v>0</v>
      </c>
      <c r="AC24" s="1">
        <f t="shared" si="6"/>
        <v>0</v>
      </c>
      <c r="AD24" s="1">
        <f t="shared" si="7"/>
        <v>0</v>
      </c>
      <c r="AE24" s="1">
        <f t="shared" si="8"/>
        <v>0</v>
      </c>
      <c r="AF24" s="1">
        <f>IF(C24="Orlov",7.4*Stamoplysninger!$E$20,0)</f>
        <v>0</v>
      </c>
      <c r="AG24">
        <f>IF(AND(C24="Skema 1",B24="ma"),Arbejdstidsoversigt!$E$77,"")</f>
        <v>8.11</v>
      </c>
      <c r="AH24" t="str">
        <f>IF(AND(C24="Skema 1",B24="ti"),Arbejdstidsoversigt!$E$78,"")</f>
        <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8.11</v>
      </c>
      <c r="BB24" s="224">
        <f t="shared" si="9"/>
        <v>194.64</v>
      </c>
      <c r="BC24" s="1">
        <f t="shared" si="29"/>
        <v>0</v>
      </c>
      <c r="BD24" s="1">
        <f t="shared" si="10"/>
        <v>0</v>
      </c>
      <c r="BE24" s="1">
        <f t="shared" si="11"/>
        <v>0</v>
      </c>
      <c r="BF24" s="1">
        <f t="shared" si="12"/>
        <v>0</v>
      </c>
      <c r="BG24" s="207">
        <f>IF(AND(C24="Skema 1",B24="ma"),Skemaoplysninger!$E$46,"")</f>
        <v>0.1875</v>
      </c>
      <c r="BH24" s="207" t="str">
        <f>IF(AND(C24="Skema 1",B24="ti"),Skemaoplysninger!$G$46,"")</f>
        <v/>
      </c>
      <c r="BI24" s="207" t="str">
        <f>IF(AND(C24="Skema 1",B24="on"),Skemaoplysninger!$I$46,"")</f>
        <v/>
      </c>
      <c r="BJ24" s="207" t="str">
        <f>IF(AND(C24="Skema 1",B24="to"),Skemaoplysninger!$K$46,"")</f>
        <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4.5</v>
      </c>
      <c r="CB24" s="1">
        <f t="shared" si="13"/>
        <v>0</v>
      </c>
      <c r="CC24" s="1">
        <f t="shared" si="14"/>
        <v>0</v>
      </c>
      <c r="CD24" s="207">
        <f>IF(AND(C24="Skema 1",B24="ma"),Skemaoplysninger!$E$47,"")</f>
        <v>7.9861111111111105E-2</v>
      </c>
      <c r="CE24" s="207" t="str">
        <f>IF(AND(C24="Skema 1",B24="ti"),Skemaoplysninger!$G$47,"")</f>
        <v/>
      </c>
      <c r="CF24" s="207" t="str">
        <f>IF(AND(C24="Skema 1",B24="on"),Skemaoplysninger!$I$47,"")</f>
        <v/>
      </c>
      <c r="CG24" s="207" t="str">
        <f>IF(AND(C24="Skema 1",B24="to"),Skemaoplysninger!$K$47,"")</f>
        <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1.9166666666666665</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5"/>
        <v/>
      </c>
      <c r="DL24" t="str">
        <f t="shared" si="15"/>
        <v/>
      </c>
      <c r="DM24" t="str">
        <f t="shared" si="15"/>
        <v/>
      </c>
      <c r="DN24" t="str">
        <f t="shared" si="35"/>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6"/>
        <v>0</v>
      </c>
      <c r="FZ24" s="634">
        <f t="shared" si="17"/>
        <v>0</v>
      </c>
      <c r="GA24">
        <f t="shared" si="18"/>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9"/>
        <v>0</v>
      </c>
      <c r="GL24">
        <f t="shared" si="20"/>
        <v>0</v>
      </c>
      <c r="GM24">
        <f t="shared" si="21"/>
        <v>0</v>
      </c>
      <c r="GN24" s="713">
        <f t="shared" si="22"/>
        <v>0</v>
      </c>
      <c r="GO24">
        <f t="shared" si="37"/>
        <v>0</v>
      </c>
      <c r="GP24" s="647">
        <f t="shared" si="38"/>
        <v>0</v>
      </c>
    </row>
    <row r="25" spans="1:198">
      <c r="A25" s="239">
        <f>IF(ISNUMBER(A24),A24+1,1)</f>
        <v>12</v>
      </c>
      <c r="B25" s="125" t="str">
        <f t="shared" si="0"/>
        <v>ti</v>
      </c>
      <c r="C25" s="126" t="s">
        <v>203</v>
      </c>
      <c r="D25" s="127" t="str">
        <f t="shared" si="1"/>
        <v/>
      </c>
      <c r="E25" s="1060"/>
      <c r="F25" s="1061"/>
      <c r="G25" s="1062"/>
      <c r="H25" s="292"/>
      <c r="I25" s="745"/>
      <c r="J25" s="746" t="str">
        <f t="shared" si="2"/>
        <v/>
      </c>
      <c r="K25" s="368"/>
      <c r="L25" s="368"/>
      <c r="M25" s="368"/>
      <c r="N25" s="311">
        <f t="shared" si="24"/>
        <v>8.11</v>
      </c>
      <c r="O25" s="311">
        <f t="shared" si="25"/>
        <v>4.5</v>
      </c>
      <c r="P25" s="311">
        <f>IF(Stamoplysninger!$H$34="JA",Januar!DG25,CX25)</f>
        <v>1.9166666666666665</v>
      </c>
      <c r="Q25" s="311">
        <f t="shared" si="26"/>
        <v>1.6933333333333329</v>
      </c>
      <c r="R25" s="751"/>
      <c r="S25" s="315"/>
      <c r="T25" s="316"/>
      <c r="U25" s="316"/>
      <c r="V25" s="422"/>
      <c r="W25" s="400"/>
      <c r="X25" s="619"/>
      <c r="Y25">
        <f t="shared" si="27"/>
        <v>0</v>
      </c>
      <c r="Z25">
        <f t="shared" si="3"/>
        <v>0</v>
      </c>
      <c r="AA25" s="1">
        <f t="shared" si="4"/>
        <v>0</v>
      </c>
      <c r="AB25" s="1">
        <f t="shared" si="5"/>
        <v>0</v>
      </c>
      <c r="AC25" s="1">
        <f t="shared" si="6"/>
        <v>0</v>
      </c>
      <c r="AD25" s="1">
        <f t="shared" si="7"/>
        <v>0</v>
      </c>
      <c r="AE25" s="1">
        <f t="shared" si="8"/>
        <v>0</v>
      </c>
      <c r="AF25" s="1">
        <f>IF(C25="Orlov",7.4*Stamoplysninger!$E$20,0)</f>
        <v>0</v>
      </c>
      <c r="AG25" t="str">
        <f>IF(AND(C25="Skema 1",B25="ma"),Arbejdstidsoversigt!$E$77,"")</f>
        <v/>
      </c>
      <c r="AH25">
        <f>IF(AND(C25="Skema 1",B25="ti"),Arbejdstidsoversigt!$E$78,"")</f>
        <v>8.11</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8.11</v>
      </c>
      <c r="BB25" s="224">
        <f t="shared" si="9"/>
        <v>194.64</v>
      </c>
      <c r="BC25" s="1">
        <f t="shared" si="29"/>
        <v>0</v>
      </c>
      <c r="BD25" s="1">
        <f t="shared" si="10"/>
        <v>0</v>
      </c>
      <c r="BE25" s="1">
        <f t="shared" si="11"/>
        <v>0</v>
      </c>
      <c r="BF25" s="1">
        <f t="shared" si="12"/>
        <v>0</v>
      </c>
      <c r="BG25" s="207" t="str">
        <f>IF(AND(C25="Skema 1",B25="ma"),Skemaoplysninger!$E$46,"")</f>
        <v/>
      </c>
      <c r="BH25" s="207">
        <f>IF(AND(C25="Skema 1",B25="ti"),Skemaoplysninger!$G$46,"")</f>
        <v>0.1875</v>
      </c>
      <c r="BI25" s="207" t="str">
        <f>IF(AND(C25="Skema 1",B25="on"),Skemaoplysninger!$I$46,"")</f>
        <v/>
      </c>
      <c r="BJ25" s="207" t="str">
        <f>IF(AND(C25="Skema 1",B25="to"),Skemaoplysninger!$K$46,"")</f>
        <v/>
      </c>
      <c r="BK25" s="207" t="str">
        <f>IF(AND(C25="Skema 1",B25="fr"),Skemaoplysninger!$M$46,"")</f>
        <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4.5</v>
      </c>
      <c r="CB25" s="1">
        <f t="shared" si="13"/>
        <v>0</v>
      </c>
      <c r="CC25" s="1">
        <f t="shared" si="14"/>
        <v>0</v>
      </c>
      <c r="CD25" s="207" t="str">
        <f>IF(AND(C25="Skema 1",B25="ma"),Skemaoplysninger!$E$47,"")</f>
        <v/>
      </c>
      <c r="CE25" s="207">
        <f>IF(AND(C25="Skema 1",B25="ti"),Skemaoplysninger!$G$47,"")</f>
        <v>7.9861111111111105E-2</v>
      </c>
      <c r="CF25" s="207" t="str">
        <f>IF(AND(C25="Skema 1",B25="on"),Skemaoplysninger!$I$47,"")</f>
        <v/>
      </c>
      <c r="CG25" s="207" t="str">
        <f>IF(AND(C25="Skema 1",B25="to"),Skemaoplysninger!$K$47,"")</f>
        <v/>
      </c>
      <c r="CH25" s="207" t="str">
        <f>IF(AND(C25="Skema 1",B25="fr"),Skemaoplysninger!$M$47,"")</f>
        <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1.9166666666666665</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5"/>
        <v/>
      </c>
      <c r="DL25" t="str">
        <f t="shared" si="15"/>
        <v/>
      </c>
      <c r="DM25" t="str">
        <f t="shared" si="15"/>
        <v/>
      </c>
      <c r="DN25" t="str">
        <f t="shared" si="35"/>
        <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6"/>
        <v>0</v>
      </c>
      <c r="FZ25" s="634">
        <f t="shared" si="17"/>
        <v>0</v>
      </c>
      <c r="GA25">
        <f t="shared" si="18"/>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9"/>
        <v>0</v>
      </c>
      <c r="GL25">
        <f t="shared" si="20"/>
        <v>0</v>
      </c>
      <c r="GM25">
        <f t="shared" si="21"/>
        <v>0</v>
      </c>
      <c r="GN25" s="713">
        <f t="shared" si="22"/>
        <v>0</v>
      </c>
      <c r="GO25">
        <f t="shared" si="37"/>
        <v>0</v>
      </c>
      <c r="GP25" s="647">
        <f t="shared" si="38"/>
        <v>0</v>
      </c>
    </row>
    <row r="26" spans="1:198">
      <c r="A26" s="239">
        <f>IF(ISNUMBER(A25),A25+1,1)</f>
        <v>13</v>
      </c>
      <c r="B26" s="125" t="str">
        <f t="shared" si="0"/>
        <v>on</v>
      </c>
      <c r="C26" s="126" t="s">
        <v>203</v>
      </c>
      <c r="D26" s="127" t="str">
        <f t="shared" si="1"/>
        <v/>
      </c>
      <c r="E26" s="1123"/>
      <c r="F26" s="1124"/>
      <c r="G26" s="1125"/>
      <c r="H26" s="291"/>
      <c r="I26" s="745"/>
      <c r="J26" s="746" t="str">
        <f t="shared" si="2"/>
        <v/>
      </c>
      <c r="K26" s="368"/>
      <c r="L26" s="368"/>
      <c r="M26" s="368"/>
      <c r="N26" s="311">
        <f t="shared" si="24"/>
        <v>8.11</v>
      </c>
      <c r="O26" s="311">
        <f t="shared" si="25"/>
        <v>2.75</v>
      </c>
      <c r="P26" s="311">
        <f>IF(Stamoplysninger!$H$34="JA",Januar!DG26,CX26)</f>
        <v>1.25</v>
      </c>
      <c r="Q26" s="311">
        <f t="shared" si="26"/>
        <v>4.1099999999999994</v>
      </c>
      <c r="R26" s="751"/>
      <c r="S26" s="315"/>
      <c r="T26" s="316"/>
      <c r="U26" s="316"/>
      <c r="V26" s="422"/>
      <c r="W26" s="400"/>
      <c r="X26" s="619"/>
      <c r="Y26">
        <f t="shared" si="27"/>
        <v>0</v>
      </c>
      <c r="Z26">
        <f t="shared" si="3"/>
        <v>0</v>
      </c>
      <c r="AA26" s="1">
        <f t="shared" si="4"/>
        <v>0</v>
      </c>
      <c r="AB26" s="1">
        <f t="shared" si="5"/>
        <v>0</v>
      </c>
      <c r="AC26" s="1">
        <f t="shared" si="6"/>
        <v>0</v>
      </c>
      <c r="AD26" s="1">
        <f t="shared" si="7"/>
        <v>0</v>
      </c>
      <c r="AE26" s="1">
        <f t="shared" si="8"/>
        <v>0</v>
      </c>
      <c r="AF26" s="1">
        <f>IF(C26="Orlov",7.4*Stamoplysninger!$E$20,0)</f>
        <v>0</v>
      </c>
      <c r="AG26" t="str">
        <f>IF(AND(C26="Skema 1",B26="ma"),Arbejdstidsoversigt!$E$77,"")</f>
        <v/>
      </c>
      <c r="AH26" t="str">
        <f>IF(AND(C26="Skema 1",B26="ti"),Arbejdstidsoversigt!$E$78,"")</f>
        <v/>
      </c>
      <c r="AI26">
        <f>IF(AND(C26="Skema 1",B26="on"),Arbejdstidsoversigt!$E$79,"")</f>
        <v>8.11</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8.11</v>
      </c>
      <c r="BB26" s="224">
        <f t="shared" si="9"/>
        <v>194.64</v>
      </c>
      <c r="BC26" s="1">
        <f t="shared" si="29"/>
        <v>0</v>
      </c>
      <c r="BD26" s="1">
        <f t="shared" si="10"/>
        <v>0</v>
      </c>
      <c r="BE26" s="1">
        <f t="shared" si="11"/>
        <v>0</v>
      </c>
      <c r="BF26" s="1">
        <f t="shared" si="12"/>
        <v>0</v>
      </c>
      <c r="BG26" s="207" t="str">
        <f>IF(AND(C26="Skema 1",B26="ma"),Skemaoplysninger!$E$46,"")</f>
        <v/>
      </c>
      <c r="BH26" s="207" t="str">
        <f>IF(AND(C26="Skema 1",B26="ti"),Skemaoplysninger!$G$46,"")</f>
        <v/>
      </c>
      <c r="BI26" s="207">
        <f>IF(AND(C26="Skema 1",B26="on"),Skemaoplysninger!$I$46,"")</f>
        <v>0.11458333333333333</v>
      </c>
      <c r="BJ26" s="207" t="str">
        <f>IF(AND(C26="Skema 1",B26="to"),Skemaoplysninger!$K$46,"")</f>
        <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2.75</v>
      </c>
      <c r="CB26" s="1">
        <f t="shared" si="13"/>
        <v>0</v>
      </c>
      <c r="CC26" s="1">
        <f t="shared" si="14"/>
        <v>0</v>
      </c>
      <c r="CD26" s="207" t="str">
        <f>IF(AND(C26="Skema 1",B26="ma"),Skemaoplysninger!$E$47,"")</f>
        <v/>
      </c>
      <c r="CE26" s="207" t="str">
        <f>IF(AND(C26="Skema 1",B26="ti"),Skemaoplysninger!$G$47,"")</f>
        <v/>
      </c>
      <c r="CF26" s="207">
        <f>IF(AND(C26="Skema 1",B26="on"),Skemaoplysninger!$I$47,"")</f>
        <v>5.2083333333333329E-2</v>
      </c>
      <c r="CG26" s="207" t="str">
        <f>IF(AND(C26="Skema 1",B26="to"),Skemaoplysninger!$K$47,"")</f>
        <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1.25</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5"/>
        <v/>
      </c>
      <c r="DL26" t="str">
        <f t="shared" si="15"/>
        <v/>
      </c>
      <c r="DM26" t="str">
        <f t="shared" si="15"/>
        <v/>
      </c>
      <c r="DN26" t="str">
        <f t="shared" si="35"/>
        <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6"/>
        <v>0</v>
      </c>
      <c r="FZ26" s="634">
        <f t="shared" si="17"/>
        <v>0</v>
      </c>
      <c r="GA26">
        <f t="shared" si="18"/>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9"/>
        <v>0</v>
      </c>
      <c r="GL26">
        <f t="shared" si="20"/>
        <v>0</v>
      </c>
      <c r="GM26">
        <f t="shared" si="21"/>
        <v>0</v>
      </c>
      <c r="GN26" s="713">
        <f t="shared" si="22"/>
        <v>0</v>
      </c>
      <c r="GO26">
        <f t="shared" si="37"/>
        <v>0</v>
      </c>
      <c r="GP26" s="647">
        <f t="shared" si="38"/>
        <v>0</v>
      </c>
    </row>
    <row r="27" spans="1:198">
      <c r="A27" s="239">
        <f t="shared" si="23"/>
        <v>14</v>
      </c>
      <c r="B27" s="125" t="str">
        <f t="shared" si="0"/>
        <v>to</v>
      </c>
      <c r="C27" s="126" t="s">
        <v>203</v>
      </c>
      <c r="D27" s="127" t="str">
        <f t="shared" si="1"/>
        <v/>
      </c>
      <c r="E27" s="1123"/>
      <c r="F27" s="1124"/>
      <c r="G27" s="1125"/>
      <c r="H27" s="291"/>
      <c r="I27" s="745"/>
      <c r="J27" s="746" t="str">
        <f t="shared" si="2"/>
        <v/>
      </c>
      <c r="K27" s="368"/>
      <c r="L27" s="368"/>
      <c r="M27" s="368"/>
      <c r="N27" s="311">
        <f t="shared" si="24"/>
        <v>9</v>
      </c>
      <c r="O27" s="311">
        <f t="shared" si="25"/>
        <v>3.75</v>
      </c>
      <c r="P27" s="311">
        <f>IF(Stamoplysninger!$H$34="JA",Januar!DG27,CX27)</f>
        <v>1</v>
      </c>
      <c r="Q27" s="311">
        <f t="shared" si="26"/>
        <v>4.25</v>
      </c>
      <c r="R27" s="751"/>
      <c r="S27" s="315"/>
      <c r="T27" s="316"/>
      <c r="U27" s="316"/>
      <c r="V27" s="422"/>
      <c r="W27" s="400"/>
      <c r="X27" s="619"/>
      <c r="Y27">
        <f t="shared" si="27"/>
        <v>0</v>
      </c>
      <c r="Z27">
        <f t="shared" si="3"/>
        <v>0</v>
      </c>
      <c r="AA27" s="1">
        <f t="shared" si="4"/>
        <v>0</v>
      </c>
      <c r="AB27" s="1">
        <f t="shared" si="5"/>
        <v>0</v>
      </c>
      <c r="AC27" s="1">
        <f t="shared" si="6"/>
        <v>0</v>
      </c>
      <c r="AD27" s="1">
        <f t="shared" si="7"/>
        <v>0</v>
      </c>
      <c r="AE27" s="1">
        <f t="shared" si="8"/>
        <v>0</v>
      </c>
      <c r="AF27" s="1">
        <f>IF(C27="Orlov",7.4*Stamoplysninger!$E$20,0)</f>
        <v>0</v>
      </c>
      <c r="AG27" t="str">
        <f>IF(AND(C27="Skema 1",B27="ma"),Arbejdstidsoversigt!$E$77,"")</f>
        <v/>
      </c>
      <c r="AH27" t="str">
        <f>IF(AND(C27="Skema 1",B27="ti"),Arbejdstidsoversigt!$E$78,"")</f>
        <v/>
      </c>
      <c r="AI27" t="str">
        <f>IF(AND(C27="Skema 1",B27="on"),Arbejdstidsoversigt!$E$79,"")</f>
        <v/>
      </c>
      <c r="AJ27">
        <f>IF(AND(C27="Skema 1",B27="to"),Arbejdstidsoversigt!$E$80,"")</f>
        <v>9</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9</v>
      </c>
      <c r="BB27" s="224">
        <f t="shared" si="9"/>
        <v>216</v>
      </c>
      <c r="BC27" s="1">
        <f t="shared" si="29"/>
        <v>0</v>
      </c>
      <c r="BD27" s="1">
        <f t="shared" si="10"/>
        <v>0</v>
      </c>
      <c r="BE27" s="1">
        <f t="shared" si="11"/>
        <v>0</v>
      </c>
      <c r="BF27" s="1">
        <f t="shared" si="12"/>
        <v>0</v>
      </c>
      <c r="BG27" s="207" t="str">
        <f>IF(AND(C27="Skema 1",B27="ma"),Skemaoplysninger!$E$46,"")</f>
        <v/>
      </c>
      <c r="BH27" s="207" t="str">
        <f>IF(AND(C27="Skema 1",B27="ti"),Skemaoplysninger!$G$46,"")</f>
        <v/>
      </c>
      <c r="BI27" s="207" t="str">
        <f>IF(AND(C27="Skema 1",B27="on"),Skemaoplysninger!$I$46,"")</f>
        <v/>
      </c>
      <c r="BJ27" s="207">
        <f>IF(AND(C27="Skema 1",B27="to"),Skemaoplysninger!$K$46,"")</f>
        <v>0.15625</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3.75</v>
      </c>
      <c r="CB27" s="1">
        <f t="shared" si="13"/>
        <v>0</v>
      </c>
      <c r="CC27" s="1">
        <f t="shared" si="14"/>
        <v>0</v>
      </c>
      <c r="CD27" s="207" t="str">
        <f>IF(AND(C27="Skema 1",B27="ma"),Skemaoplysninger!$E$47,"")</f>
        <v/>
      </c>
      <c r="CE27" s="207" t="str">
        <f>IF(AND(C27="Skema 1",B27="ti"),Skemaoplysninger!$G$47,"")</f>
        <v/>
      </c>
      <c r="CF27" s="207" t="str">
        <f>IF(AND(C27="Skema 1",B27="on"),Skemaoplysninger!$I$47,"")</f>
        <v/>
      </c>
      <c r="CG27" s="207">
        <f>IF(AND(C27="Skema 1",B27="to"),Skemaoplysninger!$K$47,"")</f>
        <v>4.1666666666666664E-2</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1</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f t="shared" si="33"/>
        <v>0</v>
      </c>
      <c r="DJ27">
        <f t="shared" si="34"/>
        <v>0</v>
      </c>
      <c r="DK27" t="str">
        <f t="shared" si="15"/>
        <v/>
      </c>
      <c r="DL27" t="str">
        <f t="shared" si="15"/>
        <v/>
      </c>
      <c r="DM27" t="str">
        <f t="shared" si="15"/>
        <v/>
      </c>
      <c r="DN27" t="str">
        <f t="shared" si="35"/>
        <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6"/>
        <v>0</v>
      </c>
      <c r="FZ27" s="634">
        <f t="shared" si="17"/>
        <v>0</v>
      </c>
      <c r="GA27">
        <f t="shared" si="18"/>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9"/>
        <v>0</v>
      </c>
      <c r="GL27">
        <f t="shared" si="20"/>
        <v>0</v>
      </c>
      <c r="GM27">
        <f t="shared" si="21"/>
        <v>0</v>
      </c>
      <c r="GN27" s="713">
        <f t="shared" si="22"/>
        <v>0</v>
      </c>
      <c r="GO27">
        <f t="shared" si="37"/>
        <v>0</v>
      </c>
      <c r="GP27" s="647">
        <f t="shared" si="38"/>
        <v>0</v>
      </c>
    </row>
    <row r="28" spans="1:198">
      <c r="A28" s="239">
        <f t="shared" si="23"/>
        <v>15</v>
      </c>
      <c r="B28" s="125" t="str">
        <f t="shared" si="0"/>
        <v>fr</v>
      </c>
      <c r="C28" s="126" t="s">
        <v>203</v>
      </c>
      <c r="D28" s="127" t="str">
        <f t="shared" si="1"/>
        <v/>
      </c>
      <c r="E28" s="1123"/>
      <c r="F28" s="1124"/>
      <c r="G28" s="1125"/>
      <c r="H28" s="291"/>
      <c r="I28" s="745"/>
      <c r="J28" s="746" t="str">
        <f t="shared" si="2"/>
        <v/>
      </c>
      <c r="K28" s="368"/>
      <c r="L28" s="368"/>
      <c r="M28" s="368"/>
      <c r="N28" s="311">
        <f t="shared" si="24"/>
        <v>7.1</v>
      </c>
      <c r="O28" s="311">
        <f t="shared" si="25"/>
        <v>3.75</v>
      </c>
      <c r="P28" s="311">
        <f>IF(Stamoplysninger!$H$34="JA",Januar!DG28,CX28)</f>
        <v>1</v>
      </c>
      <c r="Q28" s="311">
        <f t="shared" si="26"/>
        <v>2.3499999999999996</v>
      </c>
      <c r="R28" s="751"/>
      <c r="S28" s="315"/>
      <c r="T28" s="316"/>
      <c r="U28" s="316"/>
      <c r="V28" s="422"/>
      <c r="W28" s="400"/>
      <c r="X28" s="619"/>
      <c r="Y28">
        <f t="shared" si="27"/>
        <v>0</v>
      </c>
      <c r="Z28">
        <f t="shared" si="3"/>
        <v>0</v>
      </c>
      <c r="AA28" s="1">
        <f t="shared" si="4"/>
        <v>0</v>
      </c>
      <c r="AB28" s="1">
        <f t="shared" si="5"/>
        <v>0</v>
      </c>
      <c r="AC28" s="1">
        <f t="shared" si="6"/>
        <v>0</v>
      </c>
      <c r="AD28" s="1">
        <f t="shared" si="7"/>
        <v>0</v>
      </c>
      <c r="AE28" s="1">
        <f t="shared" si="8"/>
        <v>0</v>
      </c>
      <c r="AF28" s="1">
        <f>IF(C28="Orlov",7.4*Stamoplysninger!$E$20,0)</f>
        <v>0</v>
      </c>
      <c r="AG28" t="str">
        <f>IF(AND(C28="Skema 1",B28="ma"),Arbejdstidsoversigt!$E$77,"")</f>
        <v/>
      </c>
      <c r="AH28" t="str">
        <f>IF(AND(C28="Skema 1",B28="ti"),Arbejdstidsoversigt!$E$78,"")</f>
        <v/>
      </c>
      <c r="AI28" t="str">
        <f>IF(AND(C28="Skema 1",B28="on"),Arbejdstidsoversigt!$E$79,"")</f>
        <v/>
      </c>
      <c r="AJ28" t="str">
        <f>IF(AND(C28="Skema 1",B28="to"),Arbejdstidsoversigt!$E$80,"")</f>
        <v/>
      </c>
      <c r="AK28">
        <f>IF(AND(C28="Skema 1",B28="fr"),Arbejdstidsoversigt!$E$81,"")</f>
        <v>7.1</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7.1</v>
      </c>
      <c r="BB28" s="224">
        <f t="shared" si="9"/>
        <v>170.39999999999998</v>
      </c>
      <c r="BC28" s="1">
        <f t="shared" si="29"/>
        <v>0</v>
      </c>
      <c r="BD28" s="1">
        <f t="shared" si="10"/>
        <v>0</v>
      </c>
      <c r="BE28" s="1">
        <f t="shared" si="11"/>
        <v>0</v>
      </c>
      <c r="BF28" s="1">
        <f t="shared" si="12"/>
        <v>0</v>
      </c>
      <c r="BG28" s="207" t="str">
        <f>IF(AND(C28="Skema 1",B28="ma"),Skemaoplysninger!$E$46,"")</f>
        <v/>
      </c>
      <c r="BH28" s="207" t="str">
        <f>IF(AND(C28="Skema 1",B28="ti"),Skemaoplysninger!$G$46,"")</f>
        <v/>
      </c>
      <c r="BI28" s="207" t="str">
        <f>IF(AND(C28="Skema 1",B28="on"),Skemaoplysninger!$I$46,"")</f>
        <v/>
      </c>
      <c r="BJ28" s="207" t="str">
        <f>IF(AND(C28="Skema 1",B28="to"),Skemaoplysninger!$K$46,"")</f>
        <v/>
      </c>
      <c r="BK28" s="207">
        <f>IF(AND(C28="Skema 1",B28="fr"),Skemaoplysninger!$M$46,"")</f>
        <v>0.15625</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3.75</v>
      </c>
      <c r="CB28" s="1">
        <f t="shared" si="13"/>
        <v>0</v>
      </c>
      <c r="CC28" s="1">
        <f t="shared" si="14"/>
        <v>0</v>
      </c>
      <c r="CD28" s="207" t="str">
        <f>IF(AND(C28="Skema 1",B28="ma"),Skemaoplysninger!$E$47,"")</f>
        <v/>
      </c>
      <c r="CE28" s="207" t="str">
        <f>IF(AND(C28="Skema 1",B28="ti"),Skemaoplysninger!$G$47,"")</f>
        <v/>
      </c>
      <c r="CF28" s="207" t="str">
        <f>IF(AND(C28="Skema 1",B28="on"),Skemaoplysninger!$I$47,"")</f>
        <v/>
      </c>
      <c r="CG28" s="207" t="str">
        <f>IF(AND(C28="Skema 1",B28="to"),Skemaoplysninger!$K$47,"")</f>
        <v/>
      </c>
      <c r="CH28" s="207">
        <f>IF(AND(C28="Skema 1",B28="fr"),Skemaoplysninger!$M$47,"")</f>
        <v>4.1666666666666664E-2</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1</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5"/>
        <v/>
      </c>
      <c r="DL28" t="str">
        <f t="shared" si="15"/>
        <v/>
      </c>
      <c r="DM28" t="str">
        <f t="shared" si="15"/>
        <v/>
      </c>
      <c r="DN28" t="str">
        <f t="shared" si="35"/>
        <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6"/>
        <v>0</v>
      </c>
      <c r="FZ28" s="634">
        <f t="shared" si="17"/>
        <v>0</v>
      </c>
      <c r="GA28">
        <f t="shared" si="18"/>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9"/>
        <v>0</v>
      </c>
      <c r="GL28">
        <f t="shared" si="20"/>
        <v>0</v>
      </c>
      <c r="GM28">
        <f t="shared" si="21"/>
        <v>0</v>
      </c>
      <c r="GN28" s="713">
        <f t="shared" si="22"/>
        <v>0</v>
      </c>
      <c r="GO28">
        <f t="shared" si="37"/>
        <v>0</v>
      </c>
      <c r="GP28" s="647">
        <f t="shared" si="38"/>
        <v>0</v>
      </c>
    </row>
    <row r="29" spans="1:198">
      <c r="A29" s="239">
        <f>IF(ISNUMBER(A28),A28+1,1)</f>
        <v>16</v>
      </c>
      <c r="B29" s="125" t="str">
        <f t="shared" si="0"/>
        <v>lø</v>
      </c>
      <c r="C29" s="126" t="s">
        <v>118</v>
      </c>
      <c r="D29" s="127" t="str">
        <f t="shared" si="1"/>
        <v/>
      </c>
      <c r="E29" s="1060"/>
      <c r="F29" s="1061"/>
      <c r="G29" s="1062"/>
      <c r="H29" s="292"/>
      <c r="I29" s="746" t="str">
        <f>IF(GO29=1,"X","")</f>
        <v/>
      </c>
      <c r="J29" s="746" t="str">
        <f t="shared" si="2"/>
        <v/>
      </c>
      <c r="K29" s="368"/>
      <c r="L29" s="368"/>
      <c r="M29" s="368"/>
      <c r="N29" s="311">
        <f t="shared" si="24"/>
        <v>0</v>
      </c>
      <c r="O29" s="311">
        <f t="shared" si="25"/>
        <v>0</v>
      </c>
      <c r="P29" s="311">
        <f>IF(Stamoplysninger!$H$34="JA",Januar!DG29,CX29)</f>
        <v>0</v>
      </c>
      <c r="Q29" s="311">
        <f t="shared" si="26"/>
        <v>0</v>
      </c>
      <c r="R29" s="751"/>
      <c r="S29" s="315"/>
      <c r="T29" s="316"/>
      <c r="U29" s="316"/>
      <c r="V29" s="422"/>
      <c r="W29" s="400"/>
      <c r="X29" s="619"/>
      <c r="Y29">
        <f t="shared" si="27"/>
        <v>0</v>
      </c>
      <c r="Z29">
        <f t="shared" si="3"/>
        <v>0</v>
      </c>
      <c r="AA29" s="1">
        <f t="shared" si="4"/>
        <v>0</v>
      </c>
      <c r="AB29" s="1">
        <f t="shared" si="5"/>
        <v>0</v>
      </c>
      <c r="AC29" s="1">
        <f t="shared" si="6"/>
        <v>0</v>
      </c>
      <c r="AD29" s="1">
        <f t="shared" si="7"/>
        <v>0</v>
      </c>
      <c r="AE29" s="1">
        <f t="shared" si="8"/>
        <v>0</v>
      </c>
      <c r="AF29" s="1">
        <f>IF(C29="Orlov",7.4*Stamoplysninger!$E$20,0)</f>
        <v>0</v>
      </c>
      <c r="AG29" t="str">
        <f>IF(AND(C29="Skema 1",B29="ma"),Arbejdstidsoversigt!$E$77,"")</f>
        <v/>
      </c>
      <c r="AH29" t="str">
        <f>IF(AND(C29="Skema 1",B29="ti"),Arbejdstidsoversigt!$E$78,"")</f>
        <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9"/>
        <v>0</v>
      </c>
      <c r="BC29" s="1">
        <f t="shared" si="29"/>
        <v>0</v>
      </c>
      <c r="BD29" s="1">
        <f t="shared" si="10"/>
        <v>0</v>
      </c>
      <c r="BE29" s="1">
        <f t="shared" si="11"/>
        <v>0</v>
      </c>
      <c r="BF29" s="1">
        <f t="shared" si="12"/>
        <v>0</v>
      </c>
      <c r="BG29" s="207" t="str">
        <f>IF(AND(C29="Skema 1",B29="ma"),Skemaoplysninger!$E$46,"")</f>
        <v/>
      </c>
      <c r="BH29" s="207" t="str">
        <f>IF(AND(C29="Skema 1",B29="ti"),Skemaoplysninger!$G$46,"")</f>
        <v/>
      </c>
      <c r="BI29" s="207" t="str">
        <f>IF(AND(C29="Skema 1",B29="on"),Skemaoplysninger!$I$46,"")</f>
        <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0</v>
      </c>
      <c r="CB29" s="1">
        <f t="shared" si="13"/>
        <v>0</v>
      </c>
      <c r="CC29" s="1">
        <f t="shared" si="14"/>
        <v>0</v>
      </c>
      <c r="CD29" s="207" t="str">
        <f>IF(AND(C29="Skema 1",B29="ma"),Skemaoplysninger!$E$47,"")</f>
        <v/>
      </c>
      <c r="CE29" s="207" t="str">
        <f>IF(AND(C29="Skema 1",B29="ti"),Skemaoplysninger!$G$47,"")</f>
        <v/>
      </c>
      <c r="CF29" s="207" t="str">
        <f>IF(AND(C29="Skema 1",B29="on"),Skemaoplysninger!$I$47,"")</f>
        <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f t="shared" si="33"/>
        <v>0</v>
      </c>
      <c r="DJ29">
        <f t="shared" si="34"/>
        <v>0</v>
      </c>
      <c r="DK29" t="str">
        <f t="shared" si="15"/>
        <v/>
      </c>
      <c r="DL29" t="str">
        <f t="shared" si="15"/>
        <v/>
      </c>
      <c r="DM29" t="str">
        <f t="shared" si="15"/>
        <v/>
      </c>
      <c r="DN29" t="str">
        <f t="shared" si="35"/>
        <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6"/>
        <v>0</v>
      </c>
      <c r="FZ29" s="634">
        <f t="shared" si="17"/>
        <v>0</v>
      </c>
      <c r="GA29">
        <f t="shared" si="18"/>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9"/>
        <v>0</v>
      </c>
      <c r="GL29">
        <f t="shared" si="20"/>
        <v>0</v>
      </c>
      <c r="GM29">
        <f t="shared" si="21"/>
        <v>0</v>
      </c>
      <c r="GN29" s="713">
        <f t="shared" si="22"/>
        <v>0</v>
      </c>
      <c r="GO29">
        <f t="shared" si="37"/>
        <v>0</v>
      </c>
      <c r="GP29" s="647">
        <f t="shared" si="38"/>
        <v>0</v>
      </c>
    </row>
    <row r="30" spans="1:198">
      <c r="A30" s="239">
        <f t="shared" si="23"/>
        <v>17</v>
      </c>
      <c r="B30" s="125" t="str">
        <f t="shared" si="0"/>
        <v>sø</v>
      </c>
      <c r="C30" s="126" t="s">
        <v>118</v>
      </c>
      <c r="D30" s="127" t="str">
        <f t="shared" si="1"/>
        <v/>
      </c>
      <c r="E30" s="1060"/>
      <c r="F30" s="1061"/>
      <c r="G30" s="1062"/>
      <c r="H30" s="292"/>
      <c r="I30" s="746" t="str">
        <f>IF(GO30=1,"X","")</f>
        <v/>
      </c>
      <c r="J30" s="746" t="str">
        <f t="shared" si="2"/>
        <v/>
      </c>
      <c r="K30" s="368"/>
      <c r="L30" s="368"/>
      <c r="M30" s="368"/>
      <c r="N30" s="311">
        <f t="shared" si="24"/>
        <v>0</v>
      </c>
      <c r="O30" s="311">
        <f t="shared" si="25"/>
        <v>0</v>
      </c>
      <c r="P30" s="311">
        <f>IF(Stamoplysninger!$H$34="JA",Januar!DG30,CX30)</f>
        <v>0</v>
      </c>
      <c r="Q30" s="311">
        <f t="shared" si="26"/>
        <v>0</v>
      </c>
      <c r="R30" s="751"/>
      <c r="S30" s="315"/>
      <c r="T30" s="316"/>
      <c r="U30" s="316"/>
      <c r="V30" s="422"/>
      <c r="W30" s="400"/>
      <c r="X30" s="619"/>
      <c r="Y30">
        <f t="shared" si="27"/>
        <v>0</v>
      </c>
      <c r="Z30">
        <f t="shared" si="3"/>
        <v>0</v>
      </c>
      <c r="AA30" s="1">
        <f t="shared" si="4"/>
        <v>0</v>
      </c>
      <c r="AB30" s="1">
        <f t="shared" si="5"/>
        <v>0</v>
      </c>
      <c r="AC30" s="1">
        <f t="shared" si="6"/>
        <v>0</v>
      </c>
      <c r="AD30" s="1">
        <f t="shared" si="7"/>
        <v>0</v>
      </c>
      <c r="AE30" s="1">
        <f t="shared" si="8"/>
        <v>0</v>
      </c>
      <c r="AF30" s="1">
        <f>IF(C30="Orlov",7.4*Stamoplysninger!$E$20,0)</f>
        <v>0</v>
      </c>
      <c r="AG30" t="str">
        <f>IF(AND(C30="Skema 1",B30="ma"),Arbejdstidsoversigt!$E$77,"")</f>
        <v/>
      </c>
      <c r="AH30" t="str">
        <f>IF(AND(C30="Skema 1",B30="ti"),Arbejdstidsoversigt!$E$78,"")</f>
        <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9"/>
        <v>0</v>
      </c>
      <c r="BC30" s="1">
        <f t="shared" si="29"/>
        <v>0</v>
      </c>
      <c r="BD30" s="1">
        <f t="shared" si="10"/>
        <v>0</v>
      </c>
      <c r="BE30" s="1">
        <f t="shared" si="11"/>
        <v>0</v>
      </c>
      <c r="BF30" s="1">
        <f t="shared" si="12"/>
        <v>0</v>
      </c>
      <c r="BG30" s="207" t="str">
        <f>IF(AND(C30="Skema 1",B30="ma"),Skemaoplysninger!$E$46,"")</f>
        <v/>
      </c>
      <c r="BH30" s="207" t="str">
        <f>IF(AND(C30="Skema 1",B30="ti"),Skemaoplysninger!$G$46,"")</f>
        <v/>
      </c>
      <c r="BI30" s="207" t="str">
        <f>IF(AND(C30="Skema 1",B30="on"),Skemaoplysninger!$I$46,"")</f>
        <v/>
      </c>
      <c r="BJ30" s="207" t="str">
        <f>IF(AND(C30="Skema 1",B30="to"),Skemaoplysninger!$K$46,"")</f>
        <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0</v>
      </c>
      <c r="CB30" s="1">
        <f t="shared" si="13"/>
        <v>0</v>
      </c>
      <c r="CC30" s="1">
        <f t="shared" si="14"/>
        <v>0</v>
      </c>
      <c r="CD30" s="207" t="str">
        <f>IF(AND(C30="Skema 1",B30="ma"),Skemaoplysninger!$E$47,"")</f>
        <v/>
      </c>
      <c r="CE30" s="207" t="str">
        <f>IF(AND(C30="Skema 1",B30="ti"),Skemaoplysninger!$G$47,"")</f>
        <v/>
      </c>
      <c r="CF30" s="207" t="str">
        <f>IF(AND(C30="Skema 1",B30="on"),Skemaoplysninger!$I$47,"")</f>
        <v/>
      </c>
      <c r="CG30" s="207" t="str">
        <f>IF(AND(C30="Skema 1",B30="to"),Skemaoplysninger!$K$47,"")</f>
        <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5"/>
        <v/>
      </c>
      <c r="DL30" t="str">
        <f t="shared" si="15"/>
        <v/>
      </c>
      <c r="DM30" t="str">
        <f t="shared" si="15"/>
        <v/>
      </c>
      <c r="DN30" t="str">
        <f t="shared" si="35"/>
        <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6"/>
        <v>0</v>
      </c>
      <c r="FZ30" s="634">
        <f t="shared" si="17"/>
        <v>0</v>
      </c>
      <c r="GA30">
        <f t="shared" si="18"/>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9"/>
        <v>0</v>
      </c>
      <c r="GL30">
        <f t="shared" si="20"/>
        <v>0</v>
      </c>
      <c r="GM30">
        <f t="shared" si="21"/>
        <v>0</v>
      </c>
      <c r="GN30" s="713">
        <f t="shared" si="22"/>
        <v>0</v>
      </c>
      <c r="GO30">
        <f t="shared" si="37"/>
        <v>0</v>
      </c>
      <c r="GP30" s="647">
        <f t="shared" si="38"/>
        <v>0</v>
      </c>
    </row>
    <row r="31" spans="1:198">
      <c r="A31" s="239">
        <f t="shared" si="23"/>
        <v>18</v>
      </c>
      <c r="B31" s="125" t="str">
        <f t="shared" si="0"/>
        <v>ma</v>
      </c>
      <c r="C31" s="126" t="s">
        <v>203</v>
      </c>
      <c r="D31" s="127">
        <f t="shared" si="1"/>
        <v>3.4285714285714284</v>
      </c>
      <c r="E31" s="1060"/>
      <c r="F31" s="1061"/>
      <c r="G31" s="1062"/>
      <c r="H31" s="292"/>
      <c r="I31" s="745"/>
      <c r="J31" s="746" t="str">
        <f t="shared" si="2"/>
        <v/>
      </c>
      <c r="K31" s="368"/>
      <c r="L31" s="368"/>
      <c r="M31" s="368"/>
      <c r="N31" s="311">
        <f t="shared" si="24"/>
        <v>8.11</v>
      </c>
      <c r="O31" s="311">
        <f t="shared" si="25"/>
        <v>4.5</v>
      </c>
      <c r="P31" s="311">
        <f>IF(Stamoplysninger!$H$34="JA",Januar!DG31,CX31)</f>
        <v>1.9166666666666665</v>
      </c>
      <c r="Q31" s="311">
        <f t="shared" si="26"/>
        <v>1.6933333333333329</v>
      </c>
      <c r="R31" s="751"/>
      <c r="S31" s="315"/>
      <c r="T31" s="316"/>
      <c r="U31" s="316"/>
      <c r="V31" s="422"/>
      <c r="W31" s="400"/>
      <c r="X31" s="619"/>
      <c r="Y31">
        <f t="shared" si="27"/>
        <v>0</v>
      </c>
      <c r="Z31">
        <f t="shared" si="3"/>
        <v>0</v>
      </c>
      <c r="AA31" s="1">
        <f t="shared" si="4"/>
        <v>0</v>
      </c>
      <c r="AB31" s="1">
        <f t="shared" si="5"/>
        <v>0</v>
      </c>
      <c r="AC31" s="1">
        <f t="shared" si="6"/>
        <v>0</v>
      </c>
      <c r="AD31" s="1">
        <f t="shared" si="7"/>
        <v>0</v>
      </c>
      <c r="AE31" s="1">
        <f t="shared" si="8"/>
        <v>0</v>
      </c>
      <c r="AF31" s="1">
        <f>IF(C31="Orlov",7.4*Stamoplysninger!$E$20,0)</f>
        <v>0</v>
      </c>
      <c r="AG31">
        <f>IF(AND(C31="Skema 1",B31="ma"),Arbejdstidsoversigt!$E$77,"")</f>
        <v>8.11</v>
      </c>
      <c r="AH31" t="str">
        <f>IF(AND(C31="Skema 1",B31="ti"),Arbejdstidsoversigt!$E$78,"")</f>
        <v/>
      </c>
      <c r="AI31" t="str">
        <f>IF(AND(C31="Skema 1",B31="on"),Arbejdstidsoversigt!$E$79,"")</f>
        <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8.11</v>
      </c>
      <c r="BB31" s="224">
        <f t="shared" si="9"/>
        <v>194.64</v>
      </c>
      <c r="BC31" s="1">
        <f t="shared" si="29"/>
        <v>0</v>
      </c>
      <c r="BD31" s="1">
        <f t="shared" si="10"/>
        <v>0</v>
      </c>
      <c r="BE31" s="1">
        <f t="shared" si="11"/>
        <v>0</v>
      </c>
      <c r="BF31" s="1">
        <f t="shared" si="12"/>
        <v>0</v>
      </c>
      <c r="BG31" s="207">
        <f>IF(AND(C31="Skema 1",B31="ma"),Skemaoplysninger!$E$46,"")</f>
        <v>0.1875</v>
      </c>
      <c r="BH31" s="207" t="str">
        <f>IF(AND(C31="Skema 1",B31="ti"),Skemaoplysninger!$G$46,"")</f>
        <v/>
      </c>
      <c r="BI31" s="207" t="str">
        <f>IF(AND(C31="Skema 1",B31="on"),Skemaoplysninger!$I$46,"")</f>
        <v/>
      </c>
      <c r="BJ31" s="207" t="str">
        <f>IF(AND(C31="Skema 1",B31="to"),Skemaoplysninger!$K$46,"")</f>
        <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4.5</v>
      </c>
      <c r="CB31" s="1">
        <f t="shared" si="13"/>
        <v>0</v>
      </c>
      <c r="CC31" s="1">
        <f t="shared" si="14"/>
        <v>0</v>
      </c>
      <c r="CD31" s="207">
        <f>IF(AND(C31="Skema 1",B31="ma"),Skemaoplysninger!$E$47,"")</f>
        <v>7.9861111111111105E-2</v>
      </c>
      <c r="CE31" s="207" t="str">
        <f>IF(AND(C31="Skema 1",B31="ti"),Skemaoplysninger!$G$47,"")</f>
        <v/>
      </c>
      <c r="CF31" s="207" t="str">
        <f>IF(AND(C31="Skema 1",B31="on"),Skemaoplysninger!$I$47,"")</f>
        <v/>
      </c>
      <c r="CG31" s="207" t="str">
        <f>IF(AND(C31="Skema 1",B31="to"),Skemaoplysninger!$K$47,"")</f>
        <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1.9166666666666665</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5"/>
        <v/>
      </c>
      <c r="DL31" t="str">
        <f t="shared" si="15"/>
        <v/>
      </c>
      <c r="DM31" t="str">
        <f t="shared" si="15"/>
        <v/>
      </c>
      <c r="DN31" t="str">
        <f t="shared" si="35"/>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6"/>
        <v>0</v>
      </c>
      <c r="FZ31" s="634">
        <f t="shared" si="17"/>
        <v>0</v>
      </c>
      <c r="GA31">
        <f t="shared" si="18"/>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9"/>
        <v>0</v>
      </c>
      <c r="GL31">
        <f t="shared" si="20"/>
        <v>0</v>
      </c>
      <c r="GM31">
        <f t="shared" si="21"/>
        <v>0</v>
      </c>
      <c r="GN31" s="713">
        <f t="shared" si="22"/>
        <v>0</v>
      </c>
      <c r="GO31">
        <f t="shared" si="37"/>
        <v>0</v>
      </c>
      <c r="GP31" s="647">
        <f t="shared" si="38"/>
        <v>0</v>
      </c>
    </row>
    <row r="32" spans="1:198">
      <c r="A32" s="239">
        <f t="shared" si="23"/>
        <v>19</v>
      </c>
      <c r="B32" s="125" t="str">
        <f t="shared" si="0"/>
        <v>ti</v>
      </c>
      <c r="C32" s="126" t="s">
        <v>203</v>
      </c>
      <c r="D32" s="127" t="str">
        <f t="shared" si="1"/>
        <v/>
      </c>
      <c r="E32" s="1060"/>
      <c r="F32" s="1061"/>
      <c r="G32" s="1062"/>
      <c r="H32" s="292"/>
      <c r="I32" s="745"/>
      <c r="J32" s="746" t="str">
        <f t="shared" si="2"/>
        <v/>
      </c>
      <c r="K32" s="368"/>
      <c r="L32" s="368"/>
      <c r="M32" s="368"/>
      <c r="N32" s="311">
        <f t="shared" si="24"/>
        <v>8.11</v>
      </c>
      <c r="O32" s="311">
        <f t="shared" si="25"/>
        <v>4.5</v>
      </c>
      <c r="P32" s="311">
        <f>IF(Stamoplysninger!$H$34="JA",Januar!DG32,CX32)</f>
        <v>1.9166666666666665</v>
      </c>
      <c r="Q32" s="311">
        <f t="shared" si="26"/>
        <v>1.6933333333333329</v>
      </c>
      <c r="R32" s="751"/>
      <c r="S32" s="315"/>
      <c r="T32" s="316"/>
      <c r="U32" s="316"/>
      <c r="V32" s="422"/>
      <c r="W32" s="400"/>
      <c r="X32" s="619"/>
      <c r="Y32">
        <f t="shared" si="27"/>
        <v>0</v>
      </c>
      <c r="Z32">
        <f t="shared" si="3"/>
        <v>0</v>
      </c>
      <c r="AA32" s="1">
        <f t="shared" si="4"/>
        <v>0</v>
      </c>
      <c r="AB32" s="1">
        <f t="shared" si="5"/>
        <v>0</v>
      </c>
      <c r="AC32" s="1">
        <f t="shared" si="6"/>
        <v>0</v>
      </c>
      <c r="AD32" s="1">
        <f t="shared" si="7"/>
        <v>0</v>
      </c>
      <c r="AE32" s="1">
        <f t="shared" si="8"/>
        <v>0</v>
      </c>
      <c r="AF32" s="1">
        <f>IF(C32="Orlov",7.4*Stamoplysninger!$E$20,0)</f>
        <v>0</v>
      </c>
      <c r="AG32" t="str">
        <f>IF(AND(C32="Skema 1",B32="ma"),Arbejdstidsoversigt!$E$77,"")</f>
        <v/>
      </c>
      <c r="AH32">
        <f>IF(AND(C32="Skema 1",B32="ti"),Arbejdstidsoversigt!$E$78,"")</f>
        <v>8.11</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8.11</v>
      </c>
      <c r="BB32" s="224">
        <f t="shared" si="9"/>
        <v>194.64</v>
      </c>
      <c r="BC32" s="1">
        <f t="shared" si="29"/>
        <v>0</v>
      </c>
      <c r="BD32" s="1">
        <f t="shared" si="10"/>
        <v>0</v>
      </c>
      <c r="BE32" s="1">
        <f t="shared" si="11"/>
        <v>0</v>
      </c>
      <c r="BF32" s="1">
        <f t="shared" si="12"/>
        <v>0</v>
      </c>
      <c r="BG32" s="207" t="str">
        <f>IF(AND(C32="Skema 1",B32="ma"),Skemaoplysninger!$E$46,"")</f>
        <v/>
      </c>
      <c r="BH32" s="207">
        <f>IF(AND(C32="Skema 1",B32="ti"),Skemaoplysninger!$G$46,"")</f>
        <v>0.1875</v>
      </c>
      <c r="BI32" s="207" t="str">
        <f>IF(AND(C32="Skema 1",B32="on"),Skemaoplysninger!$I$46,"")</f>
        <v/>
      </c>
      <c r="BJ32" s="207" t="str">
        <f>IF(AND(C32="Skema 1",B32="to"),Skemaoplysninger!$K$46,"")</f>
        <v/>
      </c>
      <c r="BK32" s="207" t="str">
        <f>IF(AND(C32="Skema 1",B32="fr"),Skemaoplysninger!$M$46,"")</f>
        <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4.5</v>
      </c>
      <c r="CB32" s="1">
        <f t="shared" si="13"/>
        <v>0</v>
      </c>
      <c r="CC32" s="1">
        <f t="shared" si="14"/>
        <v>0</v>
      </c>
      <c r="CD32" s="207" t="str">
        <f>IF(AND(C32="Skema 1",B32="ma"),Skemaoplysninger!$E$47,"")</f>
        <v/>
      </c>
      <c r="CE32" s="207">
        <f>IF(AND(C32="Skema 1",B32="ti"),Skemaoplysninger!$G$47,"")</f>
        <v>7.9861111111111105E-2</v>
      </c>
      <c r="CF32" s="207" t="str">
        <f>IF(AND(C32="Skema 1",B32="on"),Skemaoplysninger!$I$47,"")</f>
        <v/>
      </c>
      <c r="CG32" s="207" t="str">
        <f>IF(AND(C32="Skema 1",B32="to"),Skemaoplysninger!$K$47,"")</f>
        <v/>
      </c>
      <c r="CH32" s="207" t="str">
        <f>IF(AND(C32="Skema 1",B32="fr"),Skemaoplysninger!$M$47,"")</f>
        <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1.9166666666666665</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5"/>
        <v/>
      </c>
      <c r="DL32" t="str">
        <f t="shared" si="15"/>
        <v/>
      </c>
      <c r="DM32" t="str">
        <f t="shared" si="15"/>
        <v/>
      </c>
      <c r="DN32" t="str">
        <f t="shared" si="35"/>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6"/>
        <v>0</v>
      </c>
      <c r="FZ32" s="634">
        <f t="shared" si="17"/>
        <v>0</v>
      </c>
      <c r="GA32">
        <f t="shared" si="18"/>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9"/>
        <v>0</v>
      </c>
      <c r="GL32">
        <f t="shared" si="20"/>
        <v>0</v>
      </c>
      <c r="GM32">
        <f t="shared" si="21"/>
        <v>0</v>
      </c>
      <c r="GN32" s="713">
        <f t="shared" si="22"/>
        <v>0</v>
      </c>
      <c r="GO32">
        <f t="shared" si="37"/>
        <v>0</v>
      </c>
      <c r="GP32" s="647">
        <f t="shared" si="38"/>
        <v>0</v>
      </c>
    </row>
    <row r="33" spans="1:198">
      <c r="A33" s="239">
        <f t="shared" si="23"/>
        <v>20</v>
      </c>
      <c r="B33" s="125" t="str">
        <f t="shared" si="0"/>
        <v>on</v>
      </c>
      <c r="C33" s="126" t="s">
        <v>203</v>
      </c>
      <c r="D33" s="127" t="str">
        <f t="shared" si="1"/>
        <v/>
      </c>
      <c r="E33" s="1060"/>
      <c r="F33" s="1061"/>
      <c r="G33" s="1062"/>
      <c r="H33" s="292"/>
      <c r="I33" s="745"/>
      <c r="J33" s="746" t="str">
        <f t="shared" si="2"/>
        <v/>
      </c>
      <c r="K33" s="368"/>
      <c r="L33" s="368"/>
      <c r="M33" s="368"/>
      <c r="N33" s="311">
        <f t="shared" si="24"/>
        <v>8.11</v>
      </c>
      <c r="O33" s="311">
        <f t="shared" si="25"/>
        <v>2.75</v>
      </c>
      <c r="P33" s="311">
        <f>IF(Stamoplysninger!$H$34="JA",Januar!DG33,CX33)</f>
        <v>1.25</v>
      </c>
      <c r="Q33" s="311">
        <f t="shared" si="26"/>
        <v>4.1099999999999994</v>
      </c>
      <c r="R33" s="751"/>
      <c r="S33" s="315"/>
      <c r="T33" s="316"/>
      <c r="U33" s="316"/>
      <c r="V33" s="422"/>
      <c r="W33" s="400"/>
      <c r="X33" s="619"/>
      <c r="Y33">
        <f t="shared" si="27"/>
        <v>0</v>
      </c>
      <c r="Z33">
        <f t="shared" si="3"/>
        <v>0</v>
      </c>
      <c r="AA33" s="1">
        <f t="shared" si="4"/>
        <v>0</v>
      </c>
      <c r="AB33" s="1">
        <f t="shared" si="5"/>
        <v>0</v>
      </c>
      <c r="AC33" s="1">
        <f t="shared" si="6"/>
        <v>0</v>
      </c>
      <c r="AD33" s="1">
        <f t="shared" si="7"/>
        <v>0</v>
      </c>
      <c r="AE33" s="1">
        <f t="shared" si="8"/>
        <v>0</v>
      </c>
      <c r="AF33" s="1">
        <f>IF(C33="Orlov",7.4*Stamoplysninger!$E$20,0)</f>
        <v>0</v>
      </c>
      <c r="AG33" t="str">
        <f>IF(AND(C33="Skema 1",B33="ma"),Arbejdstidsoversigt!$E$77,"")</f>
        <v/>
      </c>
      <c r="AH33" t="str">
        <f>IF(AND(C33="Skema 1",B33="ti"),Arbejdstidsoversigt!$E$78,"")</f>
        <v/>
      </c>
      <c r="AI33">
        <f>IF(AND(C33="Skema 1",B33="on"),Arbejdstidsoversigt!$E$79,"")</f>
        <v>8.11</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8.11</v>
      </c>
      <c r="BB33" s="224">
        <f t="shared" si="9"/>
        <v>194.64</v>
      </c>
      <c r="BC33" s="1">
        <f t="shared" si="29"/>
        <v>0</v>
      </c>
      <c r="BD33" s="1">
        <f t="shared" si="10"/>
        <v>0</v>
      </c>
      <c r="BE33" s="1">
        <f t="shared" si="11"/>
        <v>0</v>
      </c>
      <c r="BF33" s="1">
        <f t="shared" si="12"/>
        <v>0</v>
      </c>
      <c r="BG33" s="207" t="str">
        <f>IF(AND(C33="Skema 1",B33="ma"),Skemaoplysninger!$E$46,"")</f>
        <v/>
      </c>
      <c r="BH33" s="207" t="str">
        <f>IF(AND(C33="Skema 1",B33="ti"),Skemaoplysninger!$G$46,"")</f>
        <v/>
      </c>
      <c r="BI33" s="207">
        <f>IF(AND(C33="Skema 1",B33="on"),Skemaoplysninger!$I$46,"")</f>
        <v>0.11458333333333333</v>
      </c>
      <c r="BJ33" s="207" t="str">
        <f>IF(AND(C33="Skema 1",B33="to"),Skemaoplysninger!$K$46,"")</f>
        <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2.75</v>
      </c>
      <c r="CB33" s="1">
        <f t="shared" si="13"/>
        <v>0</v>
      </c>
      <c r="CC33" s="1">
        <f t="shared" si="14"/>
        <v>0</v>
      </c>
      <c r="CD33" s="207" t="str">
        <f>IF(AND(C33="Skema 1",B33="ma"),Skemaoplysninger!$E$47,"")</f>
        <v/>
      </c>
      <c r="CE33" s="207" t="str">
        <f>IF(AND(C33="Skema 1",B33="ti"),Skemaoplysninger!$G$47,"")</f>
        <v/>
      </c>
      <c r="CF33" s="207">
        <f>IF(AND(C33="Skema 1",B33="on"),Skemaoplysninger!$I$47,"")</f>
        <v>5.2083333333333329E-2</v>
      </c>
      <c r="CG33" s="207" t="str">
        <f>IF(AND(C33="Skema 1",B33="to"),Skemaoplysninger!$K$47,"")</f>
        <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1.25</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5"/>
        <v/>
      </c>
      <c r="DL33" t="str">
        <f t="shared" si="15"/>
        <v/>
      </c>
      <c r="DM33" t="str">
        <f t="shared" si="15"/>
        <v/>
      </c>
      <c r="DN33" t="str">
        <f t="shared" si="35"/>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6"/>
        <v>0</v>
      </c>
      <c r="FZ33" s="634">
        <f t="shared" si="17"/>
        <v>0</v>
      </c>
      <c r="GA33">
        <f t="shared" si="18"/>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9"/>
        <v>0</v>
      </c>
      <c r="GL33">
        <f t="shared" si="20"/>
        <v>0</v>
      </c>
      <c r="GM33">
        <f t="shared" si="21"/>
        <v>0</v>
      </c>
      <c r="GN33" s="713">
        <f t="shared" si="22"/>
        <v>0</v>
      </c>
      <c r="GO33">
        <f t="shared" si="37"/>
        <v>0</v>
      </c>
      <c r="GP33" s="647">
        <f t="shared" si="38"/>
        <v>0</v>
      </c>
    </row>
    <row r="34" spans="1:198">
      <c r="A34" s="239">
        <f t="shared" si="23"/>
        <v>21</v>
      </c>
      <c r="B34" s="125" t="str">
        <f t="shared" si="0"/>
        <v>to</v>
      </c>
      <c r="C34" s="126" t="s">
        <v>203</v>
      </c>
      <c r="D34" s="127" t="str">
        <f t="shared" si="1"/>
        <v/>
      </c>
      <c r="E34" s="1060" t="s">
        <v>769</v>
      </c>
      <c r="F34" s="1061"/>
      <c r="G34" s="1062"/>
      <c r="H34" s="292"/>
      <c r="I34" s="745"/>
      <c r="J34" s="746" t="str">
        <f t="shared" si="2"/>
        <v/>
      </c>
      <c r="K34" s="368"/>
      <c r="L34" s="368"/>
      <c r="M34" s="368"/>
      <c r="N34" s="311">
        <f t="shared" si="24"/>
        <v>9</v>
      </c>
      <c r="O34" s="311">
        <f t="shared" si="25"/>
        <v>3.75</v>
      </c>
      <c r="P34" s="311">
        <f>IF(Stamoplysninger!$H$34="JA",Januar!DG34,CX34)</f>
        <v>1</v>
      </c>
      <c r="Q34" s="311">
        <f t="shared" si="26"/>
        <v>4.25</v>
      </c>
      <c r="R34" s="751"/>
      <c r="S34" s="315"/>
      <c r="T34" s="316"/>
      <c r="U34" s="316"/>
      <c r="V34" s="422"/>
      <c r="W34" s="400"/>
      <c r="X34" s="619"/>
      <c r="Y34">
        <f t="shared" si="27"/>
        <v>0</v>
      </c>
      <c r="Z34">
        <f t="shared" si="3"/>
        <v>0</v>
      </c>
      <c r="AA34" s="1">
        <f t="shared" si="4"/>
        <v>0</v>
      </c>
      <c r="AB34" s="1">
        <f t="shared" si="5"/>
        <v>0</v>
      </c>
      <c r="AC34" s="1">
        <f t="shared" si="6"/>
        <v>0</v>
      </c>
      <c r="AD34" s="1">
        <f t="shared" si="7"/>
        <v>0</v>
      </c>
      <c r="AE34" s="1">
        <f t="shared" si="8"/>
        <v>0</v>
      </c>
      <c r="AF34" s="1">
        <f>IF(C34="Orlov",7.4*Stamoplysninger!$E$20,0)</f>
        <v>0</v>
      </c>
      <c r="AG34" t="str">
        <f>IF(AND(C34="Skema 1",B34="ma"),Arbejdstidsoversigt!$E$77,"")</f>
        <v/>
      </c>
      <c r="AH34" t="str">
        <f>IF(AND(C34="Skema 1",B34="ti"),Arbejdstidsoversigt!$E$78,"")</f>
        <v/>
      </c>
      <c r="AI34" t="str">
        <f>IF(AND(C34="Skema 1",B34="on"),Arbejdstidsoversigt!$E$79,"")</f>
        <v/>
      </c>
      <c r="AJ34">
        <f>IF(AND(C34="Skema 1",B34="to"),Arbejdstidsoversigt!$E$80,"")</f>
        <v>9</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9</v>
      </c>
      <c r="BB34" s="224">
        <f t="shared" si="9"/>
        <v>216</v>
      </c>
      <c r="BC34" s="1">
        <f t="shared" si="29"/>
        <v>0</v>
      </c>
      <c r="BD34" s="1">
        <f t="shared" si="10"/>
        <v>0</v>
      </c>
      <c r="BE34" s="1">
        <f t="shared" si="11"/>
        <v>0</v>
      </c>
      <c r="BF34" s="1">
        <f t="shared" si="12"/>
        <v>0</v>
      </c>
      <c r="BG34" s="207" t="str">
        <f>IF(AND(C34="Skema 1",B34="ma"),Skemaoplysninger!$E$46,"")</f>
        <v/>
      </c>
      <c r="BH34" s="207" t="str">
        <f>IF(AND(C34="Skema 1",B34="ti"),Skemaoplysninger!$G$46,"")</f>
        <v/>
      </c>
      <c r="BI34" s="207" t="str">
        <f>IF(AND(C34="Skema 1",B34="on"),Skemaoplysninger!$I$46,"")</f>
        <v/>
      </c>
      <c r="BJ34" s="207">
        <f>IF(AND(C34="Skema 1",B34="to"),Skemaoplysninger!$K$46,"")</f>
        <v>0.15625</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3.75</v>
      </c>
      <c r="CB34" s="1">
        <f t="shared" si="13"/>
        <v>0</v>
      </c>
      <c r="CC34" s="1">
        <f t="shared" si="14"/>
        <v>0</v>
      </c>
      <c r="CD34" s="207" t="str">
        <f>IF(AND(C34="Skema 1",B34="ma"),Skemaoplysninger!$E$47,"")</f>
        <v/>
      </c>
      <c r="CE34" s="207" t="str">
        <f>IF(AND(C34="Skema 1",B34="ti"),Skemaoplysninger!$G$47,"")</f>
        <v/>
      </c>
      <c r="CF34" s="207" t="str">
        <f>IF(AND(C34="Skema 1",B34="on"),Skemaoplysninger!$I$47,"")</f>
        <v/>
      </c>
      <c r="CG34" s="207">
        <f>IF(AND(C34="Skema 1",B34="to"),Skemaoplysninger!$K$47,"")</f>
        <v>4.1666666666666664E-2</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1</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t="str">
        <f t="shared" si="33"/>
        <v>Lærermøde</v>
      </c>
      <c r="DJ34" t="str">
        <f t="shared" si="34"/>
        <v/>
      </c>
      <c r="DK34" t="str">
        <f t="shared" si="15"/>
        <v/>
      </c>
      <c r="DL34" t="str">
        <f t="shared" si="15"/>
        <v>Lærermøde</v>
      </c>
      <c r="DM34" t="str">
        <f t="shared" si="15"/>
        <v/>
      </c>
      <c r="DN34" t="str">
        <f t="shared" si="35"/>
        <v>Lærermøde</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6"/>
        <v>0</v>
      </c>
      <c r="FZ34" s="634">
        <f t="shared" si="17"/>
        <v>0</v>
      </c>
      <c r="GA34">
        <f t="shared" si="18"/>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9"/>
        <v>0</v>
      </c>
      <c r="GL34">
        <f t="shared" si="20"/>
        <v>0</v>
      </c>
      <c r="GM34">
        <f t="shared" si="21"/>
        <v>0</v>
      </c>
      <c r="GN34" s="713">
        <f t="shared" si="22"/>
        <v>0</v>
      </c>
      <c r="GO34">
        <f t="shared" si="37"/>
        <v>0</v>
      </c>
      <c r="GP34" s="647">
        <f t="shared" si="38"/>
        <v>0</v>
      </c>
    </row>
    <row r="35" spans="1:198">
      <c r="A35" s="239">
        <f t="shared" si="23"/>
        <v>22</v>
      </c>
      <c r="B35" s="125" t="str">
        <f t="shared" si="0"/>
        <v>fr</v>
      </c>
      <c r="C35" s="126" t="s">
        <v>203</v>
      </c>
      <c r="D35" s="127" t="str">
        <f t="shared" si="1"/>
        <v/>
      </c>
      <c r="E35" s="1060"/>
      <c r="F35" s="1061"/>
      <c r="G35" s="1062"/>
      <c r="H35" s="292"/>
      <c r="I35" s="745"/>
      <c r="J35" s="746" t="str">
        <f t="shared" si="2"/>
        <v/>
      </c>
      <c r="K35" s="368"/>
      <c r="L35" s="368"/>
      <c r="M35" s="368"/>
      <c r="N35" s="311">
        <f t="shared" si="24"/>
        <v>7.1</v>
      </c>
      <c r="O35" s="311">
        <f t="shared" si="25"/>
        <v>3.75</v>
      </c>
      <c r="P35" s="311">
        <f>IF(Stamoplysninger!$H$34="JA",Januar!DG35,CX35)</f>
        <v>1</v>
      </c>
      <c r="Q35" s="311">
        <f t="shared" si="26"/>
        <v>2.3499999999999996</v>
      </c>
      <c r="R35" s="751"/>
      <c r="S35" s="315"/>
      <c r="T35" s="316"/>
      <c r="U35" s="316"/>
      <c r="V35" s="422"/>
      <c r="W35" s="400"/>
      <c r="X35" s="619"/>
      <c r="Y35">
        <f t="shared" si="27"/>
        <v>0</v>
      </c>
      <c r="Z35">
        <f t="shared" si="3"/>
        <v>0</v>
      </c>
      <c r="AA35" s="1">
        <f t="shared" si="4"/>
        <v>0</v>
      </c>
      <c r="AB35" s="1">
        <f t="shared" si="5"/>
        <v>0</v>
      </c>
      <c r="AC35" s="1">
        <f t="shared" si="6"/>
        <v>0</v>
      </c>
      <c r="AD35" s="1">
        <f t="shared" si="7"/>
        <v>0</v>
      </c>
      <c r="AE35" s="1">
        <f t="shared" si="8"/>
        <v>0</v>
      </c>
      <c r="AF35" s="1">
        <f>IF(C35="Orlov",7.4*Stamoplysninger!$E$20,0)</f>
        <v>0</v>
      </c>
      <c r="AG35" t="str">
        <f>IF(AND(C35="Skema 1",B35="ma"),Arbejdstidsoversigt!$E$77,"")</f>
        <v/>
      </c>
      <c r="AH35" t="str">
        <f>IF(AND(C35="Skema 1",B35="ti"),Arbejdstidsoversigt!$E$78,"")</f>
        <v/>
      </c>
      <c r="AI35" t="str">
        <f>IF(AND(C35="Skema 1",B35="on"),Arbejdstidsoversigt!$E$79,"")</f>
        <v/>
      </c>
      <c r="AJ35" t="str">
        <f>IF(AND(C35="Skema 1",B35="to"),Arbejdstidsoversigt!$E$80,"")</f>
        <v/>
      </c>
      <c r="AK35">
        <f>IF(AND(C35="Skema 1",B35="fr"),Arbejdstidsoversigt!$E$81,"")</f>
        <v>7.1</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7.1</v>
      </c>
      <c r="BB35" s="224">
        <f t="shared" si="9"/>
        <v>170.39999999999998</v>
      </c>
      <c r="BC35" s="1">
        <f t="shared" si="29"/>
        <v>0</v>
      </c>
      <c r="BD35" s="1">
        <f t="shared" si="10"/>
        <v>0</v>
      </c>
      <c r="BE35" s="1">
        <f t="shared" si="11"/>
        <v>0</v>
      </c>
      <c r="BF35" s="1">
        <f t="shared" si="12"/>
        <v>0</v>
      </c>
      <c r="BG35" s="207" t="str">
        <f>IF(AND(C35="Skema 1",B35="ma"),Skemaoplysninger!$E$46,"")</f>
        <v/>
      </c>
      <c r="BH35" s="207" t="str">
        <f>IF(AND(C35="Skema 1",B35="ti"),Skemaoplysninger!$G$46,"")</f>
        <v/>
      </c>
      <c r="BI35" s="207" t="str">
        <f>IF(AND(C35="Skema 1",B35="on"),Skemaoplysninger!$I$46,"")</f>
        <v/>
      </c>
      <c r="BJ35" s="207" t="str">
        <f>IF(AND(C35="Skema 1",B35="to"),Skemaoplysninger!$K$46,"")</f>
        <v/>
      </c>
      <c r="BK35" s="207">
        <f>IF(AND(C35="Skema 1",B35="fr"),Skemaoplysninger!$M$46,"")</f>
        <v>0.15625</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3.75</v>
      </c>
      <c r="CB35" s="1">
        <f t="shared" si="13"/>
        <v>0</v>
      </c>
      <c r="CC35" s="1">
        <f t="shared" si="14"/>
        <v>0</v>
      </c>
      <c r="CD35" s="207" t="str">
        <f>IF(AND(C35="Skema 1",B35="ma"),Skemaoplysninger!$E$47,"")</f>
        <v/>
      </c>
      <c r="CE35" s="207" t="str">
        <f>IF(AND(C35="Skema 1",B35="ti"),Skemaoplysninger!$G$47,"")</f>
        <v/>
      </c>
      <c r="CF35" s="207" t="str">
        <f>IF(AND(C35="Skema 1",B35="on"),Skemaoplysninger!$I$47,"")</f>
        <v/>
      </c>
      <c r="CG35" s="207" t="str">
        <f>IF(AND(C35="Skema 1",B35="to"),Skemaoplysninger!$K$47,"")</f>
        <v/>
      </c>
      <c r="CH35" s="207">
        <f>IF(AND(C35="Skema 1",B35="fr"),Skemaoplysninger!$M$47,"")</f>
        <v>4.1666666666666664E-2</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1</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5"/>
        <v/>
      </c>
      <c r="DL35" t="str">
        <f t="shared" si="15"/>
        <v/>
      </c>
      <c r="DM35" t="str">
        <f t="shared" si="15"/>
        <v/>
      </c>
      <c r="DN35" t="str">
        <f t="shared" si="35"/>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6"/>
        <v>0</v>
      </c>
      <c r="FZ35" s="634">
        <f t="shared" si="17"/>
        <v>0</v>
      </c>
      <c r="GA35">
        <f t="shared" si="18"/>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9"/>
        <v>0</v>
      </c>
      <c r="GL35">
        <f t="shared" si="20"/>
        <v>0</v>
      </c>
      <c r="GM35">
        <f t="shared" si="21"/>
        <v>0</v>
      </c>
      <c r="GN35" s="713">
        <f t="shared" si="22"/>
        <v>0</v>
      </c>
      <c r="GO35">
        <f t="shared" si="37"/>
        <v>0</v>
      </c>
      <c r="GP35" s="647">
        <f t="shared" si="38"/>
        <v>0</v>
      </c>
    </row>
    <row r="36" spans="1:198">
      <c r="A36" s="239">
        <f t="shared" si="23"/>
        <v>23</v>
      </c>
      <c r="B36" s="125" t="str">
        <f t="shared" si="0"/>
        <v>lø</v>
      </c>
      <c r="C36" s="126" t="s">
        <v>118</v>
      </c>
      <c r="D36" s="127" t="str">
        <f t="shared" si="1"/>
        <v/>
      </c>
      <c r="E36" s="1060"/>
      <c r="F36" s="1061"/>
      <c r="G36" s="1062"/>
      <c r="H36" s="292"/>
      <c r="I36" s="746" t="str">
        <f>IF(GO36=1,"X","")</f>
        <v/>
      </c>
      <c r="J36" s="746" t="str">
        <f t="shared" si="2"/>
        <v/>
      </c>
      <c r="K36" s="368"/>
      <c r="L36" s="368"/>
      <c r="M36" s="368"/>
      <c r="N36" s="311">
        <f t="shared" si="24"/>
        <v>0</v>
      </c>
      <c r="O36" s="311">
        <f t="shared" si="25"/>
        <v>0</v>
      </c>
      <c r="P36" s="311">
        <f>IF(Stamoplysninger!$H$34="JA",Januar!DG36,CX36)</f>
        <v>0</v>
      </c>
      <c r="Q36" s="311">
        <f t="shared" si="26"/>
        <v>0</v>
      </c>
      <c r="R36" s="751"/>
      <c r="S36" s="315"/>
      <c r="T36" s="316"/>
      <c r="U36" s="316"/>
      <c r="V36" s="422"/>
      <c r="W36" s="400"/>
      <c r="X36" s="619"/>
      <c r="Y36">
        <f t="shared" si="27"/>
        <v>0</v>
      </c>
      <c r="Z36">
        <f t="shared" si="3"/>
        <v>0</v>
      </c>
      <c r="AA36" s="1">
        <f t="shared" si="4"/>
        <v>0</v>
      </c>
      <c r="AB36" s="1">
        <f t="shared" si="5"/>
        <v>0</v>
      </c>
      <c r="AC36" s="1">
        <f t="shared" si="6"/>
        <v>0</v>
      </c>
      <c r="AD36" s="1">
        <f t="shared" si="7"/>
        <v>0</v>
      </c>
      <c r="AE36" s="1">
        <f t="shared" si="8"/>
        <v>0</v>
      </c>
      <c r="AF36" s="1">
        <f>IF(C36="Orlov",7.4*Stamoplysninger!$E$20,0)</f>
        <v>0</v>
      </c>
      <c r="AG36" t="str">
        <f>IF(AND(C36="Skema 1",B36="ma"),Arbejdstidsoversigt!$E$77,"")</f>
        <v/>
      </c>
      <c r="AH36" t="str">
        <f>IF(AND(C36="Skema 1",B36="ti"),Arbejdstidsoversigt!$E$78,"")</f>
        <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9"/>
        <v>0</v>
      </c>
      <c r="BC36" s="1">
        <f t="shared" si="29"/>
        <v>0</v>
      </c>
      <c r="BD36" s="1">
        <f t="shared" si="10"/>
        <v>0</v>
      </c>
      <c r="BE36" s="1">
        <f t="shared" si="11"/>
        <v>0</v>
      </c>
      <c r="BF36" s="1">
        <f t="shared" si="12"/>
        <v>0</v>
      </c>
      <c r="BG36" s="207" t="str">
        <f>IF(AND(C36="Skema 1",B36="ma"),Skemaoplysninger!$E$46,"")</f>
        <v/>
      </c>
      <c r="BH36" s="207" t="str">
        <f>IF(AND(C36="Skema 1",B36="ti"),Skemaoplysninger!$G$46,"")</f>
        <v/>
      </c>
      <c r="BI36" s="207" t="str">
        <f>IF(AND(C36="Skema 1",B36="on"),Skemaoplysninger!$I$46,"")</f>
        <v/>
      </c>
      <c r="BJ36" s="207" t="str">
        <f>IF(AND(C36="Skema 1",B36="to"),Skemaoplysninger!$K$46,"")</f>
        <v/>
      </c>
      <c r="BK36" s="207" t="str">
        <f>IF(AND(C36="Skema 1",B36="fr"),Skemaoplysninger!$M$46,"")</f>
        <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0</v>
      </c>
      <c r="CB36" s="1">
        <f t="shared" si="13"/>
        <v>0</v>
      </c>
      <c r="CC36" s="1">
        <f t="shared" si="14"/>
        <v>0</v>
      </c>
      <c r="CD36" s="207" t="str">
        <f>IF(AND(C36="Skema 1",B36="ma"),Skemaoplysninger!$E$47,"")</f>
        <v/>
      </c>
      <c r="CE36" s="207" t="str">
        <f>IF(AND(C36="Skema 1",B36="ti"),Skemaoplysninger!$G$47,"")</f>
        <v/>
      </c>
      <c r="CF36" s="207" t="str">
        <f>IF(AND(C36="Skema 1",B36="on"),Skemaoplysninger!$I$47,"")</f>
        <v/>
      </c>
      <c r="CG36" s="207" t="str">
        <f>IF(AND(C36="Skema 1",B36="to"),Skemaoplysninger!$K$47,"")</f>
        <v/>
      </c>
      <c r="CH36" s="207" t="str">
        <f>IF(AND(C36="Skema 1",B36="fr"),Skemaoplysninger!$M$47,"")</f>
        <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5"/>
        <v/>
      </c>
      <c r="DL36" t="str">
        <f t="shared" si="15"/>
        <v/>
      </c>
      <c r="DM36" t="str">
        <f t="shared" si="15"/>
        <v/>
      </c>
      <c r="DN36" t="str">
        <f t="shared" si="35"/>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6"/>
        <v>0</v>
      </c>
      <c r="FZ36" s="634">
        <f t="shared" si="17"/>
        <v>0</v>
      </c>
      <c r="GA36">
        <f t="shared" si="18"/>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9"/>
        <v>0</v>
      </c>
      <c r="GL36">
        <f t="shared" si="20"/>
        <v>0</v>
      </c>
      <c r="GM36">
        <f t="shared" si="21"/>
        <v>0</v>
      </c>
      <c r="GN36" s="713">
        <f t="shared" si="22"/>
        <v>0</v>
      </c>
      <c r="GO36">
        <f t="shared" si="37"/>
        <v>0</v>
      </c>
      <c r="GP36" s="647">
        <f t="shared" si="38"/>
        <v>0</v>
      </c>
    </row>
    <row r="37" spans="1:198">
      <c r="A37" s="239">
        <f t="shared" si="23"/>
        <v>24</v>
      </c>
      <c r="B37" s="125" t="str">
        <f t="shared" si="0"/>
        <v>sø</v>
      </c>
      <c r="C37" s="126" t="s">
        <v>118</v>
      </c>
      <c r="D37" s="127" t="str">
        <f t="shared" si="1"/>
        <v/>
      </c>
      <c r="E37" s="1123"/>
      <c r="F37" s="1124"/>
      <c r="G37" s="1125"/>
      <c r="H37" s="292"/>
      <c r="I37" s="746" t="str">
        <f>IF(GO37=1,"X","")</f>
        <v/>
      </c>
      <c r="J37" s="746" t="str">
        <f t="shared" si="2"/>
        <v/>
      </c>
      <c r="K37" s="368"/>
      <c r="L37" s="368"/>
      <c r="M37" s="368"/>
      <c r="N37" s="311">
        <f t="shared" si="24"/>
        <v>0</v>
      </c>
      <c r="O37" s="311">
        <f t="shared" si="25"/>
        <v>0</v>
      </c>
      <c r="P37" s="311">
        <f>IF(Stamoplysninger!$H$34="JA",Januar!DG37,CX37)</f>
        <v>0</v>
      </c>
      <c r="Q37" s="311">
        <f t="shared" si="26"/>
        <v>0</v>
      </c>
      <c r="R37" s="751"/>
      <c r="S37" s="315"/>
      <c r="T37" s="316"/>
      <c r="U37" s="316"/>
      <c r="V37" s="422"/>
      <c r="W37" s="400"/>
      <c r="X37" s="619"/>
      <c r="Y37">
        <f t="shared" si="27"/>
        <v>0</v>
      </c>
      <c r="Z37">
        <f t="shared" si="3"/>
        <v>0</v>
      </c>
      <c r="AA37" s="1">
        <f t="shared" si="4"/>
        <v>0</v>
      </c>
      <c r="AB37" s="1">
        <f t="shared" si="5"/>
        <v>0</v>
      </c>
      <c r="AC37" s="1">
        <f t="shared" si="6"/>
        <v>0</v>
      </c>
      <c r="AD37" s="1">
        <f t="shared" si="7"/>
        <v>0</v>
      </c>
      <c r="AE37" s="1">
        <f t="shared" si="8"/>
        <v>0</v>
      </c>
      <c r="AF37" s="1">
        <f>IF(C37="Orlov",7.4*Stamoplysninger!$E$20,0)</f>
        <v>0</v>
      </c>
      <c r="AG37" t="str">
        <f>IF(AND(C37="Skema 1",B37="ma"),Arbejdstidsoversigt!$E$77,"")</f>
        <v/>
      </c>
      <c r="AH37" t="str">
        <f>IF(AND(C37="Skema 1",B37="ti"),Arbejdstidsoversigt!$E$78,"")</f>
        <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9"/>
        <v>0</v>
      </c>
      <c r="BC37" s="1">
        <f t="shared" si="29"/>
        <v>0</v>
      </c>
      <c r="BD37" s="1">
        <f t="shared" si="10"/>
        <v>0</v>
      </c>
      <c r="BE37" s="1">
        <f t="shared" si="11"/>
        <v>0</v>
      </c>
      <c r="BF37" s="1">
        <f t="shared" si="12"/>
        <v>0</v>
      </c>
      <c r="BG37" s="207" t="str">
        <f>IF(AND(C37="Skema 1",B37="ma"),Skemaoplysninger!$E$46,"")</f>
        <v/>
      </c>
      <c r="BH37" s="207" t="str">
        <f>IF(AND(C37="Skema 1",B37="ti"),Skemaoplysninger!$G$46,"")</f>
        <v/>
      </c>
      <c r="BI37" s="207" t="str">
        <f>IF(AND(C37="Skema 1",B37="on"),Skemaoplysninger!$I$46,"")</f>
        <v/>
      </c>
      <c r="BJ37" s="207" t="str">
        <f>IF(AND(C37="Skema 1",B37="to"),Skemaoplysninger!$K$46,"")</f>
        <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0</v>
      </c>
      <c r="CB37" s="1">
        <f t="shared" si="13"/>
        <v>0</v>
      </c>
      <c r="CC37" s="1">
        <f t="shared" si="14"/>
        <v>0</v>
      </c>
      <c r="CD37" s="207" t="str">
        <f>IF(AND(C37="Skema 1",B37="ma"),Skemaoplysninger!$E$47,"")</f>
        <v/>
      </c>
      <c r="CE37" s="207" t="str">
        <f>IF(AND(C37="Skema 1",B37="ti"),Skemaoplysninger!$G$47,"")</f>
        <v/>
      </c>
      <c r="CF37" s="207" t="str">
        <f>IF(AND(C37="Skema 1",B37="on"),Skemaoplysninger!$I$47,"")</f>
        <v/>
      </c>
      <c r="CG37" s="207" t="str">
        <f>IF(AND(C37="Skema 1",B37="to"),Skemaoplysninger!$K$47,"")</f>
        <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5"/>
        <v/>
      </c>
      <c r="DL37" t="str">
        <f t="shared" si="15"/>
        <v/>
      </c>
      <c r="DM37" t="str">
        <f t="shared" si="15"/>
        <v/>
      </c>
      <c r="DN37" t="str">
        <f t="shared" si="35"/>
        <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6"/>
        <v>0</v>
      </c>
      <c r="FZ37" s="634">
        <f t="shared" si="17"/>
        <v>0</v>
      </c>
      <c r="GA37">
        <f t="shared" si="18"/>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9"/>
        <v>0</v>
      </c>
      <c r="GL37">
        <f t="shared" si="20"/>
        <v>0</v>
      </c>
      <c r="GM37">
        <f t="shared" si="21"/>
        <v>0</v>
      </c>
      <c r="GN37" s="713">
        <f t="shared" si="22"/>
        <v>0</v>
      </c>
      <c r="GO37">
        <f t="shared" si="37"/>
        <v>0</v>
      </c>
      <c r="GP37" s="647">
        <f t="shared" si="38"/>
        <v>0</v>
      </c>
    </row>
    <row r="38" spans="1:198">
      <c r="A38" s="239">
        <f t="shared" si="23"/>
        <v>25</v>
      </c>
      <c r="B38" s="125" t="str">
        <f t="shared" si="0"/>
        <v>ma</v>
      </c>
      <c r="C38" s="126" t="s">
        <v>208</v>
      </c>
      <c r="D38" s="127">
        <f t="shared" si="1"/>
        <v>4.4285714285714288</v>
      </c>
      <c r="E38" s="1060" t="s">
        <v>758</v>
      </c>
      <c r="F38" s="1061"/>
      <c r="G38" s="1062"/>
      <c r="H38" s="292"/>
      <c r="I38" s="745"/>
      <c r="J38" s="746" t="str">
        <f t="shared" si="2"/>
        <v/>
      </c>
      <c r="K38" s="368">
        <v>7</v>
      </c>
      <c r="L38" s="368">
        <v>3.75</v>
      </c>
      <c r="M38" s="368">
        <v>1.5</v>
      </c>
      <c r="N38" s="311">
        <f t="shared" si="24"/>
        <v>7</v>
      </c>
      <c r="O38" s="311">
        <f t="shared" si="25"/>
        <v>3.75</v>
      </c>
      <c r="P38" s="311">
        <f>IF(Stamoplysninger!$H$34="JA",Januar!DG38,CX38)</f>
        <v>1.5</v>
      </c>
      <c r="Q38" s="311">
        <f t="shared" si="26"/>
        <v>1.75</v>
      </c>
      <c r="R38" s="751"/>
      <c r="S38" s="315"/>
      <c r="T38" s="316"/>
      <c r="U38" s="316"/>
      <c r="V38" s="422"/>
      <c r="W38" s="400"/>
      <c r="X38" s="619"/>
      <c r="Y38">
        <f t="shared" si="27"/>
        <v>0</v>
      </c>
      <c r="Z38">
        <f t="shared" si="3"/>
        <v>0</v>
      </c>
      <c r="AA38" s="1">
        <f t="shared" si="4"/>
        <v>7</v>
      </c>
      <c r="AB38" s="1">
        <f t="shared" si="5"/>
        <v>0</v>
      </c>
      <c r="AC38" s="1">
        <f t="shared" si="6"/>
        <v>0</v>
      </c>
      <c r="AD38" s="1">
        <f t="shared" si="7"/>
        <v>0</v>
      </c>
      <c r="AE38" s="1">
        <f t="shared" si="8"/>
        <v>0</v>
      </c>
      <c r="AF38" s="1">
        <f>IF(C38="Orlov",7.4*Stamoplysninger!$E$20,0)</f>
        <v>0</v>
      </c>
      <c r="AG38" t="str">
        <f>IF(AND(C38="Skema 1",B38="ma"),Arbejdstidsoversigt!$E$77,"")</f>
        <v/>
      </c>
      <c r="AH38" t="str">
        <f>IF(AND(C38="Skema 1",B38="ti"),Arbejdstidsoversigt!$E$78,"")</f>
        <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7</v>
      </c>
      <c r="BB38" s="224">
        <f t="shared" si="9"/>
        <v>0</v>
      </c>
      <c r="BC38" s="1">
        <f t="shared" si="29"/>
        <v>0</v>
      </c>
      <c r="BD38" s="1">
        <f t="shared" si="10"/>
        <v>0</v>
      </c>
      <c r="BE38" s="1">
        <f t="shared" si="11"/>
        <v>0</v>
      </c>
      <c r="BF38" s="1">
        <f t="shared" si="12"/>
        <v>3.75</v>
      </c>
      <c r="BG38" s="207" t="str">
        <f>IF(AND(C38="Skema 1",B38="ma"),Skemaoplysninger!$E$46,"")</f>
        <v/>
      </c>
      <c r="BH38" s="207" t="str">
        <f>IF(AND(C38="Skema 1",B38="ti"),Skemaoplysninger!$G$46,"")</f>
        <v/>
      </c>
      <c r="BI38" s="207" t="str">
        <f>IF(AND(C38="Skema 1",B38="on"),Skemaoplysninger!$I$46,"")</f>
        <v/>
      </c>
      <c r="BJ38" s="207" t="str">
        <f>IF(AND(C38="Skema 1",B38="to"),Skemaoplysninger!$K$46,"")</f>
        <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3.75</v>
      </c>
      <c r="CB38" s="1">
        <f t="shared" si="13"/>
        <v>0</v>
      </c>
      <c r="CC38" s="1">
        <f t="shared" si="14"/>
        <v>1.5</v>
      </c>
      <c r="CD38" s="207" t="str">
        <f>IF(AND(C38="Skema 1",B38="ma"),Skemaoplysninger!$E$47,"")</f>
        <v/>
      </c>
      <c r="CE38" s="207" t="str">
        <f>IF(AND(C38="Skema 1",B38="ti"),Skemaoplysninger!$G$47,"")</f>
        <v/>
      </c>
      <c r="CF38" s="207" t="str">
        <f>IF(AND(C38="Skema 1",B38="on"),Skemaoplysninger!$I$47,"")</f>
        <v/>
      </c>
      <c r="CG38" s="207" t="str">
        <f>IF(AND(C38="Skema 1",B38="to"),Skemaoplysninger!$K$47,"")</f>
        <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1.5</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t="str">
        <f t="shared" si="33"/>
        <v>Musicaluge</v>
      </c>
      <c r="DJ38" t="str">
        <f t="shared" si="34"/>
        <v/>
      </c>
      <c r="DK38" t="str">
        <f t="shared" si="15"/>
        <v/>
      </c>
      <c r="DL38" t="str">
        <f t="shared" si="15"/>
        <v>Musicaluge</v>
      </c>
      <c r="DM38" t="str">
        <f t="shared" si="15"/>
        <v/>
      </c>
      <c r="DN38" t="str">
        <f t="shared" si="35"/>
        <v>Musicaluge</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6"/>
        <v>0</v>
      </c>
      <c r="FZ38" s="634">
        <f t="shared" si="17"/>
        <v>0</v>
      </c>
      <c r="GA38">
        <f t="shared" si="18"/>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t="str">
        <f t="shared" si="19"/>
        <v>X</v>
      </c>
      <c r="GL38">
        <f t="shared" si="20"/>
        <v>0</v>
      </c>
      <c r="GM38">
        <f t="shared" si="21"/>
        <v>0</v>
      </c>
      <c r="GN38" s="713">
        <f t="shared" si="22"/>
        <v>0</v>
      </c>
      <c r="GO38">
        <f t="shared" si="37"/>
        <v>1</v>
      </c>
      <c r="GP38" s="647">
        <f t="shared" si="38"/>
        <v>0</v>
      </c>
    </row>
    <row r="39" spans="1:198">
      <c r="A39" s="239">
        <f t="shared" si="23"/>
        <v>26</v>
      </c>
      <c r="B39" s="125" t="str">
        <f t="shared" si="0"/>
        <v>ti</v>
      </c>
      <c r="C39" s="126" t="s">
        <v>208</v>
      </c>
      <c r="D39" s="127" t="str">
        <f t="shared" si="1"/>
        <v/>
      </c>
      <c r="E39" s="1060" t="s">
        <v>758</v>
      </c>
      <c r="F39" s="1061"/>
      <c r="G39" s="1062"/>
      <c r="H39" s="292"/>
      <c r="I39" s="745"/>
      <c r="J39" s="746" t="str">
        <f t="shared" si="2"/>
        <v/>
      </c>
      <c r="K39" s="368">
        <v>7</v>
      </c>
      <c r="L39" s="368">
        <v>3.75</v>
      </c>
      <c r="M39" s="368">
        <v>1.5</v>
      </c>
      <c r="N39" s="311">
        <f t="shared" si="24"/>
        <v>7</v>
      </c>
      <c r="O39" s="311">
        <f t="shared" si="25"/>
        <v>3.75</v>
      </c>
      <c r="P39" s="311">
        <f>IF(Stamoplysninger!$H$34="JA",Januar!DG39,CX39)</f>
        <v>1.5</v>
      </c>
      <c r="Q39" s="311">
        <f t="shared" si="26"/>
        <v>1.75</v>
      </c>
      <c r="R39" s="751"/>
      <c r="S39" s="315"/>
      <c r="T39" s="316"/>
      <c r="U39" s="316"/>
      <c r="V39" s="422"/>
      <c r="W39" s="400"/>
      <c r="X39" s="619"/>
      <c r="Y39">
        <f t="shared" si="27"/>
        <v>0</v>
      </c>
      <c r="Z39">
        <f t="shared" si="3"/>
        <v>0</v>
      </c>
      <c r="AA39" s="1">
        <f t="shared" si="4"/>
        <v>7</v>
      </c>
      <c r="AB39" s="1">
        <f t="shared" si="5"/>
        <v>0</v>
      </c>
      <c r="AC39" s="1">
        <f t="shared" si="6"/>
        <v>0</v>
      </c>
      <c r="AD39" s="1">
        <f t="shared" si="7"/>
        <v>0</v>
      </c>
      <c r="AE39" s="1">
        <f t="shared" si="8"/>
        <v>0</v>
      </c>
      <c r="AF39" s="1">
        <f>IF(C39="Orlov",7.4*Stamoplysninger!$E$20,0)</f>
        <v>0</v>
      </c>
      <c r="AG39" t="str">
        <f>IF(AND(C39="Skema 1",B39="ma"),Arbejdstidsoversigt!$E$77,"")</f>
        <v/>
      </c>
      <c r="AH39" t="str">
        <f>IF(AND(C39="Skema 1",B39="ti"),Arbejdstidsoversigt!$E$78,"")</f>
        <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7</v>
      </c>
      <c r="BB39" s="224">
        <f t="shared" si="9"/>
        <v>0</v>
      </c>
      <c r="BC39" s="1">
        <f t="shared" si="29"/>
        <v>0</v>
      </c>
      <c r="BD39" s="1">
        <f t="shared" si="10"/>
        <v>0</v>
      </c>
      <c r="BE39" s="1">
        <f t="shared" si="11"/>
        <v>0</v>
      </c>
      <c r="BF39" s="1">
        <f t="shared" si="12"/>
        <v>3.75</v>
      </c>
      <c r="BG39" s="207" t="str">
        <f>IF(AND(C39="Skema 1",B39="ma"),Skemaoplysninger!$E$46,"")</f>
        <v/>
      </c>
      <c r="BH39" s="207" t="str">
        <f>IF(AND(C39="Skema 1",B39="ti"),Skemaoplysninger!$G$46,"")</f>
        <v/>
      </c>
      <c r="BI39" s="207" t="str">
        <f>IF(AND(C39="Skema 1",B39="on"),Skemaoplysninger!$I$46,"")</f>
        <v/>
      </c>
      <c r="BJ39" s="207" t="str">
        <f>IF(AND(C39="Skema 1",B39="to"),Skemaoplysninger!$K$46,"")</f>
        <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3.75</v>
      </c>
      <c r="CB39" s="1">
        <f t="shared" si="13"/>
        <v>0</v>
      </c>
      <c r="CC39" s="1">
        <f t="shared" si="14"/>
        <v>1.5</v>
      </c>
      <c r="CD39" s="207" t="str">
        <f>IF(AND(C39="Skema 1",B39="ma"),Skemaoplysninger!$E$47,"")</f>
        <v/>
      </c>
      <c r="CE39" s="207" t="str">
        <f>IF(AND(C39="Skema 1",B39="ti"),Skemaoplysninger!$G$47,"")</f>
        <v/>
      </c>
      <c r="CF39" s="207" t="str">
        <f>IF(AND(C39="Skema 1",B39="on"),Skemaoplysninger!$I$47,"")</f>
        <v/>
      </c>
      <c r="CG39" s="207" t="str">
        <f>IF(AND(C39="Skema 1",B39="to"),Skemaoplysninger!$K$47,"")</f>
        <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1.5</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t="str">
        <f t="shared" si="33"/>
        <v>Musicaluge</v>
      </c>
      <c r="DJ39" t="str">
        <f t="shared" si="34"/>
        <v/>
      </c>
      <c r="DK39" t="str">
        <f t="shared" si="15"/>
        <v/>
      </c>
      <c r="DL39" t="str">
        <f t="shared" si="15"/>
        <v>Musicaluge</v>
      </c>
      <c r="DM39" t="str">
        <f t="shared" si="15"/>
        <v/>
      </c>
      <c r="DN39" t="str">
        <f t="shared" si="35"/>
        <v>Musicaluge</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6"/>
        <v>0</v>
      </c>
      <c r="FZ39" s="634">
        <f t="shared" si="17"/>
        <v>0</v>
      </c>
      <c r="GA39">
        <f t="shared" si="18"/>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t="str">
        <f t="shared" si="19"/>
        <v>X</v>
      </c>
      <c r="GL39">
        <f t="shared" si="20"/>
        <v>0</v>
      </c>
      <c r="GM39">
        <f t="shared" si="21"/>
        <v>0</v>
      </c>
      <c r="GN39" s="713">
        <f t="shared" si="22"/>
        <v>0</v>
      </c>
      <c r="GO39">
        <f t="shared" si="37"/>
        <v>1</v>
      </c>
      <c r="GP39" s="647">
        <f t="shared" si="38"/>
        <v>0</v>
      </c>
    </row>
    <row r="40" spans="1:198">
      <c r="A40" s="239">
        <f t="shared" si="23"/>
        <v>27</v>
      </c>
      <c r="B40" s="125" t="str">
        <f t="shared" si="0"/>
        <v>on</v>
      </c>
      <c r="C40" s="126" t="s">
        <v>208</v>
      </c>
      <c r="D40" s="127" t="str">
        <f t="shared" si="1"/>
        <v/>
      </c>
      <c r="E40" s="1060" t="s">
        <v>758</v>
      </c>
      <c r="F40" s="1061"/>
      <c r="G40" s="1062"/>
      <c r="H40" s="292"/>
      <c r="I40" s="745"/>
      <c r="J40" s="746" t="str">
        <f t="shared" si="2"/>
        <v/>
      </c>
      <c r="K40" s="368">
        <v>7</v>
      </c>
      <c r="L40" s="368">
        <v>3.75</v>
      </c>
      <c r="M40" s="368">
        <v>1.5</v>
      </c>
      <c r="N40" s="311">
        <f t="shared" si="24"/>
        <v>7</v>
      </c>
      <c r="O40" s="311">
        <f t="shared" si="25"/>
        <v>3.75</v>
      </c>
      <c r="P40" s="311">
        <f>IF(Stamoplysninger!$H$34="JA",Januar!DG40,CX40)</f>
        <v>1.5</v>
      </c>
      <c r="Q40" s="311">
        <f t="shared" si="26"/>
        <v>1.75</v>
      </c>
      <c r="R40" s="751"/>
      <c r="S40" s="315"/>
      <c r="T40" s="316"/>
      <c r="U40" s="316"/>
      <c r="V40" s="422"/>
      <c r="W40" s="400"/>
      <c r="X40" s="619"/>
      <c r="Y40">
        <f t="shared" si="27"/>
        <v>0</v>
      </c>
      <c r="Z40">
        <f t="shared" si="3"/>
        <v>0</v>
      </c>
      <c r="AA40" s="1">
        <f t="shared" si="4"/>
        <v>7</v>
      </c>
      <c r="AB40" s="1">
        <f t="shared" si="5"/>
        <v>0</v>
      </c>
      <c r="AC40" s="1">
        <f t="shared" si="6"/>
        <v>0</v>
      </c>
      <c r="AD40" s="1">
        <f t="shared" si="7"/>
        <v>0</v>
      </c>
      <c r="AE40" s="1">
        <f t="shared" si="8"/>
        <v>0</v>
      </c>
      <c r="AF40" s="1">
        <f>IF(C40="Orlov",7.4*Stamoplysninger!$E$20,0)</f>
        <v>0</v>
      </c>
      <c r="AG40" t="str">
        <f>IF(AND(C40="Skema 1",B40="ma"),Arbejdstidsoversigt!$E$77,"")</f>
        <v/>
      </c>
      <c r="AH40" t="str">
        <f>IF(AND(C40="Skema 1",B40="ti"),Arbejdstidsoversigt!$E$78,"")</f>
        <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7</v>
      </c>
      <c r="BB40" s="224">
        <f t="shared" si="9"/>
        <v>0</v>
      </c>
      <c r="BC40" s="1">
        <f t="shared" si="29"/>
        <v>0</v>
      </c>
      <c r="BD40" s="1">
        <f t="shared" si="10"/>
        <v>0</v>
      </c>
      <c r="BE40" s="1">
        <f t="shared" si="11"/>
        <v>0</v>
      </c>
      <c r="BF40" s="1">
        <f t="shared" si="12"/>
        <v>3.75</v>
      </c>
      <c r="BG40" s="207" t="str">
        <f>IF(AND(C40="Skema 1",B40="ma"),Skemaoplysninger!$E$46,"")</f>
        <v/>
      </c>
      <c r="BH40" s="207" t="str">
        <f>IF(AND(C40="Skema 1",B40="ti"),Skemaoplysninger!$G$46,"")</f>
        <v/>
      </c>
      <c r="BI40" s="207" t="str">
        <f>IF(AND(C40="Skema 1",B40="on"),Skemaoplysninger!$I$46,"")</f>
        <v/>
      </c>
      <c r="BJ40" s="207" t="str">
        <f>IF(AND(C40="Skema 1",B40="to"),Skemaoplysninger!$K$46,"")</f>
        <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0"/>
        <v>3.75</v>
      </c>
      <c r="CB40" s="1">
        <f t="shared" si="13"/>
        <v>0</v>
      </c>
      <c r="CC40" s="1">
        <f t="shared" si="14"/>
        <v>1.5</v>
      </c>
      <c r="CD40" s="207" t="str">
        <f>IF(AND(C40="Skema 1",B40="ma"),Skemaoplysninger!$E$47,"")</f>
        <v/>
      </c>
      <c r="CE40" s="207" t="str">
        <f>IF(AND(C40="Skema 1",B40="ti"),Skemaoplysninger!$G$47,"")</f>
        <v/>
      </c>
      <c r="CF40" s="207" t="str">
        <f>IF(AND(C40="Skema 1",B40="on"),Skemaoplysninger!$I$47,"")</f>
        <v/>
      </c>
      <c r="CG40" s="207" t="str">
        <f>IF(AND(C40="Skema 1",B40="to"),Skemaoplysninger!$K$47,"")</f>
        <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1.5</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t="str">
        <f t="shared" si="33"/>
        <v>Musicaluge</v>
      </c>
      <c r="DJ40" t="str">
        <f t="shared" si="34"/>
        <v/>
      </c>
      <c r="DK40" t="str">
        <f t="shared" si="15"/>
        <v/>
      </c>
      <c r="DL40" t="str">
        <f t="shared" si="15"/>
        <v>Musicaluge</v>
      </c>
      <c r="DM40" t="str">
        <f t="shared" si="15"/>
        <v/>
      </c>
      <c r="DN40" t="str">
        <f t="shared" si="35"/>
        <v>Musicaluge</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6"/>
        <v>0</v>
      </c>
      <c r="FZ40" s="634">
        <f t="shared" si="17"/>
        <v>0</v>
      </c>
      <c r="GA40">
        <f t="shared" si="18"/>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t="str">
        <f t="shared" si="19"/>
        <v>X</v>
      </c>
      <c r="GL40">
        <f t="shared" si="20"/>
        <v>0</v>
      </c>
      <c r="GM40">
        <f t="shared" si="21"/>
        <v>0</v>
      </c>
      <c r="GN40" s="713">
        <f t="shared" si="22"/>
        <v>0</v>
      </c>
      <c r="GO40">
        <f t="shared" si="37"/>
        <v>1</v>
      </c>
      <c r="GP40" s="647">
        <f t="shared" si="38"/>
        <v>0</v>
      </c>
    </row>
    <row r="41" spans="1:198">
      <c r="A41" s="239">
        <f t="shared" si="23"/>
        <v>28</v>
      </c>
      <c r="B41" s="125" t="str">
        <f t="shared" si="0"/>
        <v>to</v>
      </c>
      <c r="C41" s="126" t="s">
        <v>208</v>
      </c>
      <c r="D41" s="127" t="str">
        <f t="shared" si="1"/>
        <v/>
      </c>
      <c r="E41" s="1060" t="s">
        <v>758</v>
      </c>
      <c r="F41" s="1061"/>
      <c r="G41" s="1062"/>
      <c r="H41" s="292"/>
      <c r="I41" s="745"/>
      <c r="J41" s="746" t="str">
        <f t="shared" si="2"/>
        <v/>
      </c>
      <c r="K41" s="368">
        <v>7</v>
      </c>
      <c r="L41" s="368">
        <v>3.75</v>
      </c>
      <c r="M41" s="368">
        <v>1.5</v>
      </c>
      <c r="N41" s="311">
        <f t="shared" si="24"/>
        <v>7</v>
      </c>
      <c r="O41" s="311">
        <f t="shared" si="25"/>
        <v>3.75</v>
      </c>
      <c r="P41" s="311">
        <f>IF(Stamoplysninger!$H$34="JA",Januar!DG41,CX41)</f>
        <v>1.5</v>
      </c>
      <c r="Q41" s="311">
        <f t="shared" si="26"/>
        <v>1.75</v>
      </c>
      <c r="R41" s="751"/>
      <c r="S41" s="315"/>
      <c r="T41" s="316"/>
      <c r="U41" s="316"/>
      <c r="V41" s="422"/>
      <c r="W41" s="400"/>
      <c r="X41" s="619"/>
      <c r="Y41">
        <f t="shared" si="27"/>
        <v>0</v>
      </c>
      <c r="Z41">
        <f t="shared" si="3"/>
        <v>0</v>
      </c>
      <c r="AA41" s="1">
        <f t="shared" si="4"/>
        <v>7</v>
      </c>
      <c r="AB41" s="1">
        <f t="shared" si="5"/>
        <v>0</v>
      </c>
      <c r="AC41" s="1">
        <f t="shared" si="6"/>
        <v>0</v>
      </c>
      <c r="AD41" s="1">
        <f t="shared" si="7"/>
        <v>0</v>
      </c>
      <c r="AE41" s="1">
        <f t="shared" si="8"/>
        <v>0</v>
      </c>
      <c r="AF41" s="1">
        <f>IF(C41="Orlov",7.4*Stamoplysninger!$E$20,0)</f>
        <v>0</v>
      </c>
      <c r="AG41" t="str">
        <f>IF(AND(C41="Skema 1",B41="ma"),Arbejdstidsoversigt!$E$77,"")</f>
        <v/>
      </c>
      <c r="AH41" t="str">
        <f>IF(AND(C41="Skema 1",B41="ti"),Arbejdstidsoversigt!$E$78,"")</f>
        <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7</v>
      </c>
      <c r="BB41" s="224">
        <f t="shared" si="9"/>
        <v>0</v>
      </c>
      <c r="BC41" s="1">
        <f t="shared" si="29"/>
        <v>0</v>
      </c>
      <c r="BD41" s="1">
        <f t="shared" si="10"/>
        <v>0</v>
      </c>
      <c r="BE41" s="1">
        <f t="shared" si="11"/>
        <v>0</v>
      </c>
      <c r="BF41" s="1">
        <f t="shared" si="12"/>
        <v>3.75</v>
      </c>
      <c r="BG41" s="207" t="str">
        <f>IF(AND(C41="Skema 1",B41="ma"),Skemaoplysninger!$E$46,"")</f>
        <v/>
      </c>
      <c r="BH41" s="207" t="str">
        <f>IF(AND(C41="Skema 1",B41="ti"),Skemaoplysninger!$G$46,"")</f>
        <v/>
      </c>
      <c r="BI41" s="207" t="str">
        <f>IF(AND(C41="Skema 1",B41="on"),Skemaoplysninger!$I$46,"")</f>
        <v/>
      </c>
      <c r="BJ41" s="207" t="str">
        <f>IF(AND(C41="Skema 1",B41="to"),Skemaoplysninger!$K$46,"")</f>
        <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0"/>
        <v>3.75</v>
      </c>
      <c r="CB41" s="1">
        <f t="shared" si="13"/>
        <v>0</v>
      </c>
      <c r="CC41" s="1">
        <f t="shared" si="14"/>
        <v>1.5</v>
      </c>
      <c r="CD41" s="207" t="str">
        <f>IF(AND(C41="Skema 1",B41="ma"),Skemaoplysninger!$E$47,"")</f>
        <v/>
      </c>
      <c r="CE41" s="207" t="str">
        <f>IF(AND(C41="Skema 1",B41="ti"),Skemaoplysninger!$G$47,"")</f>
        <v/>
      </c>
      <c r="CF41" s="207" t="str">
        <f>IF(AND(C41="Skema 1",B41="on"),Skemaoplysninger!$I$47,"")</f>
        <v/>
      </c>
      <c r="CG41" s="207" t="str">
        <f>IF(AND(C41="Skema 1",B41="to"),Skemaoplysninger!$K$47,"")</f>
        <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1.5</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t="str">
        <f t="shared" si="33"/>
        <v>Musicaluge</v>
      </c>
      <c r="DJ41" t="str">
        <f t="shared" si="34"/>
        <v/>
      </c>
      <c r="DK41" t="str">
        <f t="shared" si="15"/>
        <v/>
      </c>
      <c r="DL41" t="str">
        <f t="shared" si="15"/>
        <v>Musicaluge</v>
      </c>
      <c r="DM41" t="str">
        <f t="shared" si="15"/>
        <v/>
      </c>
      <c r="DN41" t="str">
        <f t="shared" si="35"/>
        <v>Musicaluge</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6"/>
        <v>0</v>
      </c>
      <c r="FZ41" s="634">
        <f t="shared" si="17"/>
        <v>0</v>
      </c>
      <c r="GA41">
        <f t="shared" si="18"/>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t="str">
        <f t="shared" si="19"/>
        <v>X</v>
      </c>
      <c r="GL41">
        <f t="shared" si="20"/>
        <v>0</v>
      </c>
      <c r="GM41">
        <f t="shared" si="21"/>
        <v>0</v>
      </c>
      <c r="GN41" s="713">
        <f t="shared" si="22"/>
        <v>0</v>
      </c>
      <c r="GO41">
        <f t="shared" si="37"/>
        <v>1</v>
      </c>
      <c r="GP41" s="647">
        <f t="shared" si="38"/>
        <v>0</v>
      </c>
    </row>
    <row r="42" spans="1:198">
      <c r="A42" s="239">
        <f>IF(ISNUMBER(A41),A41+1,1)</f>
        <v>29</v>
      </c>
      <c r="B42" s="125" t="str">
        <f t="shared" si="0"/>
        <v>fr</v>
      </c>
      <c r="C42" s="126" t="s">
        <v>208</v>
      </c>
      <c r="D42" s="127" t="str">
        <f t="shared" si="1"/>
        <v/>
      </c>
      <c r="E42" s="1060" t="s">
        <v>758</v>
      </c>
      <c r="F42" s="1061"/>
      <c r="G42" s="1062"/>
      <c r="H42" s="292" t="s">
        <v>759</v>
      </c>
      <c r="I42" s="745"/>
      <c r="J42" s="746" t="str">
        <f t="shared" si="2"/>
        <v/>
      </c>
      <c r="K42" s="368">
        <v>7</v>
      </c>
      <c r="L42" s="368">
        <v>3.75</v>
      </c>
      <c r="M42" s="368">
        <v>1.5</v>
      </c>
      <c r="N42" s="311">
        <f t="shared" si="24"/>
        <v>7</v>
      </c>
      <c r="O42" s="311">
        <f t="shared" si="25"/>
        <v>3.75</v>
      </c>
      <c r="P42" s="311">
        <f>IF(Stamoplysninger!$H$34="JA",Januar!DG42,CX42)</f>
        <v>1.5</v>
      </c>
      <c r="Q42" s="311">
        <f t="shared" si="26"/>
        <v>1.75</v>
      </c>
      <c r="R42" s="751">
        <v>5</v>
      </c>
      <c r="S42" s="315"/>
      <c r="T42" s="316"/>
      <c r="U42" s="316"/>
      <c r="V42" s="422"/>
      <c r="W42" s="400"/>
      <c r="X42" s="619"/>
      <c r="Y42">
        <f t="shared" si="27"/>
        <v>0</v>
      </c>
      <c r="Z42">
        <f t="shared" si="3"/>
        <v>0</v>
      </c>
      <c r="AA42" s="1">
        <f t="shared" si="4"/>
        <v>7</v>
      </c>
      <c r="AB42" s="1">
        <f t="shared" si="5"/>
        <v>0</v>
      </c>
      <c r="AC42" s="1">
        <f t="shared" si="6"/>
        <v>0</v>
      </c>
      <c r="AD42" s="1">
        <f t="shared" si="7"/>
        <v>0</v>
      </c>
      <c r="AE42" s="1">
        <f t="shared" si="8"/>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7</v>
      </c>
      <c r="BB42" s="224">
        <f t="shared" si="9"/>
        <v>0</v>
      </c>
      <c r="BC42" s="1">
        <f t="shared" si="29"/>
        <v>0</v>
      </c>
      <c r="BD42" s="1">
        <f t="shared" si="10"/>
        <v>0</v>
      </c>
      <c r="BE42" s="1">
        <f t="shared" si="11"/>
        <v>0</v>
      </c>
      <c r="BF42" s="1">
        <f t="shared" si="12"/>
        <v>3.75</v>
      </c>
      <c r="BG42" s="207" t="str">
        <f>IF(AND(C42="Skema 1",B42="ma"),Skemaoplysninger!$E$46,"")</f>
        <v/>
      </c>
      <c r="BH42" s="207" t="str">
        <f>IF(AND(C42="Skema 1",B42="ti"),Skemaoplysninger!$G$46,"")</f>
        <v/>
      </c>
      <c r="BI42" s="207" t="str">
        <f>IF(AND(C42="Skema 1",B42="on"),Skemaoplysninger!$I$46,"")</f>
        <v/>
      </c>
      <c r="BJ42" s="207" t="str">
        <f>IF(AND(C42="Skema 1",B42="to"),Skemaoplysninger!$K$46,"")</f>
        <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 t="shared" si="30"/>
        <v>3.75</v>
      </c>
      <c r="CB42" s="1">
        <f t="shared" si="13"/>
        <v>0</v>
      </c>
      <c r="CC42" s="1">
        <f t="shared" si="14"/>
        <v>1.5</v>
      </c>
      <c r="CD42" s="207" t="str">
        <f>IF(AND(C42="Skema 1",B42="ma"),Skemaoplysninger!$E$47,"")</f>
        <v/>
      </c>
      <c r="CE42" s="207" t="str">
        <f>IF(AND(C42="Skema 1",B42="ti"),Skemaoplysninger!$G$47,"")</f>
        <v/>
      </c>
      <c r="CF42" s="207" t="str">
        <f>IF(AND(C42="Skema 1",B42="on"),Skemaoplysninger!$I$47,"")</f>
        <v/>
      </c>
      <c r="CG42" s="207" t="str">
        <f>IF(AND(C42="Skema 1",B42="to"),Skemaoplysninger!$K$47,"")</f>
        <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1.5</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Musicaluge og Skolefest</v>
      </c>
      <c r="DI42" t="str">
        <f t="shared" si="33"/>
        <v/>
      </c>
      <c r="DJ42" t="str">
        <f t="shared" si="34"/>
        <v/>
      </c>
      <c r="DK42" t="str">
        <f t="shared" si="15"/>
        <v>Musicaluge og Skolefest</v>
      </c>
      <c r="DL42" t="str">
        <f t="shared" si="15"/>
        <v/>
      </c>
      <c r="DM42" t="str">
        <f t="shared" si="15"/>
        <v/>
      </c>
      <c r="DN42" t="str">
        <f t="shared" si="35"/>
        <v>Musicaluge og Skolefest</v>
      </c>
      <c r="DO42" s="628">
        <f>IF(AND(Stamoplysninger!$B$27="Ulempetillæg udbetales med 25% af nettotimelønnen.",H42&gt;0),(R42/4),0)</f>
        <v>1.25</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6"/>
        <v>0</v>
      </c>
      <c r="FZ42" s="634">
        <f t="shared" si="17"/>
        <v>0</v>
      </c>
      <c r="GA42">
        <f t="shared" si="18"/>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t="str">
        <f t="shared" si="19"/>
        <v>X</v>
      </c>
      <c r="GL42">
        <f t="shared" si="20"/>
        <v>0</v>
      </c>
      <c r="GM42">
        <f t="shared" si="21"/>
        <v>0</v>
      </c>
      <c r="GN42" s="713">
        <f t="shared" si="22"/>
        <v>0</v>
      </c>
      <c r="GO42">
        <f t="shared" si="37"/>
        <v>1</v>
      </c>
      <c r="GP42" s="647">
        <f t="shared" si="38"/>
        <v>0</v>
      </c>
    </row>
    <row r="43" spans="1:198">
      <c r="A43" s="239">
        <f t="shared" si="23"/>
        <v>30</v>
      </c>
      <c r="B43" s="125" t="str">
        <f t="shared" si="0"/>
        <v>lø</v>
      </c>
      <c r="C43" s="126" t="s">
        <v>118</v>
      </c>
      <c r="D43" s="127" t="str">
        <f t="shared" si="1"/>
        <v/>
      </c>
      <c r="E43" s="1060"/>
      <c r="F43" s="1061"/>
      <c r="G43" s="1062"/>
      <c r="H43" s="292"/>
      <c r="I43" s="746" t="str">
        <f>IF(GO43=1,"X","")</f>
        <v/>
      </c>
      <c r="J43" s="746" t="str">
        <f t="shared" si="2"/>
        <v/>
      </c>
      <c r="K43" s="368"/>
      <c r="L43" s="368"/>
      <c r="M43" s="368"/>
      <c r="N43" s="311">
        <f t="shared" si="24"/>
        <v>0</v>
      </c>
      <c r="O43" s="311">
        <f t="shared" si="25"/>
        <v>0</v>
      </c>
      <c r="P43" s="311">
        <f>IF(Stamoplysninger!$H$34="JA",Januar!DG43,CX43)</f>
        <v>0</v>
      </c>
      <c r="Q43" s="311">
        <f t="shared" si="26"/>
        <v>0</v>
      </c>
      <c r="R43" s="751"/>
      <c r="S43" s="315"/>
      <c r="T43" s="316"/>
      <c r="U43" s="428"/>
      <c r="V43" s="422"/>
      <c r="W43" s="400"/>
      <c r="X43" s="619"/>
      <c r="Y43">
        <f t="shared" si="27"/>
        <v>0</v>
      </c>
      <c r="Z43">
        <f t="shared" si="3"/>
        <v>0</v>
      </c>
      <c r="AA43" s="1">
        <f t="shared" si="4"/>
        <v>0</v>
      </c>
      <c r="AB43" s="1">
        <f t="shared" si="5"/>
        <v>0</v>
      </c>
      <c r="AC43" s="1">
        <f t="shared" si="6"/>
        <v>0</v>
      </c>
      <c r="AD43" s="1">
        <f t="shared" si="7"/>
        <v>0</v>
      </c>
      <c r="AE43" s="1">
        <f t="shared" si="8"/>
        <v>0</v>
      </c>
      <c r="AF43" s="1">
        <f>IF(C43="Orlov",7.4*Stamoplysninger!$E$20,0)</f>
        <v>0</v>
      </c>
      <c r="AG43" t="str">
        <f>IF(AND(C43="Skema 1",B43="ma"),Arbejdstidsoversigt!$E$77,"")</f>
        <v/>
      </c>
      <c r="AH43" t="str">
        <f>IF(AND(C43="Skema 1",B43="ti"),Arbejdstidsoversigt!$E$78,"")</f>
        <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0</v>
      </c>
      <c r="BB43" s="224">
        <f t="shared" si="9"/>
        <v>0</v>
      </c>
      <c r="BC43" s="1">
        <f t="shared" si="29"/>
        <v>0</v>
      </c>
      <c r="BD43" s="1">
        <f t="shared" si="10"/>
        <v>0</v>
      </c>
      <c r="BE43" s="1">
        <f t="shared" si="11"/>
        <v>0</v>
      </c>
      <c r="BF43" s="1">
        <f t="shared" si="12"/>
        <v>0</v>
      </c>
      <c r="BG43" s="207" t="str">
        <f>IF(AND(C43="Skema 1",B43="ma"),Skemaoplysninger!$E$46,"")</f>
        <v/>
      </c>
      <c r="BH43" s="207" t="str">
        <f>IF(AND(C43="Skema 1",B43="ti"),Skemaoplysninger!$G$46,"")</f>
        <v/>
      </c>
      <c r="BI43" s="207" t="str">
        <f>IF(AND(C43="Skema 1",B43="on"),Skemaoplysninger!$I$46,"")</f>
        <v/>
      </c>
      <c r="BJ43" s="207" t="str">
        <f>IF(AND(C43="Skema 1",B43="to"),Skemaoplysninger!$K$46,"")</f>
        <v/>
      </c>
      <c r="BK43" s="207" t="str">
        <f>IF(AND(C43="Skema 1",B43="fr"),Skemaoplysninger!$M$46,"")</f>
        <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 t="shared" si="30"/>
        <v>0</v>
      </c>
      <c r="CB43" s="1">
        <f t="shared" si="13"/>
        <v>0</v>
      </c>
      <c r="CC43" s="1">
        <f t="shared" si="14"/>
        <v>0</v>
      </c>
      <c r="CD43" s="207" t="str">
        <f>IF(AND(C43="Skema 1",B43="ma"),Skemaoplysninger!$E$47,"")</f>
        <v/>
      </c>
      <c r="CE43" s="207" t="str">
        <f>IF(AND(C43="Skema 1",B43="ti"),Skemaoplysninger!$G$47,"")</f>
        <v/>
      </c>
      <c r="CF43" s="207" t="str">
        <f>IF(AND(C43="Skema 1",B43="on"),Skemaoplysninger!$I$47,"")</f>
        <v/>
      </c>
      <c r="CG43" s="207" t="str">
        <f>IF(AND(C43="Skema 1",B43="to"),Skemaoplysninger!$K$47,"")</f>
        <v/>
      </c>
      <c r="CH43" s="207" t="str">
        <f>IF(AND(C43="Skema 1",B43="fr"),Skemaoplysninger!$M$47,"")</f>
        <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f t="shared" si="33"/>
        <v>0</v>
      </c>
      <c r="DJ43">
        <f t="shared" si="34"/>
        <v>0</v>
      </c>
      <c r="DK43" t="str">
        <f t="shared" si="15"/>
        <v/>
      </c>
      <c r="DL43" t="str">
        <f t="shared" si="15"/>
        <v/>
      </c>
      <c r="DM43" t="str">
        <f t="shared" si="15"/>
        <v/>
      </c>
      <c r="DN43" t="str">
        <f t="shared" si="35"/>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6"/>
        <v>0</v>
      </c>
      <c r="FZ43" s="634">
        <f t="shared" si="17"/>
        <v>0</v>
      </c>
      <c r="GA43">
        <f t="shared" si="18"/>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9"/>
        <v>0</v>
      </c>
      <c r="GL43">
        <f t="shared" si="20"/>
        <v>0</v>
      </c>
      <c r="GM43">
        <f t="shared" si="21"/>
        <v>0</v>
      </c>
      <c r="GN43" s="713">
        <f t="shared" si="22"/>
        <v>0</v>
      </c>
      <c r="GO43">
        <f t="shared" si="37"/>
        <v>0</v>
      </c>
      <c r="GP43" s="647">
        <f t="shared" si="38"/>
        <v>0</v>
      </c>
    </row>
    <row r="44" spans="1:198" ht="17" thickBot="1">
      <c r="A44" s="239">
        <f>IF(ISNUMBER(A43),A43+1,1)</f>
        <v>31</v>
      </c>
      <c r="B44" s="125" t="str">
        <f t="shared" si="0"/>
        <v>sø</v>
      </c>
      <c r="C44" s="126" t="s">
        <v>118</v>
      </c>
      <c r="D44" s="127" t="str">
        <f t="shared" si="1"/>
        <v/>
      </c>
      <c r="E44" s="1123"/>
      <c r="F44" s="1124"/>
      <c r="G44" s="1125"/>
      <c r="H44" s="291"/>
      <c r="I44" s="746" t="str">
        <f>IF(GO44=1,"X","")</f>
        <v/>
      </c>
      <c r="J44" s="746" t="str">
        <f t="shared" si="2"/>
        <v/>
      </c>
      <c r="K44" s="368"/>
      <c r="L44" s="368"/>
      <c r="M44" s="368"/>
      <c r="N44" s="311">
        <f t="shared" si="24"/>
        <v>0</v>
      </c>
      <c r="O44" s="311">
        <f t="shared" si="25"/>
        <v>0</v>
      </c>
      <c r="P44" s="311">
        <f>IF(Stamoplysninger!$H$34="JA",Januar!DG44,CX44)</f>
        <v>0</v>
      </c>
      <c r="Q44" s="311">
        <f t="shared" si="26"/>
        <v>0</v>
      </c>
      <c r="R44" s="751"/>
      <c r="S44" s="315"/>
      <c r="T44" s="316"/>
      <c r="U44" s="211"/>
      <c r="V44" s="422"/>
      <c r="W44" s="400"/>
      <c r="X44" s="620"/>
      <c r="Y44">
        <f t="shared" si="27"/>
        <v>0</v>
      </c>
      <c r="Z44">
        <f t="shared" si="3"/>
        <v>0</v>
      </c>
      <c r="AA44" s="1">
        <f t="shared" si="4"/>
        <v>0</v>
      </c>
      <c r="AB44" s="1">
        <f t="shared" si="5"/>
        <v>0</v>
      </c>
      <c r="AC44" s="1">
        <f t="shared" si="6"/>
        <v>0</v>
      </c>
      <c r="AD44" s="1">
        <f t="shared" si="7"/>
        <v>0</v>
      </c>
      <c r="AE44" s="1">
        <f t="shared" si="8"/>
        <v>0</v>
      </c>
      <c r="AF44" s="1">
        <f>IF(C44="Orlov",7.4*Stamoplysninger!$E$20,0)</f>
        <v>0</v>
      </c>
      <c r="AG44" t="str">
        <f>IF(AND(C44="Skema 1",B44="ma"),Arbejdstidsoversigt!$E$77,"")</f>
        <v/>
      </c>
      <c r="AH44" t="str">
        <f>IF(AND(C44="Skema 1",B44="ti"),Arbejdstidsoversigt!$E$78,"")</f>
        <v/>
      </c>
      <c r="AI44" t="str">
        <f>IF(AND(C44="Skema 1",B44="on"),Arbejdstidsoversigt!$E$79,"")</f>
        <v/>
      </c>
      <c r="AJ44" t="str">
        <f>IF(AND(C44="Skema 1",B44="to"),Arbejdstidsoversigt!$E$80,"")</f>
        <v/>
      </c>
      <c r="AK44" t="str">
        <f>IF(AND(C44="Skema 1",B44="fr"),Arbejdstidsoversigt!$E$81,"")</f>
        <v/>
      </c>
      <c r="AL44" t="str">
        <f>IF(AND(C44="Skema 2",B44="ma"),Arbejdstidsoversigt!$E$86,"")</f>
        <v/>
      </c>
      <c r="AM44" t="str">
        <f>IF(AND(C44="Skema 2",B44="ti"),Arbejdstidsoversigt!$E$87,"")</f>
        <v/>
      </c>
      <c r="AN44" t="str">
        <f>IF(AND(C44="Skema 2",B44="on"),Arbejdstidsoversigt!$E$88,"")</f>
        <v/>
      </c>
      <c r="AO44" t="str">
        <f>IF(AND(C44="Skema 2",B44="to"),Arbejdstidsoversigt!$E$89,"")</f>
        <v/>
      </c>
      <c r="AP44" t="str">
        <f>IF(AND(C44="Skema 2",B44="fr"),Arbejdstidsoversigt!$E$90,"")</f>
        <v/>
      </c>
      <c r="AQ44" t="str">
        <f>IF(AND(C44="Skema 3",B44="ma"),Arbejdstidsoversigt!$E$95,"")</f>
        <v/>
      </c>
      <c r="AR44" t="str">
        <f>IF(AND(C44="Skema 3",B44="ti"),Arbejdstidsoversigt!$E$96,"")</f>
        <v/>
      </c>
      <c r="AS44" t="str">
        <f>IF(AND(C44="Skema 3",B44="on"),Arbejdstidsoversigt!$E$97,"")</f>
        <v/>
      </c>
      <c r="AT44" t="str">
        <f>IF(AND(C44="Skema 3",B44="to"),Arbejdstidsoversigt!$E$98,"")</f>
        <v/>
      </c>
      <c r="AU44" t="str">
        <f>IF(AND(C44="Skema 3",B44="fr"),Arbejdstidsoversigt!$E$99,"")</f>
        <v/>
      </c>
      <c r="AV44" t="str">
        <f>IF(AND(C44="Skema 4",B44="ma"),Arbejdstidsoversigt!$E$104,"")</f>
        <v/>
      </c>
      <c r="AW44" t="str">
        <f>IF(AND(C44="Skema 4",B44="ti"),Arbejdstidsoversigt!$E$105,"")</f>
        <v/>
      </c>
      <c r="AX44" t="str">
        <f>IF(AND(C44="Skema 4",B44="on"),Arbejdstidsoversigt!$E$106,"")</f>
        <v/>
      </c>
      <c r="AY44" t="str">
        <f>IF(AND(C44="Skema 4",B44="to"),Arbejdstidsoversigt!$E$107,"")</f>
        <v/>
      </c>
      <c r="AZ44" t="str">
        <f>IF(AND(C44="Skema 4",B44="fr"),Arbejdstidsoversigt!$E$108,"")</f>
        <v/>
      </c>
      <c r="BA44" s="1">
        <f t="shared" si="28"/>
        <v>0</v>
      </c>
      <c r="BB44" s="224">
        <f t="shared" si="9"/>
        <v>0</v>
      </c>
      <c r="BC44" s="1">
        <f t="shared" si="29"/>
        <v>0</v>
      </c>
      <c r="BD44" s="1">
        <f t="shared" si="10"/>
        <v>0</v>
      </c>
      <c r="BE44" s="1">
        <f t="shared" si="11"/>
        <v>0</v>
      </c>
      <c r="BF44" s="1">
        <f t="shared" si="12"/>
        <v>0</v>
      </c>
      <c r="BG44" s="207" t="str">
        <f>IF(AND(C44="Skema 1",B44="ma"),Skemaoplysninger!$E$46,"")</f>
        <v/>
      </c>
      <c r="BH44" s="207" t="str">
        <f>IF(AND(C44="Skema 1",B44="ti"),Skemaoplysninger!$G$46,"")</f>
        <v/>
      </c>
      <c r="BI44" s="207" t="str">
        <f>IF(AND(C44="Skema 1",B44="on"),Skemaoplysninger!$I$46,"")</f>
        <v/>
      </c>
      <c r="BJ44" s="207" t="str">
        <f>IF(AND(C44="Skema 1",B44="to"),Skemaoplysninger!$K$46,"")</f>
        <v/>
      </c>
      <c r="BK44" s="207" t="str">
        <f>IF(AND(C44="Skema 1",B44="fr"),Skemaoplysninger!$M$46,"")</f>
        <v/>
      </c>
      <c r="BL44" s="207" t="str">
        <f>IF(AND(C44="Skema 2",B44="ma"),Skemaoplysninger!$S$46,"")</f>
        <v/>
      </c>
      <c r="BM44" s="207" t="str">
        <f>IF(AND(C44="Skema 2",B44="ti"),Skemaoplysninger!$U$46,"")</f>
        <v/>
      </c>
      <c r="BN44" s="207" t="str">
        <f>IF(AND(C44="Skema 2",B44="on"),Skemaoplysninger!$W$46,"")</f>
        <v/>
      </c>
      <c r="BO44" s="207" t="str">
        <f>IF(AND(C44="Skema 2",B44="to"),Skemaoplysninger!$Y$46,"")</f>
        <v/>
      </c>
      <c r="BP44" s="207" t="str">
        <f>IF(AND(C44="Skema 2",B44="fr"),Skemaoplysninger!$AA$46,"")</f>
        <v/>
      </c>
      <c r="BQ44" s="207" t="str">
        <f>IF(AND(C44="Skema 3",B44="ma"),Skemaoplysninger!$AG$46,"")</f>
        <v/>
      </c>
      <c r="BR44" s="207" t="str">
        <f>IF(AND(C44="Skema 3",B44="ti"),Skemaoplysninger!$AI$46,"")</f>
        <v/>
      </c>
      <c r="BS44" s="207" t="str">
        <f>IF(AND(C44="Skema 3",B44="on"),Skemaoplysninger!$AK$46,"")</f>
        <v/>
      </c>
      <c r="BT44" s="207" t="str">
        <f>IF(AND(C44="Skema 3",B44="to"),Skemaoplysninger!$AM$46,"")</f>
        <v/>
      </c>
      <c r="BU44" s="207" t="str">
        <f>IF(AND(C44="Skema 3",B44="fr"),Skemaoplysninger!$AO$46,"")</f>
        <v/>
      </c>
      <c r="BV44" s="207" t="str">
        <f>IF(AND(C44="Skema 4",B44="ma"),Skemaoplysninger!$AU$46,"")</f>
        <v/>
      </c>
      <c r="BW44" s="207" t="str">
        <f>IF(AND(C44="Skema 4",B44="ti"),Skemaoplysninger!$AW$46,"")</f>
        <v/>
      </c>
      <c r="BX44" s="207" t="str">
        <f>IF(AND(C44="Skema 4",B44="on"),Skemaoplysninger!$AY$46,"")</f>
        <v/>
      </c>
      <c r="BY44" s="207" t="str">
        <f>IF(AND(C44="Skema 4",B44="to"),Skemaoplysninger!$BA$46,"")</f>
        <v/>
      </c>
      <c r="BZ44" s="207" t="str">
        <f>IF(AND(C44="Skema 4",B44="fr"),Skemaoplysninger!$BC$46,"")</f>
        <v/>
      </c>
      <c r="CA44" s="1">
        <f t="shared" si="30"/>
        <v>0</v>
      </c>
      <c r="CB44" s="1">
        <f t="shared" si="13"/>
        <v>0</v>
      </c>
      <c r="CC44" s="1">
        <f t="shared" si="14"/>
        <v>0</v>
      </c>
      <c r="CD44" s="207" t="str">
        <f>IF(AND(C44="Skema 1",B44="ma"),Skemaoplysninger!$E$47,"")</f>
        <v/>
      </c>
      <c r="CE44" s="207" t="str">
        <f>IF(AND(C44="Skema 1",B44="ti"),Skemaoplysninger!$G$47,"")</f>
        <v/>
      </c>
      <c r="CF44" s="207" t="str">
        <f>IF(AND(C44="Skema 1",B44="on"),Skemaoplysninger!$I$47,"")</f>
        <v/>
      </c>
      <c r="CG44" s="207" t="str">
        <f>IF(AND(C44="Skema 1",B44="to"),Skemaoplysninger!$K$47,"")</f>
        <v/>
      </c>
      <c r="CH44" s="207" t="str">
        <f>IF(AND(C44="Skema 1",B44="fr"),Skemaoplysninger!$M$47,"")</f>
        <v/>
      </c>
      <c r="CI44" s="207" t="str">
        <f>IF(AND(C44="Skema 2",B44="ma"),Skemaoplysninger!$S$47,"")</f>
        <v/>
      </c>
      <c r="CJ44" s="207" t="str">
        <f>IF(AND(C44="Skema 2",B44="ti"),Skemaoplysninger!$U$47,"")</f>
        <v/>
      </c>
      <c r="CK44" s="207" t="str">
        <f>IF(AND(C44="Skema 2",B44="on"),Skemaoplysninger!$W$47,"")</f>
        <v/>
      </c>
      <c r="CL44" s="207" t="str">
        <f>IF(AND(C44="Skema 2",B44="to"),Skemaoplysninger!$Y$47,"")</f>
        <v/>
      </c>
      <c r="CM44" s="207" t="str">
        <f>IF(AND(C44="Skema 2",B44="fr"),Skemaoplysninger!$AA$47,"")</f>
        <v/>
      </c>
      <c r="CN44" s="207" t="str">
        <f>IF(AND(C44="Skema 3",B44="ma"),Skemaoplysninger!$AG$47,"")</f>
        <v/>
      </c>
      <c r="CO44" s="207" t="str">
        <f>IF(AND(C44="Skema 3",B44="ti"),Skemaoplysninger!$AI$47,"")</f>
        <v/>
      </c>
      <c r="CP44" s="207" t="str">
        <f>IF(AND(C44="Skema 3",B44="on"),Skemaoplysninger!$AK$47,"")</f>
        <v/>
      </c>
      <c r="CQ44" s="207" t="str">
        <f>IF(AND(C44="Skema 3",B44="to"),Skemaoplysninger!$AM$47,"")</f>
        <v/>
      </c>
      <c r="CR44" s="207" t="str">
        <f>IF(AND(C44="Skema 3",B44="fr"),Skemaoplysninger!$AO$47,"")</f>
        <v/>
      </c>
      <c r="CS44" s="207" t="str">
        <f>IF(AND(C44="Skema 4",B44="ma"),Skemaoplysninger!$AU$47,"")</f>
        <v/>
      </c>
      <c r="CT44" s="207" t="str">
        <f>IF(AND(C44="Skema 4",B44="ti"),Skemaoplysninger!$AW$47,"")</f>
        <v/>
      </c>
      <c r="CU44" s="207" t="str">
        <f>IF(AND(C44="Skema 4",B44="on"),Skemaoplysninger!$AY$47,"")</f>
        <v/>
      </c>
      <c r="CV44" s="207" t="str">
        <f>IF(AND(C44="Skema 4",B44="to"),Skemaoplysninger!$BA$47,"")</f>
        <v/>
      </c>
      <c r="CW44" s="207" t="str">
        <f>IF(AND(C44="Skema 4",B44="fr"),Skemaoplysninger!$BC$47,"")</f>
        <v/>
      </c>
      <c r="CX44" s="243">
        <f>IF(Stamoplysninger!$H$34="NEJ",SUM(CD44:CW44)*24+CB44+CC44,0)</f>
        <v>0</v>
      </c>
      <c r="CY44" s="243">
        <f>IF(C44="Skema 1",Stamoplysninger!$H$35/200,0)</f>
        <v>0</v>
      </c>
      <c r="CZ44" s="243">
        <f>IF(C44="Skema 2",Stamoplysninger!$H$35/200,0)</f>
        <v>0</v>
      </c>
      <c r="DA44" s="243">
        <f>IF(C44="Skema 3",Stamoplysninger!$H$35/200,0)</f>
        <v>0</v>
      </c>
      <c r="DB44" s="243">
        <f>IF(C44="Skema 4",Stamoplysninger!$H$35/200,0)</f>
        <v>0</v>
      </c>
      <c r="DC44" s="243">
        <f>IF(C44="fagdag",Stamoplysninger!$H$35/200,0)</f>
        <v>0</v>
      </c>
      <c r="DD44" s="243">
        <f>IF(C44="emnedag",Stamoplysninger!$H$35/200,0)</f>
        <v>0</v>
      </c>
      <c r="DE44" s="243">
        <f>IF(C44="lejrskole",Stamoplysninger!$H$35/200,0)</f>
        <v>0</v>
      </c>
      <c r="DF44" s="243">
        <f>IF(C44="ekskursion",Stamoplysninger!$H$35/200,0)</f>
        <v>0</v>
      </c>
      <c r="DG44" s="243">
        <f t="shared" si="31"/>
        <v>0</v>
      </c>
      <c r="DH44" t="str">
        <f t="shared" si="32"/>
        <v/>
      </c>
      <c r="DI44">
        <f t="shared" si="33"/>
        <v>0</v>
      </c>
      <c r="DJ44">
        <f t="shared" si="34"/>
        <v>0</v>
      </c>
      <c r="DK44" t="str">
        <f>IF(DH44=0,"",DH44)</f>
        <v/>
      </c>
      <c r="DL44" t="str">
        <f>IF(DI44=0,"",DI44)</f>
        <v/>
      </c>
      <c r="DM44" t="str">
        <f>IF(DJ44=0,"",DJ44)</f>
        <v/>
      </c>
      <c r="DN44" t="str">
        <f t="shared" si="35"/>
        <v/>
      </c>
      <c r="DO44" s="628">
        <f>IF(AND(Stamoplysninger!$B$27="Ulempetillæg udbetales med 25% af nettotimelønnen.",H44&gt;0),(R44/4),0)</f>
        <v>0</v>
      </c>
      <c r="DP44">
        <f>IF(AND(AND(Stamoplysninger!$B$27="Ulempetillæg udbetales med 25% af nettotimelønnen.",I44="X",J44="")),K44/4,0)</f>
        <v>0</v>
      </c>
      <c r="DQ44">
        <f>IF(AND(Stamoplysninger!$B$27="Ulempetillæg udbetales med 25% af nettotimelønnen.",U44="X"),(X44/4),0)</f>
        <v>0</v>
      </c>
      <c r="DR44">
        <f>IF(AND(AND(AND(Stamoplysninger!$B$27="Ulempetillæg udbetales med 25% af nettotimelønnen.",S44="X",I44="X",J44=""))),V44/4,0)</f>
        <v>0</v>
      </c>
      <c r="DS44" s="647">
        <f>IF(AND(AND(Stamoplysninger!$B$27="Ulempetillæg udbetales med 25% af nettotimelønnen.",C44="ikke relevant",H44&gt;"")),(R44)/4,0)</f>
        <v>0</v>
      </c>
      <c r="DT44" s="647">
        <f>IF(AND(AND(Stamoplysninger!$B$27="Ulempetillæg udbetales med 25% af nettotimelønnen.",I44="X",C44="Ikke relevant")),K44/4,0)</f>
        <v>0</v>
      </c>
      <c r="DU44" s="647">
        <f>IF(AND(AND(Stamoplysninger!$B$27="Ulempetillæg udbetales med 25% af nettotimelønnen.",C44="ikke relevant",U44="X")),(X44/4),0)</f>
        <v>0</v>
      </c>
      <c r="DV44" s="648">
        <f>IF(AND(AND(AND(Stamoplysninger!$B$27="Ulempetillæg udbetales med 25% af nettotimelønnen.",I44="X",C44="Ikke relevant",U44="X"))),X44/4,0)</f>
        <v>0</v>
      </c>
      <c r="DW44" s="628">
        <f>IF(AND(Stamoplysninger!$B$27="Ulempetillæg afspadseres med 25%(Kræver en aftale imellem ledelsen og den ansatte)",H44&gt;0),R44/4,0)</f>
        <v>0</v>
      </c>
      <c r="DX44">
        <f>IF(AND(AND(Stamoplysninger!$B$27="Ulempetillæg afspadseres med 25%(Kræver en aftale imellem ledelsen og den ansatte)",I44="X",J44="")),K44/4,0)</f>
        <v>0</v>
      </c>
      <c r="DY44">
        <f>IF(AND(Stamoplysninger!$B$27="Ulempetillæg afspadseres med 25%(Kræver en aftale imellem ledelsen og den ansatte)",U44="X"),X44/4,0)</f>
        <v>0</v>
      </c>
      <c r="DZ44">
        <f>IF(AND(AND(AND(Stamoplysninger!$B$27="Ulempetillæg afspadseres med 25%(Kræver en aftale imellem ledelsen og den ansatte)",I44="X",S44="X",J44=""))),V44/4,0)</f>
        <v>0</v>
      </c>
      <c r="EA44" s="647">
        <f>IF(AND(Stamoplysninger!$B$27="Ulempetillæg afspadseres med 25%(Kræver en aftale imellem ledelsen og den ansatte)",C44="ikke relevant"),(R44)/4,0)</f>
        <v>0</v>
      </c>
      <c r="EB44" s="647">
        <f>IF(AND(AND(Stamoplysninger!$B$27="Ulempetillæg afspadseres med 25%(Kræver en aftale imellem ledelsen og den ansatte)",I44="X",C44="Ikke relevant")),K44/4,0)</f>
        <v>0</v>
      </c>
      <c r="EC44" s="647">
        <f>IF(AND(AND(Stamoplysninger!$B$27="Ulempetillæg afspadseres med 25%(Kræver en aftale imellem ledelsen og den ansatte)",U44="X",C44="Ikke relevant")),X44/4,0)</f>
        <v>0</v>
      </c>
      <c r="ED44" s="647">
        <f>IF(AND(AND(AND(Stamoplysninger!$B$27="Ulempetillæg afspadseres med 25%(Kræver en aftale imellem ledelsen og den ansatte)",I44="X",C44="Ikke relevant",S44="X"))),V44/4,0)</f>
        <v>0</v>
      </c>
      <c r="EE44" s="277">
        <f>IF(AND(AND(Stamoplysninger!$B$31="Weekendtimer og weekendtillæg afspadseres.",I44="X",J44="")),K44*1.5,0)</f>
        <v>0</v>
      </c>
      <c r="EF44" s="245">
        <f>IF(AND(AND(AND(Stamoplysninger!$B$31="Weekendtimer og weekendtillæg afspadseres.",I44="X",S44="X",J44=""))),V44*1.5,0)</f>
        <v>0</v>
      </c>
      <c r="EG44" s="650">
        <f>IF(AND(AND(Stamoplysninger!$B$31="Weekendtimer og weekendtillæg afspadseres.",I44="X",C44="ikke relevant")),K44*1.5,0)</f>
        <v>0</v>
      </c>
      <c r="EH44" s="651">
        <f>IF(AND(AND(AND(Stamoplysninger!$B$31="Weekendtimer og weekendtillæg afspadseres.",I44="X",C44="ikke relevant",S44="X"))),(V44*1.5),0)</f>
        <v>0</v>
      </c>
      <c r="EI44" s="277">
        <f>IF(AND(AND(Stamoplysninger!$B$31="Weekendtimer og weekendtillæg afspadseres.",I44="X",J44="X")),K44,0)</f>
        <v>0</v>
      </c>
      <c r="EJ44" s="718">
        <f>IF(AND(AND(AND(Stamoplysninger!$B$31="Weekendtimer og weekendtillæg afspadseres.",I44="X",S44="X",J44="X"))),V44,0)</f>
        <v>0</v>
      </c>
      <c r="EK44" s="650">
        <f>IF(AND(AND(Stamoplysninger!$B$31="Weekendtimer og weekendtillæg afspadseres.",M44="X",G44="ikke relevant")),O44*1.5,0)</f>
        <v>0</v>
      </c>
      <c r="EL44" s="651">
        <f>IF(AND(AND(AND(Stamoplysninger!$B$31="Weekendtimer og weekendtillæg afspadseres.",M44="X",G44="ikke relevant",W44="X"))),(Z44*1.5),0)</f>
        <v>0</v>
      </c>
      <c r="EM44" s="277">
        <f>IF(AND(AND(Stamoplysninger!$B$31="Weekendtimer og weekendtillæg udbetales.",I44="X",J44="")),K44*1.5,0)</f>
        <v>0</v>
      </c>
      <c r="EN44" s="245">
        <f>IF(AND(AND(AND(Stamoplysninger!$B$31="Weekendtimer og weekendtillæg udbetales.",I44="X",S44="X",J44=""))),V44*1.5,0)</f>
        <v>0</v>
      </c>
      <c r="EO44" s="650">
        <f>IF(AND(AND(Stamoplysninger!$B$31="Weekendtimer og weekendtillæg udbetales.",I44="X",C44="ikke relevant")),K44*1.5,0)</f>
        <v>0</v>
      </c>
      <c r="EP44" s="651">
        <f>IF(AND(AND(AND(Stamoplysninger!$B$31="Weekendtimer og weekendtillæg udbetales.",I44="X",C44="ikke relevant",S44="X"))),(V44*1.5),0)</f>
        <v>0</v>
      </c>
      <c r="EQ44" s="277">
        <f>IF(AND(AND(Stamoplysninger!$B$31="Weekendtimer og weekendtillæg udbetales.",I44="X",J44="X")),K44,0)</f>
        <v>0</v>
      </c>
      <c r="ER44" s="718">
        <f>IF(AND(AND(AND(Stamoplysninger!$B$31="Weekendtimer og weekendtillæg udbetales.",I44="X",S44="X",J44="x"))),V44,0)</f>
        <v>0</v>
      </c>
      <c r="ES44" s="650">
        <f>IF(AND(AND(Stamoplysninger!$B$31="Weekendtimer og weekendtillæg udbetales.",M44="X",G44="ikke relevant")),O44*1.5,0)</f>
        <v>0</v>
      </c>
      <c r="ET44" s="651">
        <f>IF(AND(AND(AND(Stamoplysninger!$B$31="Weekendtimer og weekendtillæg udbetales.",M44="X",G44="ikke relevant",W44="X"))),(Z44*1.5),0)</f>
        <v>0</v>
      </c>
      <c r="EU44" s="277">
        <f>IF(AND(AND(Stamoplysninger!$B$31="Der er indgået lokalaftale omkring weekendtimer.(Kræver aftale med TR/FSL) Weekendtillæg afspadseres.",I44="X",J44="")),K44*0.5,0)</f>
        <v>0</v>
      </c>
      <c r="EV44" s="245">
        <f>IF(AND(AND(AND(Stamoplysninger!$B$31="Der er indgået lokalaftale omkring weekendtimer.(Kræver aftale med TR/FSL) Weekendtillæg afspadseres.",I44="X",S44="X",J44=""))),V44*0.5,0)</f>
        <v>0</v>
      </c>
      <c r="EW44" s="650">
        <f>IF(AND(AND(Stamoplysninger!$B$31="Der er indgået lokalaftale omkring weekendtimer.(Kræver aftale med TR/FSL) Weekendtillæg afspadseres.",I44="X",C44="ikke relevant")),K44*0.5,0)</f>
        <v>0</v>
      </c>
      <c r="EX44" s="651">
        <f>IF(AND(AND(AND(Stamoplysninger!$B$31="Der er indgået lokalaftale omkring weekendtimer.(Kræver aftale med TR/FSL) Weekendtillæg afspadseres.",I44="X",C44="ikke relevant",S44="X"))),(V44*0.5),0)</f>
        <v>0</v>
      </c>
      <c r="EY44" s="277">
        <f>IF(AND(AND(Stamoplysninger!$B$31="Der er indgået lokalaftale omkring weekendtimer(Kræver aftale med TR/FSL). Weekendtillæg udbetales.",I44="X",J44="")),K44*0.5,0)</f>
        <v>0</v>
      </c>
      <c r="EZ44" s="245">
        <f>IF(AND(AND(AND(Stamoplysninger!$B$31="Der er indgået lokalaftale omkring weekendtimer(Kræver aftale med TR/FSL). Weekendtillæg udbetales.",I44="X",S44="X",J44=""))),V44*0.5,0)</f>
        <v>0</v>
      </c>
      <c r="FA44" s="650">
        <f>IF(AND(AND(Stamoplysninger!$B$31="Der er indgået lokalaftale omkring weekendtimer(Kræver aftale med TR/FSL). Weekendtillæg udbetales.",I44="X",C44="ikke relevant")),K44*0.5,0)</f>
        <v>0</v>
      </c>
      <c r="FB44" s="651">
        <f>IF(AND(AND(AND(Stamoplysninger!$B$31="Der er indgået lokalaftale omkring weekendtimer(Kræver aftale med TR/FSL). Weekendtillæg udbetales.",I44="X",C44="ikke relevant",S44="X"))),(V44*0.5),0)</f>
        <v>0</v>
      </c>
      <c r="FC44" s="277">
        <f>IF(AND(Stamoplysninger!$B$31="Der er indgået lokalaftale omkring weekendtillæg(Kræver aftale med TR/FSL). Weekendtimerne afspadseres.",I44="X"),K44,0)</f>
        <v>0</v>
      </c>
      <c r="FD44" s="245">
        <f>IF(AND(AND(Stamoplysninger!$B$31="Der er indgået lokalaftale omkring weekendtillæg(Kræver aftale med TR/FSL). Weekendtimerne afspadseres.",I44="X",S44="X")),V44,0)</f>
        <v>0</v>
      </c>
      <c r="FE44" s="650">
        <f>IF(AND(AND(Stamoplysninger!$B$31="Der er indgået lokalaftale omkring weekendtillæg(Kræver aftale med TR/FSL). Weekendtimerne afspadseres..",I44="X",C44="ikke relevant")),K44,0)</f>
        <v>0</v>
      </c>
      <c r="FF44" s="651">
        <f>IF(AND(AND(AND(Stamoplysninger!$B$31="Der er indgået lokalaftale omkring weekendtillæg(Kræver aftale med TR/FSL). Weekendtimerne afspadseres.",I44="X",C44="ikke relevant",S44="X"))),(V44),0)</f>
        <v>0</v>
      </c>
      <c r="FG44" s="277">
        <f>IF(AND(Stamoplysninger!$B$31="Der er indgået lokalaftale omkring weekendtillæg(Kræver aftale med TR/FSL). Weekendtimerne udbetales.",I44="X"),K44,0)</f>
        <v>0</v>
      </c>
      <c r="FH44" s="245">
        <f>IF(AND(AND(Stamoplysninger!$B$31="Der er indgået lokalaftale omkring weekendtillæg(Kræver aftale med TR/FSL). Weekendtimerne udbetales.",I44="X",S44="X")),V44,0)</f>
        <v>0</v>
      </c>
      <c r="FI44" s="650">
        <f>IF(AND(AND(Stamoplysninger!$B$31="Der er indgået lokalaftale omkring weekendtillæg(Kræver aftale med TR/FSL). Weekendtimerne udbetales.",I44="X",C44="ikke relevant")),K44,0)</f>
        <v>0</v>
      </c>
      <c r="FJ44" s="651">
        <f>IF(AND(AND(AND(Stamoplysninger!$B$31="Der er indgået lokalaftale omkring weekendtillæg(Kræver aftale med TR/FSL). Weekendtimerne udbetales.",I44="X",C44="ikke relevant",S44="X"))),(V44),0)</f>
        <v>0</v>
      </c>
      <c r="FK44" s="277">
        <f>IF(AND(AND(Stamoplysninger!$B$31="Weekendtimer og weekendtillæg afspadseres.",I44="X",J44="")),K44,0)</f>
        <v>0</v>
      </c>
      <c r="FL44" s="245">
        <f>IF(AND(Stamoplysninger!$B$31="Weekendtimer og weekendtillæg afspadseres.",Y44="X"),(AA44+AL44)/2,0)</f>
        <v>0</v>
      </c>
      <c r="FM44" s="650">
        <f>IF(AND(AND(Stamoplysninger!$B$31="Weekendtimer og weekendtillæg afspadseres.",I44="X",C44="ikke relevant")),K44,0)</f>
        <v>0</v>
      </c>
      <c r="FN44" s="651">
        <f>IF(AND(AND(Stamoplysninger!$B$31="Weekendtimer og weekendtillæg afspadseres.",Y44="X",S44="ikke relevant")),(AA44+AL44)/2,0)</f>
        <v>0</v>
      </c>
      <c r="FO44" s="277">
        <f>IF(AND(AND(Stamoplysninger!$B$31="Weekendtimer og weekendtillæg afspadseres.",I44="X",J44="X")),K44,0)</f>
        <v>0</v>
      </c>
      <c r="FP44" s="245">
        <f>IF(AND(Stamoplysninger!$B$31="Weekendtimer og weekendtillæg afspadseres.",AC44="X"),(AE44+AP44)/2,0)</f>
        <v>0</v>
      </c>
      <c r="FQ44" s="650">
        <f>IF(AND(AND(Stamoplysninger!$B$31="Weekendtimer og weekendtillæg afspadseres.",M44="X",G44="ikke relevant")),O44,0)</f>
        <v>0</v>
      </c>
      <c r="FR44" s="651">
        <f>IF(AND(AND(Stamoplysninger!$B$31="Weekendtimer og weekendtillæg afspadseres.",AC44="X",W44="ikke relevant")),(AE44+AP44)/2,0)</f>
        <v>0</v>
      </c>
      <c r="FS44" s="277">
        <f>IF(AND(Stamoplysninger!$B$31="Der er indgået lokalaftale omkring weekendtillæg(Kræver aftale med TR/FSL). Weekendtimerne afspadseres.",I44="X"),K44,0)</f>
        <v>0</v>
      </c>
      <c r="FT44" s="650">
        <f>IF(AND(AND(Stamoplysninger!$B$31="Der er indgået lokalaftale omkring weekendtillæg(Kræver aftale med TR/FSL). Weekendtimerne afspadseres.",I44="X",C44="ikke relevant")),K44,0)</f>
        <v>0</v>
      </c>
      <c r="FU44" s="277">
        <f>IF(AND(Stamoplysninger!$B$31="Weekendtimer og weekendtillæg udbetales.",I44="X"),K44,0)</f>
        <v>0</v>
      </c>
      <c r="FV44" s="245">
        <f>IF(AND(Stamoplysninger!$B$31="Weekendtimer og weekendtillæg udbetales.",AA44="X"),(AC44+AN44)/2,0)</f>
        <v>0</v>
      </c>
      <c r="FW44" s="650">
        <f>IF(AND(AND(Stamoplysninger!$B$31="Weekendtimer og weekendtillæg udbetales.",I44="X",C44="ikke relevant")),K44,0)</f>
        <v>0</v>
      </c>
      <c r="FX44" s="664">
        <f>IF(AND(AND(Stamoplysninger!$B$31="Weekendtimer og weekendtillæg udbetales.",AA44="X",U44="ikke relevant")),(AC44+AN44)/2,0)</f>
        <v>0</v>
      </c>
      <c r="FY44" s="277">
        <f t="shared" si="16"/>
        <v>0</v>
      </c>
      <c r="FZ44" s="634">
        <f t="shared" si="17"/>
        <v>0</v>
      </c>
      <c r="GA44">
        <f t="shared" si="18"/>
        <v>0</v>
      </c>
      <c r="GB44" s="277">
        <f>IF(AND(Stamoplysninger!$B$31="Der er indgået lokalaftale omkring weekendtimer.(Kræver aftale med TR/FSL) Weekendtillæg afspadseres.",I44="X"),K44,0)</f>
        <v>0</v>
      </c>
      <c r="GC44" s="650">
        <f>IF(AND(AND(Stamoplysninger!$B$31="Der er indgået lokalaftale omkring weekendtimer.(Kræver aftale med TR/FSL) Weekendtillæg afspadseres.",I44="X",C44="ikke relevant")),K44,0)</f>
        <v>0</v>
      </c>
      <c r="GD44" s="277">
        <f>IF(AND(Stamoplysninger!$B$31="Der er indgået lokalaftale omkring weekendtimer(Kræver aftale med TR/FSL). Weekendtillæg udbetales.",I44="X"),K44,0)</f>
        <v>0</v>
      </c>
      <c r="GE44" s="650">
        <f>IF(AND(AND(Stamoplysninger!$B$31="Der er indgået lokalaftale omkring weekendtimer(Kræver aftale med TR/FSL). Weekendtillæg udbetales.",I44="X",C44="ikke relevant")),K44,0)</f>
        <v>0</v>
      </c>
      <c r="GF44" s="277">
        <f>IF(AND(Stamoplysninger!$B$31="Der er indgået lokalaftale omkring weekendtillæg(Kræver aftale med TR/FSL). Weekendtimerne udbetales.",I44="X"),K44,0)</f>
        <v>0</v>
      </c>
      <c r="GG44" s="650">
        <f>IF(AND(AND(Stamoplysninger!$B$31="Der er indgået lokalaftale omkring weekendtillæg(Kræver aftale med TR/FSL). Weekendtimerne udbetales.",I44="X",C44="ikke relevant")),K44,0)</f>
        <v>0</v>
      </c>
      <c r="GH44" s="277">
        <f>IF(AND(Stamoplysninger!$B$31="Der er indgået lokalaftale omkring weekendtimer og weekendtillæg.(Kræver aftale med TR/FSL).",I44="X"),K44,0)</f>
        <v>0</v>
      </c>
      <c r="GI44" s="650">
        <f>IF(AND(AND(Stamoplysninger!$B$31="Der er indgået lokalaftale omkring weekendtimer og weekendtillæg.(Kræver aftale med TR/FSL).",I44="X",C44="ikke relevant")),K44,0)</f>
        <v>0</v>
      </c>
      <c r="GJ44">
        <f t="shared" si="36"/>
        <v>0</v>
      </c>
      <c r="GK44">
        <f t="shared" si="19"/>
        <v>0</v>
      </c>
      <c r="GL44">
        <f t="shared" si="20"/>
        <v>0</v>
      </c>
      <c r="GM44">
        <f t="shared" si="21"/>
        <v>0</v>
      </c>
      <c r="GN44" s="713">
        <f t="shared" si="22"/>
        <v>0</v>
      </c>
      <c r="GO44">
        <f t="shared" si="37"/>
        <v>0</v>
      </c>
      <c r="GP44" s="647">
        <f t="shared" si="38"/>
        <v>0</v>
      </c>
    </row>
    <row r="45" spans="1:198" ht="17" thickBot="1">
      <c r="A45" s="1100" t="s">
        <v>257</v>
      </c>
      <c r="B45" s="1101"/>
      <c r="C45" s="1101"/>
      <c r="D45" s="1101"/>
      <c r="E45" s="1101"/>
      <c r="F45" s="1101"/>
      <c r="G45" s="1101"/>
      <c r="H45" s="1101"/>
      <c r="I45" s="1102"/>
      <c r="J45" s="306"/>
      <c r="K45" s="313"/>
      <c r="L45" s="313"/>
      <c r="M45" s="313"/>
      <c r="N45" s="314">
        <f>SUM(N14:N44)</f>
        <v>148.18</v>
      </c>
      <c r="O45" s="314">
        <f>SUM(O14:O44)</f>
        <v>72</v>
      </c>
      <c r="P45" s="314">
        <f>SUM(P14:P44)</f>
        <v>26.833333333333332</v>
      </c>
      <c r="Q45" s="314">
        <f>SUM(Q14:Q44)</f>
        <v>49.346666666666664</v>
      </c>
      <c r="R45" s="752">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IF(H44&gt;0,R44,0)</f>
        <v>5</v>
      </c>
      <c r="S45" s="419"/>
      <c r="T45" s="420"/>
      <c r="U45" s="420"/>
      <c r="V45"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IF(S44="x",V44,0)</f>
        <v>0</v>
      </c>
      <c r="W45" s="420">
        <f>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IF(T44="x",W44,0)</f>
        <v>0</v>
      </c>
      <c r="X45" s="421">
        <f>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IF(U44="x",X44,0)</f>
        <v>0</v>
      </c>
      <c r="Y45" s="208">
        <f>SUM(Y14:Y44)</f>
        <v>0</v>
      </c>
      <c r="Z45" s="386">
        <f>Z14+Z15+Z16+Z17+Z18+Z19+Z20+Z21+Z22+Z23+Z24+Z25+Z26+Z27+Z28+Z29+Z30+Z31+Z32+Z33+Z34+Z35+Z36+Z37+Z38+Z39+Z40+Z41+Z42+Z43+Z44</f>
        <v>0</v>
      </c>
      <c r="AA45" s="229">
        <f t="shared" ref="AA45:AF45" si="39">SUM(AA14:AA44)</f>
        <v>35</v>
      </c>
      <c r="AB45" s="229">
        <f t="shared" si="39"/>
        <v>0</v>
      </c>
      <c r="AC45" s="229">
        <f t="shared" si="39"/>
        <v>0</v>
      </c>
      <c r="AD45" s="229">
        <f t="shared" si="39"/>
        <v>0</v>
      </c>
      <c r="AE45" s="229">
        <f t="shared" si="39"/>
        <v>0</v>
      </c>
      <c r="AF45" s="229">
        <f t="shared" si="39"/>
        <v>0</v>
      </c>
      <c r="BA45" s="1">
        <f>SUM(BA14:BA44)</f>
        <v>148.18</v>
      </c>
      <c r="BB45" s="109"/>
      <c r="BC45" s="229">
        <f>SUM(BC14:BC44)</f>
        <v>0</v>
      </c>
      <c r="BD45" s="229">
        <f>SUM(BD14:BD44)</f>
        <v>0</v>
      </c>
      <c r="BE45" s="229">
        <f>SUM(BE14:BE44)</f>
        <v>0</v>
      </c>
      <c r="BF45" s="229">
        <f>SUM(BF14:BF44)</f>
        <v>18.75</v>
      </c>
      <c r="CA45" s="229">
        <f>SUM(CA14:CA44)</f>
        <v>72</v>
      </c>
      <c r="CB45" s="229">
        <f>SUM(CB14:CB44)</f>
        <v>0</v>
      </c>
      <c r="CC45" s="229">
        <f>SUM(CC14:CC44)</f>
        <v>7.5</v>
      </c>
      <c r="CX45" s="243"/>
      <c r="CY45" s="243">
        <f t="shared" ref="CY45:DG45" si="40">SUM(CY14:CY44)</f>
        <v>0</v>
      </c>
      <c r="CZ45" s="243">
        <f t="shared" si="40"/>
        <v>0</v>
      </c>
      <c r="DA45" s="243">
        <f t="shared" si="40"/>
        <v>0</v>
      </c>
      <c r="DB45" s="243">
        <f t="shared" si="40"/>
        <v>0</v>
      </c>
      <c r="DC45" s="243">
        <f t="shared" si="40"/>
        <v>0</v>
      </c>
      <c r="DD45" s="243">
        <f t="shared" si="40"/>
        <v>0</v>
      </c>
      <c r="DE45" s="243">
        <f t="shared" si="40"/>
        <v>0</v>
      </c>
      <c r="DF45" s="243">
        <f t="shared" si="40"/>
        <v>0</v>
      </c>
      <c r="DG45" s="243">
        <f t="shared" si="40"/>
        <v>0</v>
      </c>
      <c r="DO45" s="645">
        <f>SUM(DO14:DO44)</f>
        <v>1.25</v>
      </c>
      <c r="DP45" s="646">
        <f t="shared" ref="DP45:GI45" si="41">SUM(DP14:DP44)</f>
        <v>0</v>
      </c>
      <c r="DQ45" s="646">
        <f t="shared" si="41"/>
        <v>0</v>
      </c>
      <c r="DR45" s="646">
        <f t="shared" si="41"/>
        <v>0</v>
      </c>
      <c r="DS45" s="649">
        <f t="shared" si="41"/>
        <v>0</v>
      </c>
      <c r="DT45" s="649">
        <f t="shared" si="41"/>
        <v>0</v>
      </c>
      <c r="DU45" s="646">
        <f t="shared" si="41"/>
        <v>0</v>
      </c>
      <c r="DV45" s="649">
        <f t="shared" si="41"/>
        <v>0</v>
      </c>
      <c r="DW45" s="646">
        <f t="shared" si="41"/>
        <v>0</v>
      </c>
      <c r="DX45" s="646">
        <f t="shared" si="41"/>
        <v>0</v>
      </c>
      <c r="DY45" s="646">
        <f t="shared" si="41"/>
        <v>0</v>
      </c>
      <c r="DZ45" s="646">
        <f t="shared" si="41"/>
        <v>0</v>
      </c>
      <c r="EA45" s="649">
        <f t="shared" si="41"/>
        <v>0</v>
      </c>
      <c r="EB45" s="649">
        <f t="shared" si="41"/>
        <v>0</v>
      </c>
      <c r="EC45" s="649">
        <f t="shared" si="41"/>
        <v>0</v>
      </c>
      <c r="ED45" s="649">
        <f t="shared" si="41"/>
        <v>0</v>
      </c>
      <c r="EE45" s="646">
        <f t="shared" si="41"/>
        <v>0</v>
      </c>
      <c r="EF45" s="646">
        <f t="shared" si="41"/>
        <v>0</v>
      </c>
      <c r="EG45" s="649">
        <f t="shared" si="41"/>
        <v>0</v>
      </c>
      <c r="EH45" s="649">
        <f t="shared" si="41"/>
        <v>0</v>
      </c>
      <c r="EI45" s="646">
        <f t="shared" si="41"/>
        <v>0</v>
      </c>
      <c r="EJ45" s="646">
        <f t="shared" si="41"/>
        <v>0</v>
      </c>
      <c r="EK45" s="649">
        <f t="shared" si="41"/>
        <v>0</v>
      </c>
      <c r="EL45" s="649">
        <f t="shared" si="41"/>
        <v>0</v>
      </c>
      <c r="EM45" s="646">
        <f t="shared" si="41"/>
        <v>0</v>
      </c>
      <c r="EN45" s="646">
        <f t="shared" si="41"/>
        <v>0</v>
      </c>
      <c r="EO45" s="649">
        <f t="shared" si="41"/>
        <v>0</v>
      </c>
      <c r="EP45" s="652">
        <f t="shared" si="41"/>
        <v>0</v>
      </c>
      <c r="EQ45" s="646">
        <f t="shared" si="41"/>
        <v>0</v>
      </c>
      <c r="ER45" s="646">
        <f t="shared" si="41"/>
        <v>0</v>
      </c>
      <c r="ES45" s="649">
        <f t="shared" si="41"/>
        <v>0</v>
      </c>
      <c r="ET45" s="652">
        <f t="shared" si="41"/>
        <v>0</v>
      </c>
      <c r="EU45" s="646">
        <f t="shared" si="41"/>
        <v>0</v>
      </c>
      <c r="EV45" s="646">
        <f t="shared" si="41"/>
        <v>0</v>
      </c>
      <c r="EW45" s="649">
        <f t="shared" si="41"/>
        <v>0</v>
      </c>
      <c r="EX45" s="652">
        <f t="shared" si="41"/>
        <v>0</v>
      </c>
      <c r="EY45" s="646">
        <f t="shared" si="41"/>
        <v>0</v>
      </c>
      <c r="EZ45" s="646">
        <f t="shared" si="41"/>
        <v>0</v>
      </c>
      <c r="FA45" s="649">
        <f t="shared" si="41"/>
        <v>0</v>
      </c>
      <c r="FB45" s="652">
        <f t="shared" si="41"/>
        <v>0</v>
      </c>
      <c r="FC45" s="646">
        <f t="shared" si="41"/>
        <v>0</v>
      </c>
      <c r="FD45" s="646">
        <f t="shared" si="41"/>
        <v>0</v>
      </c>
      <c r="FE45" s="649">
        <f t="shared" si="41"/>
        <v>0</v>
      </c>
      <c r="FF45" s="652">
        <f t="shared" si="41"/>
        <v>0</v>
      </c>
      <c r="FG45" s="646">
        <f t="shared" si="41"/>
        <v>0</v>
      </c>
      <c r="FH45" s="646">
        <f t="shared" si="41"/>
        <v>0</v>
      </c>
      <c r="FI45" s="649">
        <f t="shared" si="41"/>
        <v>0</v>
      </c>
      <c r="FJ45" s="652">
        <f t="shared" si="41"/>
        <v>0</v>
      </c>
      <c r="FK45" s="661">
        <f t="shared" si="41"/>
        <v>0</v>
      </c>
      <c r="FL45" s="646">
        <f t="shared" si="41"/>
        <v>0</v>
      </c>
      <c r="FM45" s="661">
        <f t="shared" si="41"/>
        <v>0</v>
      </c>
      <c r="FN45" s="649">
        <f t="shared" si="41"/>
        <v>0</v>
      </c>
      <c r="FO45" s="661">
        <f t="shared" si="41"/>
        <v>0</v>
      </c>
      <c r="FP45" s="646">
        <f t="shared" si="41"/>
        <v>0</v>
      </c>
      <c r="FQ45" s="661">
        <f t="shared" si="41"/>
        <v>0</v>
      </c>
      <c r="FR45" s="649">
        <f t="shared" si="41"/>
        <v>0</v>
      </c>
      <c r="FS45" s="661">
        <f t="shared" si="41"/>
        <v>0</v>
      </c>
      <c r="FT45" s="661">
        <f t="shared" si="41"/>
        <v>0</v>
      </c>
      <c r="FU45" s="661">
        <f t="shared" si="41"/>
        <v>0</v>
      </c>
      <c r="FV45" s="646">
        <f t="shared" si="41"/>
        <v>0</v>
      </c>
      <c r="FW45" s="661">
        <f t="shared" si="41"/>
        <v>0</v>
      </c>
      <c r="FX45" s="652">
        <f t="shared" si="41"/>
        <v>0</v>
      </c>
      <c r="FY45" s="665">
        <f t="shared" si="41"/>
        <v>0</v>
      </c>
      <c r="FZ45" s="666">
        <f t="shared" si="41"/>
        <v>0</v>
      </c>
      <c r="GA45" s="666">
        <f t="shared" si="41"/>
        <v>0</v>
      </c>
      <c r="GB45" s="665">
        <f>SUM(GB14:GB44)</f>
        <v>0</v>
      </c>
      <c r="GC45" s="666">
        <f t="shared" si="41"/>
        <v>0</v>
      </c>
      <c r="GD45" s="665">
        <f t="shared" si="41"/>
        <v>0</v>
      </c>
      <c r="GE45" s="666">
        <f t="shared" si="41"/>
        <v>0</v>
      </c>
      <c r="GF45" s="661">
        <f t="shared" si="41"/>
        <v>0</v>
      </c>
      <c r="GG45" s="661">
        <f t="shared" si="41"/>
        <v>0</v>
      </c>
      <c r="GH45" s="661">
        <f t="shared" si="41"/>
        <v>0</v>
      </c>
      <c r="GI45" s="661">
        <f t="shared" si="41"/>
        <v>0</v>
      </c>
      <c r="GP45" s="647">
        <f>SUM(GP14:GP44)</f>
        <v>0</v>
      </c>
    </row>
    <row r="46" spans="1:198" ht="26" thickBot="1">
      <c r="A46" s="227"/>
      <c r="B46" s="227"/>
      <c r="C46" s="227"/>
      <c r="D46" s="227"/>
      <c r="E46" s="227"/>
      <c r="F46" s="227"/>
      <c r="G46" s="227"/>
      <c r="H46" s="227"/>
      <c r="I46" s="227"/>
      <c r="J46" s="227"/>
      <c r="K46" s="233"/>
      <c r="L46" s="233"/>
      <c r="M46" s="233"/>
      <c r="N46" s="233"/>
      <c r="O46" s="233"/>
      <c r="P46" s="233"/>
      <c r="Q46" s="233"/>
      <c r="R46" s="233"/>
      <c r="S46" s="433"/>
      <c r="T46" s="433"/>
      <c r="U46" s="433"/>
      <c r="V46" s="433"/>
      <c r="W46" s="433"/>
      <c r="X46" s="433"/>
      <c r="Y46" s="229"/>
      <c r="Z46" s="208"/>
      <c r="AA46" s="229"/>
      <c r="AB46" s="208"/>
      <c r="AC46" s="208"/>
      <c r="AD46" s="229"/>
      <c r="AE46" s="229"/>
      <c r="AG46" s="229"/>
      <c r="BC46" s="229"/>
      <c r="BD46" s="229"/>
      <c r="BE46" s="229"/>
      <c r="BF46" s="229"/>
      <c r="BG46" s="109"/>
      <c r="CB46" s="229"/>
      <c r="CC46" s="229"/>
      <c r="CD46" s="109"/>
      <c r="CX46" s="242"/>
      <c r="CZ46"/>
      <c r="DO46" s="728"/>
      <c r="DP46" s="728"/>
      <c r="DQ46" s="728"/>
      <c r="DR46" s="728"/>
      <c r="DS46" s="728"/>
      <c r="DT46" s="728"/>
      <c r="DU46" s="728"/>
      <c r="DV46" s="728"/>
      <c r="DW46" s="729"/>
      <c r="DX46" s="729"/>
      <c r="DY46" s="729"/>
      <c r="DZ46" s="729"/>
      <c r="EA46" s="729"/>
      <c r="EB46" s="729"/>
      <c r="EC46" s="729"/>
      <c r="ED46" s="729"/>
      <c r="EE46" s="732"/>
      <c r="EF46" s="732"/>
      <c r="EG46" s="732"/>
      <c r="EH46" s="732"/>
      <c r="EI46" s="732"/>
      <c r="EJ46" s="732"/>
      <c r="EM46" s="734"/>
      <c r="EN46" s="734"/>
      <c r="EO46" s="734"/>
      <c r="EP46" s="734"/>
      <c r="EQ46" s="734"/>
      <c r="ER46" s="734"/>
      <c r="EU46" s="736"/>
      <c r="EV46" s="736"/>
      <c r="EW46" s="736"/>
      <c r="EX46" s="736"/>
      <c r="EY46" s="738"/>
      <c r="EZ46" s="738"/>
      <c r="FA46" s="738"/>
      <c r="FB46" s="738"/>
      <c r="FC46" s="740"/>
      <c r="FD46" s="740"/>
      <c r="FE46" s="740"/>
      <c r="FF46" s="740"/>
      <c r="FG46" s="742"/>
      <c r="FH46" s="742"/>
      <c r="FI46" s="742"/>
      <c r="FJ46" s="742"/>
      <c r="FK46" s="726"/>
      <c r="FM46" s="744"/>
      <c r="FO46" s="726"/>
      <c r="FS46" s="726"/>
      <c r="FT46" s="744"/>
      <c r="FU46" s="726"/>
      <c r="FW46" s="744"/>
      <c r="GA46" s="744"/>
      <c r="GB46" s="726"/>
      <c r="GC46" s="744"/>
      <c r="GD46" s="726"/>
      <c r="GE46" s="744"/>
      <c r="GF46" s="726"/>
      <c r="GG46" s="744"/>
      <c r="GH46" s="726"/>
      <c r="GI46" s="744"/>
      <c r="GP46" s="743" t="s">
        <v>663</v>
      </c>
    </row>
    <row r="47" spans="1:198" ht="70" customHeight="1">
      <c r="A47" s="1086" t="str">
        <f>"Arbejdstid for "&amp;A12&amp;" måned:"</f>
        <v>Arbejdstid for Januar måned:</v>
      </c>
      <c r="B47" s="1087"/>
      <c r="C47" s="1087"/>
      <c r="D47" s="1087"/>
      <c r="E47" s="1087"/>
      <c r="F47" s="1087"/>
      <c r="G47" s="1087"/>
      <c r="H47" s="321" t="s">
        <v>252</v>
      </c>
      <c r="I47" s="1087" t="s">
        <v>218</v>
      </c>
      <c r="J47" s="1088"/>
      <c r="K47" s="1089"/>
      <c r="L47" s="256"/>
      <c r="M47" s="1134" t="str">
        <f>"Ulempetimer og weekendtimer i "&amp;A10&amp;""</f>
        <v>Ulempetimer og weekendtimer i Januar måneds kalender for: Beate Simonsen. Måneden vedr. normperioden:  - .</v>
      </c>
      <c r="N47" s="1117"/>
      <c r="O47" s="1117"/>
      <c r="P47" s="1117"/>
      <c r="Q47" s="1117"/>
      <c r="R47" s="1117"/>
      <c r="S47" s="1117"/>
      <c r="T47" s="1117"/>
      <c r="U47" s="1117"/>
      <c r="V47" s="1117"/>
      <c r="W47" s="1117"/>
      <c r="X47" s="1118"/>
      <c r="Y47" s="233"/>
      <c r="Z47" s="233"/>
      <c r="AD47" s="87"/>
      <c r="AE47" s="87"/>
      <c r="BM47" s="1"/>
      <c r="CJ47" s="1"/>
      <c r="CU47" s="242"/>
      <c r="CV47" s="242"/>
      <c r="CY47"/>
      <c r="CZ47"/>
    </row>
    <row r="48" spans="1:198">
      <c r="A48" s="1090" t="str">
        <f>August!A49</f>
        <v>Arbejdstid eks. lørdage og søndage</v>
      </c>
      <c r="B48" s="1091"/>
      <c r="C48" s="1091"/>
      <c r="D48" s="1091"/>
      <c r="E48" s="1091"/>
      <c r="F48" s="1091"/>
      <c r="G48" s="1091"/>
      <c r="H48" s="250">
        <f>D83</f>
        <v>21</v>
      </c>
      <c r="I48" s="1103">
        <f>IF(Stamoplysninger!$E$17="Ja",1924/Arbejdstidsoversigt!$K$14*Stamoplysninger!$E$20*H48,H48*7.4*Stamoplysninger!$E$20)</f>
        <v>155.4</v>
      </c>
      <c r="J48" s="1104"/>
      <c r="K48" s="1105"/>
      <c r="L48" s="252"/>
      <c r="M48" s="1135" t="s">
        <v>480</v>
      </c>
      <c r="N48" s="1136"/>
      <c r="O48" s="1136"/>
      <c r="P48" s="1136"/>
      <c r="Q48" s="1136"/>
      <c r="R48" s="1136"/>
      <c r="S48" s="1136"/>
      <c r="T48" s="1136"/>
      <c r="U48" s="1137"/>
      <c r="V48" s="1138">
        <f>P70+P74+P77+P79</f>
        <v>1.25</v>
      </c>
      <c r="W48" s="1139"/>
      <c r="X48" s="1140"/>
      <c r="Y48" s="233"/>
      <c r="Z48" s="233"/>
      <c r="AD48" s="87"/>
      <c r="AE48" s="87"/>
      <c r="BM48" s="1"/>
      <c r="CJ48" s="1"/>
      <c r="CU48" s="242"/>
      <c r="CV48" s="242"/>
      <c r="CY48"/>
      <c r="CZ48"/>
    </row>
    <row r="49" spans="1:110">
      <c r="A49" s="1090" t="str">
        <f>"Ferie "&amp;A12&amp;" måned"</f>
        <v>Ferie Januar måned</v>
      </c>
      <c r="B49" s="1091"/>
      <c r="C49" s="1091"/>
      <c r="D49" s="1091"/>
      <c r="E49" s="1091"/>
      <c r="F49" s="1091"/>
      <c r="G49" s="1091"/>
      <c r="H49" s="251" t="str">
        <f>IF(D78&gt;0,$D$78,"0")</f>
        <v>0</v>
      </c>
      <c r="I49" s="1092">
        <f>H49*7.4*Stamoplysninger!$E$20</f>
        <v>0</v>
      </c>
      <c r="J49" s="1093"/>
      <c r="K49" s="1094"/>
      <c r="L49" s="252"/>
      <c r="M49" s="1141" t="s">
        <v>256</v>
      </c>
      <c r="N49" s="1142"/>
      <c r="O49" s="1142"/>
      <c r="P49" s="1142"/>
      <c r="Q49" s="1142"/>
      <c r="R49" s="1142"/>
      <c r="S49" s="1142"/>
      <c r="T49" s="1142"/>
      <c r="U49" s="1143"/>
      <c r="V49" s="1144">
        <f>Q71+Q73+Q76+Q78</f>
        <v>0</v>
      </c>
      <c r="W49" s="1145"/>
      <c r="X49" s="1146"/>
      <c r="Y49" s="233"/>
      <c r="Z49" s="233"/>
      <c r="AD49" s="87"/>
      <c r="AE49" s="87"/>
      <c r="BM49" s="1"/>
      <c r="CJ49" s="1"/>
      <c r="CU49" s="242"/>
      <c r="CV49" s="242"/>
      <c r="CY49"/>
      <c r="CZ49"/>
    </row>
    <row r="50" spans="1:110">
      <c r="A50" s="1090" t="str">
        <f>"Søgnehelligdage i "&amp;A12&amp;" måned"</f>
        <v>Søgnehelligdage i Januar måned</v>
      </c>
      <c r="B50" s="1091"/>
      <c r="C50" s="1091"/>
      <c r="D50" s="1091"/>
      <c r="E50" s="1091"/>
      <c r="F50" s="1091"/>
      <c r="G50" s="1091"/>
      <c r="H50" s="251">
        <f>IF(D77&gt;0,D77,0)</f>
        <v>1</v>
      </c>
      <c r="I50" s="1092">
        <f>H50*7.4*Stamoplysninger!$E$20</f>
        <v>7.4</v>
      </c>
      <c r="J50" s="1093"/>
      <c r="K50" s="1094"/>
      <c r="L50" s="253"/>
      <c r="M50" s="1286" t="s">
        <v>292</v>
      </c>
      <c r="N50" s="1287"/>
      <c r="O50" s="1287"/>
      <c r="P50" s="1287"/>
      <c r="Q50" s="1287"/>
      <c r="R50" s="1287"/>
      <c r="S50" s="1287"/>
      <c r="T50" s="1287"/>
      <c r="U50" s="1288"/>
      <c r="V50" s="1291">
        <f>December!V58</f>
        <v>0</v>
      </c>
      <c r="W50" s="1292"/>
      <c r="X50" s="1293"/>
      <c r="Y50" s="233"/>
      <c r="Z50" s="233"/>
      <c r="AD50" s="87"/>
      <c r="AE50" s="87"/>
      <c r="BM50" s="1"/>
      <c r="CJ50" s="1"/>
      <c r="CU50" s="242"/>
      <c r="CV50" s="242"/>
      <c r="CY50"/>
      <c r="CZ50"/>
    </row>
    <row r="51" spans="1:110">
      <c r="A51" s="1090" t="str">
        <f>"Nettoarbejdstid ialt i "&amp;A12&amp;" måned"</f>
        <v>Nettoarbejdstid ialt i Januar måned</v>
      </c>
      <c r="B51" s="1091"/>
      <c r="C51" s="1091"/>
      <c r="D51" s="1091"/>
      <c r="E51" s="1091"/>
      <c r="F51" s="1091"/>
      <c r="G51" s="1091"/>
      <c r="H51" s="254">
        <f>H48-H49-H50</f>
        <v>20</v>
      </c>
      <c r="I51" s="1092">
        <f>I48-I49-I50</f>
        <v>148</v>
      </c>
      <c r="J51" s="1093"/>
      <c r="K51" s="1094"/>
      <c r="L51" s="253"/>
      <c r="M51" s="1149" t="s">
        <v>298</v>
      </c>
      <c r="N51" s="1150"/>
      <c r="O51" s="1150"/>
      <c r="P51" s="1150"/>
      <c r="Q51" s="1150"/>
      <c r="R51" s="1150"/>
      <c r="S51" s="1150"/>
      <c r="T51" s="1150"/>
      <c r="U51" s="1151"/>
      <c r="V51" s="1152">
        <f>V49+V50</f>
        <v>0</v>
      </c>
      <c r="W51" s="1153"/>
      <c r="X51" s="1294"/>
      <c r="Y51" s="233"/>
      <c r="Z51" s="233"/>
      <c r="AD51" s="87"/>
      <c r="AE51" s="87"/>
      <c r="BM51" s="1"/>
      <c r="CJ51" s="1"/>
      <c r="CU51" s="242"/>
      <c r="CV51" s="242"/>
      <c r="CY51"/>
      <c r="CZ51"/>
    </row>
    <row r="52" spans="1:110">
      <c r="A52" s="1106" t="str">
        <f>"Planlagt arbejdstid efter ovennstående "&amp;A12&amp;" måned kalender"</f>
        <v>Planlagt arbejdstid efter ovennstående Januar måned kalender</v>
      </c>
      <c r="B52" s="1107"/>
      <c r="C52" s="1107"/>
      <c r="D52" s="1107"/>
      <c r="E52" s="1107"/>
      <c r="F52" s="1107"/>
      <c r="G52" s="1107"/>
      <c r="H52" s="461">
        <f>D69+D70+D71+D72+D73+D74+D75</f>
        <v>19</v>
      </c>
      <c r="I52" s="1108">
        <f>N45+R45+V111</f>
        <v>153.18</v>
      </c>
      <c r="J52" s="1109"/>
      <c r="K52" s="1110"/>
      <c r="L52" s="375"/>
      <c r="M52" s="1161" t="s">
        <v>290</v>
      </c>
      <c r="N52" s="1162"/>
      <c r="O52" s="1162"/>
      <c r="P52" s="1162"/>
      <c r="Q52" s="1162"/>
      <c r="R52" s="1162"/>
      <c r="S52" s="1162"/>
      <c r="T52" s="1162"/>
      <c r="U52" s="1162"/>
      <c r="V52" s="1162"/>
      <c r="W52" s="1162"/>
      <c r="X52" s="1289"/>
      <c r="Y52" s="233"/>
      <c r="Z52" s="233"/>
      <c r="AD52" s="87"/>
      <c r="AE52" s="87"/>
      <c r="BM52" s="1"/>
      <c r="CJ52" s="1"/>
      <c r="CU52" s="242"/>
      <c r="CV52" s="242"/>
      <c r="CY52"/>
      <c r="CZ52"/>
    </row>
    <row r="53" spans="1:110" ht="17" customHeight="1">
      <c r="A53" s="1114" t="s">
        <v>671</v>
      </c>
      <c r="B53" s="1115"/>
      <c r="C53" s="1115"/>
      <c r="D53" s="1115"/>
      <c r="E53" s="1115"/>
      <c r="F53" s="1115"/>
      <c r="G53" s="1115"/>
      <c r="H53" s="1116"/>
      <c r="I53" s="1111">
        <f>(FK45+FO45+FS45+FU45+GB45+GD45+GF45+GH45)*-1+FM45+FT45+FW45+GC45+GE45+GG45+GI45+GA45</f>
        <v>0</v>
      </c>
      <c r="J53" s="1112"/>
      <c r="K53" s="1113"/>
      <c r="L53" s="376"/>
      <c r="M53" s="1164" t="s">
        <v>450</v>
      </c>
      <c r="N53" s="1165"/>
      <c r="O53" s="1165"/>
      <c r="P53" s="1165"/>
      <c r="Q53" s="1165"/>
      <c r="R53" s="1165"/>
      <c r="S53" s="1165"/>
      <c r="T53" s="1165"/>
      <c r="U53" s="1166"/>
      <c r="V53" s="1167" t="s">
        <v>218</v>
      </c>
      <c r="W53" s="1168"/>
      <c r="X53" s="1290"/>
      <c r="Y53" s="233"/>
      <c r="Z53" s="233"/>
      <c r="AD53" s="87"/>
      <c r="AE53" s="87"/>
      <c r="BM53" s="1"/>
      <c r="CJ53" s="1"/>
      <c r="CU53" s="242"/>
      <c r="CV53" s="242"/>
      <c r="CY53"/>
      <c r="CZ53"/>
    </row>
    <row r="54" spans="1:110">
      <c r="A54" s="1128" t="str">
        <f>"Arbejde særligt planlagt for "&amp;A12&amp;" måned efter fanen skemaoplysninger"</f>
        <v>Arbejde særligt planlagt for Januar måned efter fanen skemaoplysninger</v>
      </c>
      <c r="B54" s="1129"/>
      <c r="C54" s="1129"/>
      <c r="D54" s="1129"/>
      <c r="E54" s="1129"/>
      <c r="F54" s="1129"/>
      <c r="G54" s="1129"/>
      <c r="H54" s="1130"/>
      <c r="I54" s="1109">
        <f>IF(I52&gt;0,Skemaoplysninger!P107,0)</f>
        <v>0</v>
      </c>
      <c r="J54" s="1126"/>
      <c r="K54" s="1127"/>
      <c r="L54" s="377"/>
      <c r="M54" s="1036"/>
      <c r="N54" s="1037"/>
      <c r="O54" s="1037"/>
      <c r="P54" s="1037"/>
      <c r="Q54" s="1037"/>
      <c r="R54" s="1037"/>
      <c r="S54" s="1037"/>
      <c r="T54" s="1037"/>
      <c r="U54" s="1038"/>
      <c r="V54" s="1170"/>
      <c r="W54" s="1170"/>
      <c r="X54" s="1171"/>
      <c r="Y54"/>
      <c r="Z54" s="233"/>
      <c r="AA54" s="233"/>
      <c r="AG54" s="87"/>
      <c r="AH54" s="87"/>
      <c r="BA54" s="233"/>
      <c r="BO54" s="1"/>
      <c r="CL54" s="1"/>
      <c r="CV54" s="242"/>
      <c r="CW54" s="242"/>
      <c r="CY54"/>
      <c r="CZ54"/>
    </row>
    <row r="55" spans="1:110">
      <c r="A55" s="1095" t="s">
        <v>439</v>
      </c>
      <c r="B55" s="1096"/>
      <c r="C55" s="1096"/>
      <c r="D55" s="1096"/>
      <c r="E55" s="1096"/>
      <c r="F55" s="1096"/>
      <c r="G55" s="1096"/>
      <c r="H55" s="1096"/>
      <c r="I55" s="1097">
        <f>V45+X45+R111-GP45+T111</f>
        <v>0</v>
      </c>
      <c r="J55" s="1098"/>
      <c r="K55" s="1099"/>
      <c r="L55" s="235"/>
      <c r="M55" s="1036"/>
      <c r="N55" s="1037"/>
      <c r="O55" s="1037"/>
      <c r="P55" s="1037"/>
      <c r="Q55" s="1037"/>
      <c r="R55" s="1037"/>
      <c r="S55" s="1037"/>
      <c r="T55" s="1037"/>
      <c r="U55" s="1038"/>
      <c r="V55" s="1039"/>
      <c r="W55" s="1040"/>
      <c r="X55" s="1041"/>
      <c r="Y55"/>
      <c r="Z55" s="233"/>
      <c r="AA55" s="233"/>
      <c r="AE55" s="87"/>
      <c r="AF55" s="241"/>
      <c r="AG55" s="87"/>
      <c r="BN55" s="1"/>
      <c r="CK55" s="1"/>
      <c r="CV55" s="242"/>
      <c r="CW55" s="242"/>
      <c r="CY55"/>
      <c r="CZ55"/>
    </row>
    <row r="56" spans="1:110" ht="17" thickBot="1">
      <c r="A56" s="255" t="str">
        <f>"Faktisk arbejdstid ialt i "&amp;A12&amp;" måned"</f>
        <v>Faktisk arbejdstid ialt i Januar måned</v>
      </c>
      <c r="B56" s="307"/>
      <c r="C56" s="308"/>
      <c r="D56" s="308"/>
      <c r="E56" s="308"/>
      <c r="F56" s="308"/>
      <c r="G56" s="308"/>
      <c r="H56" s="309"/>
      <c r="I56" s="1131">
        <f>I52+I55+I54+I53</f>
        <v>153.18</v>
      </c>
      <c r="J56" s="1132"/>
      <c r="K56" s="1133"/>
      <c r="L56" s="235"/>
      <c r="M56" s="1036"/>
      <c r="N56" s="1037"/>
      <c r="O56" s="1037"/>
      <c r="P56" s="1037"/>
      <c r="Q56" s="1037"/>
      <c r="R56" s="1037"/>
      <c r="S56" s="1037"/>
      <c r="T56" s="1037"/>
      <c r="U56" s="1038"/>
      <c r="V56" s="1039"/>
      <c r="W56" s="1040"/>
      <c r="X56" s="1041"/>
      <c r="Y56" s="233"/>
      <c r="Z56" s="233"/>
      <c r="AA56" s="211"/>
      <c r="AB56" s="241"/>
      <c r="AC56" s="241"/>
      <c r="AD56" s="241"/>
      <c r="AE56" s="233"/>
      <c r="AF56" s="241"/>
      <c r="AH56" s="233"/>
      <c r="AI56" s="233"/>
      <c r="AM56" s="87"/>
      <c r="AN56" s="87"/>
      <c r="BU56" s="1"/>
      <c r="CR56" s="1"/>
      <c r="CY56"/>
      <c r="CZ56"/>
      <c r="DC56" s="242"/>
      <c r="DD56" s="242"/>
    </row>
    <row r="57" spans="1:110" ht="17" thickBot="1">
      <c r="A57" s="249"/>
      <c r="B57" s="249"/>
      <c r="C57" s="249"/>
      <c r="D57" s="249"/>
      <c r="E57" s="249"/>
      <c r="F57" s="249"/>
      <c r="G57" s="249"/>
      <c r="H57" s="249"/>
      <c r="I57" s="507"/>
      <c r="J57" s="507"/>
      <c r="K57" s="507"/>
      <c r="L57" s="485"/>
      <c r="M57" s="1036"/>
      <c r="N57" s="1037"/>
      <c r="O57" s="1037"/>
      <c r="P57" s="1037"/>
      <c r="Q57" s="1037"/>
      <c r="R57" s="1037"/>
      <c r="S57" s="1037"/>
      <c r="T57" s="1037"/>
      <c r="U57" s="1038"/>
      <c r="V57" s="1039"/>
      <c r="W57" s="1040"/>
      <c r="X57" s="1041"/>
      <c r="Y57" s="233"/>
      <c r="Z57" s="233"/>
      <c r="AA57" s="233"/>
      <c r="AB57" s="233"/>
      <c r="AC57" s="211"/>
      <c r="AD57" s="241"/>
      <c r="AE57" s="241"/>
      <c r="AF57" s="241"/>
      <c r="AG57" s="241"/>
      <c r="AH57" s="233"/>
      <c r="AJ57" s="233"/>
      <c r="AK57" s="233"/>
      <c r="AO57" s="87"/>
      <c r="AP57" s="87"/>
      <c r="BW57" s="1"/>
      <c r="CT57" s="1"/>
      <c r="CY57"/>
      <c r="CZ57"/>
      <c r="DE57" s="242"/>
      <c r="DF57" s="242"/>
    </row>
    <row r="58" spans="1:110" ht="25" thickBot="1">
      <c r="A58" s="1086" t="s">
        <v>463</v>
      </c>
      <c r="B58" s="1087"/>
      <c r="C58" s="1087"/>
      <c r="D58" s="1087"/>
      <c r="E58" s="1087"/>
      <c r="F58" s="1087"/>
      <c r="G58" s="1087"/>
      <c r="H58" s="681" t="s">
        <v>608</v>
      </c>
      <c r="I58" s="1276" t="s">
        <v>462</v>
      </c>
      <c r="J58" s="1276"/>
      <c r="K58" s="1277"/>
      <c r="L58" s="485"/>
      <c r="M58" s="1155" t="s">
        <v>291</v>
      </c>
      <c r="N58" s="1156"/>
      <c r="O58" s="1156"/>
      <c r="P58" s="1156"/>
      <c r="Q58" s="1156"/>
      <c r="R58" s="1156"/>
      <c r="S58" s="1156"/>
      <c r="T58" s="1156"/>
      <c r="U58" s="1157"/>
      <c r="V58" s="1247">
        <f>V51-SUM(V54:X57)</f>
        <v>0</v>
      </c>
      <c r="W58" s="1248"/>
      <c r="X58" s="1249"/>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121"/>
      <c r="B59" s="1122"/>
      <c r="C59" s="1122"/>
      <c r="D59" s="1122"/>
      <c r="E59" s="1122"/>
      <c r="F59" s="1122"/>
      <c r="G59" s="1122"/>
      <c r="H59" s="587"/>
      <c r="I59" s="1250">
        <f>December!I67</f>
        <v>0</v>
      </c>
      <c r="J59" s="1250"/>
      <c r="K59" s="1251"/>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16" customHeight="1">
      <c r="A60" s="1235" t="s">
        <v>466</v>
      </c>
      <c r="B60" s="1236"/>
      <c r="C60" s="1236"/>
      <c r="D60" s="1236"/>
      <c r="E60" s="1236"/>
      <c r="F60" s="1236"/>
      <c r="G60" s="1237"/>
      <c r="H60" s="587"/>
      <c r="I60" s="1238"/>
      <c r="J60" s="1239"/>
      <c r="K60" s="1240"/>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7" customHeight="1">
      <c r="A61" s="1033" t="s">
        <v>609</v>
      </c>
      <c r="B61" s="1034"/>
      <c r="C61" s="1034"/>
      <c r="D61" s="1034"/>
      <c r="E61" s="1034"/>
      <c r="F61" s="1034"/>
      <c r="G61" s="1034"/>
      <c r="H61" s="1034"/>
      <c r="I61" s="1034"/>
      <c r="J61" s="1034"/>
      <c r="K61" s="1035"/>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ht="35" customHeight="1">
      <c r="A62" s="1079" t="s">
        <v>610</v>
      </c>
      <c r="B62" s="1080"/>
      <c r="C62" s="1052" t="s">
        <v>492</v>
      </c>
      <c r="D62" s="1053"/>
      <c r="E62" s="1081" t="s">
        <v>493</v>
      </c>
      <c r="F62" s="1034"/>
      <c r="G62" s="1082"/>
      <c r="H62" s="1083" t="s">
        <v>464</v>
      </c>
      <c r="I62" s="1083"/>
      <c r="J62" s="1083"/>
      <c r="K62" s="1084"/>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050"/>
      <c r="B63" s="1051"/>
      <c r="C63" s="1026"/>
      <c r="D63" s="1025"/>
      <c r="E63" s="1021"/>
      <c r="F63" s="1022"/>
      <c r="G63" s="1023"/>
      <c r="H63" s="588"/>
      <c r="I63" s="1019"/>
      <c r="J63" s="1019"/>
      <c r="K63" s="1020"/>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1024"/>
      <c r="B64" s="1025"/>
      <c r="C64" s="1026"/>
      <c r="D64" s="1025"/>
      <c r="E64" s="1021"/>
      <c r="F64" s="1022"/>
      <c r="G64" s="1023"/>
      <c r="H64" s="588"/>
      <c r="I64" s="1019"/>
      <c r="J64" s="1019"/>
      <c r="K64" s="1020"/>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c r="A65" s="1024"/>
      <c r="B65" s="1025"/>
      <c r="C65" s="1026"/>
      <c r="D65" s="1025"/>
      <c r="E65" s="1021"/>
      <c r="F65" s="1022"/>
      <c r="G65" s="1023"/>
      <c r="H65" s="588"/>
      <c r="I65" s="1019"/>
      <c r="J65" s="1019"/>
      <c r="K65" s="1020"/>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c r="A66" s="1024"/>
      <c r="B66" s="1025"/>
      <c r="C66" s="1026"/>
      <c r="D66" s="1025"/>
      <c r="E66" s="1021"/>
      <c r="F66" s="1022"/>
      <c r="G66" s="1023"/>
      <c r="H66" s="588"/>
      <c r="I66" s="1019"/>
      <c r="J66" s="1019"/>
      <c r="K66" s="1020"/>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0" ht="17" thickBot="1">
      <c r="A67" s="1054" t="s">
        <v>465</v>
      </c>
      <c r="B67" s="1055"/>
      <c r="C67" s="1056"/>
      <c r="D67" s="1056"/>
      <c r="E67" s="1056"/>
      <c r="F67" s="1056"/>
      <c r="G67" s="1056"/>
      <c r="H67" s="590">
        <f>H60+H59-SUM(H63:H66)</f>
        <v>0</v>
      </c>
      <c r="I67" s="1063">
        <f>I59+I60-SUM(I63:K66)</f>
        <v>0</v>
      </c>
      <c r="J67" s="1064"/>
      <c r="K67" s="1065"/>
      <c r="L67" s="485"/>
      <c r="M67" s="508"/>
      <c r="N67" s="508"/>
      <c r="O67" s="508"/>
      <c r="P67" s="508"/>
      <c r="Q67" s="509"/>
      <c r="R67" s="510"/>
      <c r="S67" s="510"/>
      <c r="T67" s="510"/>
      <c r="U67" s="510"/>
      <c r="V67" s="508"/>
      <c r="W67" s="511"/>
      <c r="X67" s="508"/>
      <c r="Y67" s="233"/>
      <c r="Z67" s="233"/>
      <c r="AA67" s="233"/>
      <c r="AB67" s="233"/>
      <c r="AC67" s="211"/>
      <c r="AD67" s="241"/>
      <c r="AE67" s="241"/>
      <c r="AF67" s="241"/>
      <c r="AG67" s="241"/>
      <c r="AH67" s="233"/>
      <c r="AJ67" s="233"/>
      <c r="AK67" s="233"/>
      <c r="AO67" s="87"/>
      <c r="AP67" s="87"/>
      <c r="BW67" s="1"/>
      <c r="CT67" s="1"/>
      <c r="CY67"/>
      <c r="CZ67"/>
      <c r="DE67" s="242"/>
      <c r="DF67" s="242"/>
    </row>
    <row r="68" spans="1:110" hidden="1">
      <c r="A68" s="249"/>
      <c r="B68" s="249"/>
      <c r="C68" s="249"/>
      <c r="D68" s="249"/>
      <c r="E68" s="249"/>
      <c r="F68" s="249"/>
      <c r="G68" s="249"/>
      <c r="H68" s="437"/>
      <c r="I68" s="491"/>
      <c r="J68" s="491"/>
      <c r="K68" s="481"/>
      <c r="L68" s="635"/>
      <c r="M68" s="635"/>
      <c r="N68" s="635"/>
      <c r="O68" s="635"/>
      <c r="P68" s="635"/>
      <c r="Q68" s="509"/>
      <c r="R68" s="510"/>
      <c r="S68" s="510"/>
      <c r="T68" s="510"/>
      <c r="U68" s="510"/>
      <c r="V68" s="508" t="s">
        <v>538</v>
      </c>
      <c r="W68" s="511"/>
      <c r="X68" s="508"/>
      <c r="Y68"/>
      <c r="Z68"/>
      <c r="AA68" s="87"/>
      <c r="AB68" s="87"/>
      <c r="BI68" s="1"/>
      <c r="CF68" s="1"/>
      <c r="CQ68" s="242"/>
      <c r="CR68" s="242"/>
      <c r="CY68"/>
      <c r="CZ68"/>
    </row>
    <row r="69" spans="1:110" hidden="1">
      <c r="A69" s="483" t="s">
        <v>203</v>
      </c>
      <c r="B69" s="483"/>
      <c r="C69" s="483"/>
      <c r="D69" s="483">
        <f>COUNTIF([0]!Januar,"Skema 1")</f>
        <v>14</v>
      </c>
      <c r="E69" s="484"/>
      <c r="F69" s="483" t="s">
        <v>183</v>
      </c>
      <c r="G69" s="483">
        <f>COUNTIFS($B$14:$B$44,"ma",[0]!Januar,"Skema 1")</f>
        <v>2</v>
      </c>
      <c r="H69" s="120"/>
      <c r="I69" s="496"/>
      <c r="J69" s="635"/>
      <c r="K69" s="635"/>
      <c r="L69" s="496"/>
      <c r="M69" s="636"/>
      <c r="N69" s="635"/>
      <c r="O69" s="636"/>
      <c r="P69" s="654" t="s">
        <v>551</v>
      </c>
      <c r="Q69" s="656" t="s">
        <v>562</v>
      </c>
      <c r="R69" s="225"/>
      <c r="S69" s="225"/>
      <c r="T69" s="225"/>
      <c r="U69" s="225"/>
      <c r="V69" s="225"/>
      <c r="W69" s="115"/>
      <c r="X69" s="115"/>
      <c r="Y69"/>
      <c r="Z69"/>
      <c r="AA69" s="87"/>
      <c r="AB69" s="87"/>
      <c r="BI69" s="1"/>
      <c r="CF69" s="1"/>
      <c r="CQ69" s="242"/>
      <c r="CR69" s="242"/>
      <c r="CY69"/>
      <c r="CZ69"/>
    </row>
    <row r="70" spans="1:110" hidden="1">
      <c r="A70" s="1271" t="s">
        <v>204</v>
      </c>
      <c r="B70" s="1271"/>
      <c r="C70" s="1271"/>
      <c r="D70" s="483">
        <f>COUNTIF([0]!Januar,"Skema 2")</f>
        <v>0</v>
      </c>
      <c r="E70" s="484"/>
      <c r="F70" s="483" t="s">
        <v>184</v>
      </c>
      <c r="G70" s="483">
        <f>COUNTIFS($B$14:$B$44,"ti",[0]!Januar,"Skema 1")</f>
        <v>3</v>
      </c>
      <c r="H70" s="120"/>
      <c r="I70" s="496" t="s">
        <v>552</v>
      </c>
      <c r="J70" s="635"/>
      <c r="K70" s="496"/>
      <c r="L70" s="638"/>
      <c r="M70" s="636"/>
      <c r="N70" s="636"/>
      <c r="O70" s="639"/>
      <c r="P70" s="654">
        <f>IF(Stamoplysninger!$B$27="Ulempetillæg udbetales med 25% af nettotimelønnen.",SUM(DO45:DR45)-SUM(DS45:DV45),0)</f>
        <v>1.25</v>
      </c>
      <c r="Q70" s="656"/>
      <c r="R70" s="730"/>
      <c r="S70" s="225"/>
      <c r="T70" s="225"/>
      <c r="U70" s="225"/>
      <c r="V70" s="225"/>
      <c r="W70" s="115"/>
      <c r="X70" s="115"/>
      <c r="Y70"/>
      <c r="Z70"/>
      <c r="AA70" s="87"/>
      <c r="AB70" s="87"/>
      <c r="BI70" s="1"/>
      <c r="CF70" s="1"/>
      <c r="CQ70" s="242"/>
      <c r="CR70" s="242"/>
      <c r="CY70"/>
      <c r="CZ70"/>
    </row>
    <row r="71" spans="1:110" hidden="1">
      <c r="A71" s="1271" t="s">
        <v>205</v>
      </c>
      <c r="B71" s="1271"/>
      <c r="C71" s="1271"/>
      <c r="D71" s="483">
        <f>COUNTIF([0]!Januar,"Skema 3")</f>
        <v>0</v>
      </c>
      <c r="E71" s="484"/>
      <c r="F71" s="483" t="s">
        <v>185</v>
      </c>
      <c r="G71" s="483">
        <f>COUNTIFS($B$14:$B$44,"on",[0]!Januar,"Skema 1")</f>
        <v>3</v>
      </c>
      <c r="H71" s="483"/>
      <c r="I71" s="653" t="s">
        <v>553</v>
      </c>
      <c r="J71" s="635"/>
      <c r="K71" s="496"/>
      <c r="L71" s="638"/>
      <c r="M71" s="636"/>
      <c r="N71" s="636"/>
      <c r="O71" s="636"/>
      <c r="P71" s="654"/>
      <c r="Q71" s="656">
        <f>IF(Stamoplysninger!$B$27="Ulempetillæg afspadseres med 25%(Kræver en aftale imellem ledelsen og den ansatte)",DW45+DX45+DY45+DZ45-EA45-EB45-EC45-ED45,0)</f>
        <v>0</v>
      </c>
      <c r="R71" s="731"/>
      <c r="S71" s="225"/>
      <c r="T71" s="225"/>
      <c r="U71" s="225"/>
      <c r="V71" s="225"/>
      <c r="W71" s="115"/>
      <c r="X71" s="115"/>
      <c r="Y71"/>
      <c r="Z71"/>
      <c r="AA71" s="87"/>
      <c r="AB71" s="87"/>
      <c r="BI71" s="1"/>
      <c r="CF71" s="1"/>
      <c r="CQ71" s="242"/>
      <c r="CR71" s="242"/>
      <c r="CY71"/>
      <c r="CZ71"/>
    </row>
    <row r="72" spans="1:110" hidden="1">
      <c r="A72" s="1271" t="s">
        <v>206</v>
      </c>
      <c r="B72" s="1271"/>
      <c r="C72" s="1271"/>
      <c r="D72" s="483">
        <f>COUNTIF([0]!Januar,"Skema 4")</f>
        <v>0</v>
      </c>
      <c r="E72" s="484"/>
      <c r="F72" s="483" t="s">
        <v>187</v>
      </c>
      <c r="G72" s="483">
        <f>COUNTIFS($B$14:$B$44,"to",[0]!Januar,"Skema 1")</f>
        <v>3</v>
      </c>
      <c r="H72" s="483"/>
      <c r="I72" s="653" t="s">
        <v>554</v>
      </c>
      <c r="J72" s="635"/>
      <c r="K72" s="496"/>
      <c r="L72" s="638"/>
      <c r="M72" s="641"/>
      <c r="N72" s="641"/>
      <c r="O72" s="4"/>
      <c r="P72" s="654"/>
      <c r="Q72" s="656"/>
      <c r="R72" s="225"/>
      <c r="S72" s="225"/>
      <c r="T72" s="225"/>
      <c r="U72" s="225"/>
      <c r="V72" s="225"/>
      <c r="W72" s="115"/>
      <c r="X72" s="115"/>
      <c r="Y72" s="233"/>
      <c r="Z72" s="233"/>
      <c r="AA72" s="233"/>
      <c r="AB72" s="211"/>
      <c r="AC72" s="241"/>
      <c r="AD72" s="241"/>
      <c r="AE72" s="241"/>
      <c r="AF72" s="211"/>
      <c r="AG72" s="233"/>
      <c r="AI72" s="233"/>
      <c r="AJ72" s="233"/>
      <c r="AN72" s="87"/>
      <c r="AO72" s="87"/>
      <c r="BV72" s="1"/>
      <c r="CS72" s="1"/>
      <c r="CY72"/>
      <c r="CZ72"/>
      <c r="DD72" s="242"/>
      <c r="DE72" s="242"/>
    </row>
    <row r="73" spans="1:110" hidden="1">
      <c r="A73" s="483" t="s">
        <v>111</v>
      </c>
      <c r="B73" s="483"/>
      <c r="C73" s="483"/>
      <c r="D73" s="483">
        <f>COUNTIF([0]!Januar,"Fagdag")+COUNTIF([0]!Januar,"emnedag")</f>
        <v>5</v>
      </c>
      <c r="E73" s="484"/>
      <c r="F73" s="483" t="s">
        <v>186</v>
      </c>
      <c r="G73" s="483">
        <f>COUNTIFS($B$14:$B$44,"fr",[0]!Januar,"Skema 1")</f>
        <v>3</v>
      </c>
      <c r="H73" s="483"/>
      <c r="I73" s="638" t="s">
        <v>555</v>
      </c>
      <c r="J73" s="635"/>
      <c r="K73" s="496"/>
      <c r="L73" s="638"/>
      <c r="M73" s="641"/>
      <c r="N73" s="641"/>
      <c r="O73" s="4"/>
      <c r="P73" s="654"/>
      <c r="Q73" s="656">
        <f>IF(Stamoplysninger!$B$31="Weekendtimer og weekendtillæg afspadseres.",EE45+EF45-EG45-EH45+EI45+EJ45,0)</f>
        <v>0</v>
      </c>
      <c r="R73" s="733"/>
      <c r="S73" s="225"/>
      <c r="T73" s="225"/>
      <c r="U73" s="225"/>
      <c r="V73" s="225"/>
      <c r="W73" s="115"/>
      <c r="X73" s="115"/>
      <c r="Y73" s="233"/>
      <c r="Z73" s="233"/>
      <c r="AA73" s="233"/>
      <c r="AB73" s="211"/>
      <c r="AC73" s="241"/>
      <c r="AD73" s="241"/>
      <c r="AE73" s="241"/>
      <c r="AF73" s="211"/>
      <c r="AG73" s="233"/>
      <c r="AI73" s="233"/>
      <c r="AJ73" s="233"/>
      <c r="AN73" s="87"/>
      <c r="AO73" s="87"/>
      <c r="BV73" s="1"/>
      <c r="CS73" s="1"/>
      <c r="CY73"/>
      <c r="CZ73"/>
      <c r="DD73" s="242"/>
      <c r="DE73" s="242"/>
    </row>
    <row r="74" spans="1:110" hidden="1">
      <c r="A74" s="487" t="s">
        <v>110</v>
      </c>
      <c r="B74" s="483"/>
      <c r="C74" s="483"/>
      <c r="D74" s="483">
        <f>COUNTIF([0]!Januar,"Lejrskole")+COUNTIF([0]!Januar,"Ekskursion")</f>
        <v>0</v>
      </c>
      <c r="E74" s="484"/>
      <c r="F74" s="483"/>
      <c r="G74" s="483"/>
      <c r="H74" s="483"/>
      <c r="I74" s="638" t="s">
        <v>556</v>
      </c>
      <c r="J74" s="638"/>
      <c r="K74" s="638"/>
      <c r="L74" s="638"/>
      <c r="M74" s="642"/>
      <c r="N74" s="642"/>
      <c r="O74" s="4"/>
      <c r="P74" s="655">
        <f>IF(Stamoplysninger!$B$31="Weekendtimer og weekendtillæg udbetales.",EM45+EN45-EO45-EP45+EQ45+ER45,0)</f>
        <v>0</v>
      </c>
      <c r="Q74" s="656"/>
      <c r="R74" s="735"/>
      <c r="S74" s="225"/>
      <c r="T74" s="225"/>
      <c r="U74" s="225"/>
      <c r="V74" s="225"/>
      <c r="W74" s="115"/>
      <c r="X74" s="115"/>
      <c r="Y74" s="233"/>
      <c r="Z74" s="233"/>
      <c r="AA74" s="233"/>
      <c r="AB74" s="211"/>
      <c r="AC74" s="241"/>
      <c r="AD74" s="241"/>
      <c r="AE74" s="241"/>
      <c r="AF74" s="211"/>
      <c r="AG74" s="233"/>
      <c r="AI74" s="233"/>
      <c r="AJ74" s="233"/>
      <c r="AN74" s="87"/>
      <c r="AO74" s="87"/>
      <c r="BV74" s="1"/>
      <c r="CS74" s="1"/>
      <c r="CY74"/>
      <c r="CZ74"/>
      <c r="DD74" s="242"/>
      <c r="DE74" s="242"/>
    </row>
    <row r="75" spans="1:110" hidden="1">
      <c r="A75" s="483" t="s">
        <v>109</v>
      </c>
      <c r="B75" s="483"/>
      <c r="C75" s="483"/>
      <c r="D75" s="483">
        <f>COUNTIF([0]!Januar,"Pæd.dag")</f>
        <v>0</v>
      </c>
      <c r="E75" s="484"/>
      <c r="F75" s="483" t="s">
        <v>188</v>
      </c>
      <c r="G75" s="483">
        <f>COUNTIFS($B$14:$B$44,"ma",[0]!Januar,"Skema 2")</f>
        <v>0</v>
      </c>
      <c r="H75" s="483"/>
      <c r="I75" s="638" t="s">
        <v>557</v>
      </c>
      <c r="J75" s="638"/>
      <c r="K75" s="638"/>
      <c r="L75" s="638"/>
      <c r="M75" s="642"/>
      <c r="N75" s="642"/>
      <c r="O75" s="4"/>
      <c r="P75" s="654"/>
      <c r="Q75" s="656"/>
      <c r="R75" s="225"/>
      <c r="S75" s="225"/>
      <c r="T75" s="225"/>
      <c r="U75" s="225"/>
      <c r="V75" s="225"/>
      <c r="W75" s="115"/>
      <c r="X75" s="115"/>
      <c r="Y75" s="233"/>
      <c r="Z75" s="233"/>
      <c r="AA75" s="233"/>
      <c r="AB75" s="211"/>
      <c r="AC75" s="241"/>
      <c r="AD75" s="241"/>
      <c r="AE75" s="241"/>
      <c r="AG75" s="233"/>
      <c r="AI75" s="233"/>
      <c r="AJ75" s="233"/>
      <c r="AN75" s="87"/>
      <c r="AO75" s="87"/>
      <c r="BV75" s="1"/>
      <c r="CS75" s="1"/>
      <c r="CY75"/>
      <c r="CZ75"/>
      <c r="DD75" s="242"/>
      <c r="DE75" s="242"/>
    </row>
    <row r="76" spans="1:110" hidden="1">
      <c r="A76" s="483" t="s">
        <v>118</v>
      </c>
      <c r="B76" s="483"/>
      <c r="C76" s="483"/>
      <c r="D76" s="483">
        <f>COUNTIF([0]!Januar,"Weekend")</f>
        <v>10</v>
      </c>
      <c r="E76" s="484"/>
      <c r="F76" s="483" t="s">
        <v>189</v>
      </c>
      <c r="G76" s="483">
        <f>COUNTIFS($B$14:$B$44,"ti",[0]!Januar,"Skema 2")</f>
        <v>0</v>
      </c>
      <c r="H76" s="483"/>
      <c r="I76" s="638" t="s">
        <v>558</v>
      </c>
      <c r="J76" s="638"/>
      <c r="K76" s="638"/>
      <c r="L76" s="638"/>
      <c r="M76" s="643"/>
      <c r="N76" s="643"/>
      <c r="O76" s="4"/>
      <c r="P76" s="654"/>
      <c r="Q76" s="657">
        <f>IF(Stamoplysninger!$B$31="Der er indgået lokalaftale omkring weekendtimer.(Kræver aftale med TR/FSL) Weekendtillæg afspadseres.",EU45+EV45-EW45-EX45,0)</f>
        <v>0</v>
      </c>
      <c r="R76" s="737"/>
      <c r="S76" s="225"/>
      <c r="T76" s="225"/>
      <c r="U76" s="225"/>
      <c r="V76" s="225"/>
      <c r="W76" s="115"/>
      <c r="X76" s="115"/>
      <c r="Y76"/>
      <c r="Z76"/>
      <c r="AM76" s="1"/>
      <c r="BJ76" s="1"/>
      <c r="BU76" s="242"/>
      <c r="BV76" s="242"/>
      <c r="CY76"/>
      <c r="CZ76"/>
    </row>
    <row r="77" spans="1:110" hidden="1">
      <c r="A77" s="483" t="s">
        <v>125</v>
      </c>
      <c r="B77" s="483"/>
      <c r="C77" s="483"/>
      <c r="D77" s="483">
        <f>COUNTIF([0]!Januar,"SH-dag")</f>
        <v>1</v>
      </c>
      <c r="E77" s="484"/>
      <c r="F77" s="483" t="s">
        <v>190</v>
      </c>
      <c r="G77" s="483">
        <f>COUNTIFS($B$14:$B$44,"on",[0]!Januar,"Skema 2")</f>
        <v>0</v>
      </c>
      <c r="H77" s="483"/>
      <c r="I77" s="638" t="s">
        <v>559</v>
      </c>
      <c r="J77" s="638"/>
      <c r="K77" s="638"/>
      <c r="L77" s="638"/>
      <c r="M77" s="643"/>
      <c r="N77" s="643"/>
      <c r="O77" s="4"/>
      <c r="P77" s="654">
        <f>IF(Stamoplysninger!$B$31="Der er indgået lokalaftale omkring weekendtimer(Kræver aftale med TR/FSL). Weekendtillæg udbetales.",EY45+EZ45-FA45-FB45,0)</f>
        <v>0</v>
      </c>
      <c r="Q77" s="656"/>
      <c r="R77" s="739"/>
      <c r="S77" s="225"/>
      <c r="T77" s="225"/>
      <c r="U77" s="225"/>
      <c r="V77" s="225"/>
      <c r="W77" s="115"/>
      <c r="X77" s="115"/>
      <c r="Y77"/>
      <c r="Z77"/>
      <c r="AM77" s="1"/>
      <c r="BJ77" s="1"/>
      <c r="BU77" s="242"/>
      <c r="BV77" s="242"/>
      <c r="CY77"/>
      <c r="CZ77"/>
    </row>
    <row r="78" spans="1:110" hidden="1">
      <c r="A78" s="483" t="s">
        <v>108</v>
      </c>
      <c r="B78" s="483"/>
      <c r="C78" s="483"/>
      <c r="D78" s="483">
        <f>COUNTIF([0]!Januar,"Feriedag")</f>
        <v>0</v>
      </c>
      <c r="E78" s="484"/>
      <c r="F78" s="483" t="s">
        <v>191</v>
      </c>
      <c r="G78" s="483">
        <f>COUNTIFS($B$14:$B$44,"to",[0]!Januar,"Skema 2")</f>
        <v>0</v>
      </c>
      <c r="H78" s="483"/>
      <c r="I78" s="638" t="s">
        <v>560</v>
      </c>
      <c r="J78" s="638"/>
      <c r="K78" s="638"/>
      <c r="L78" s="638"/>
      <c r="M78" s="643"/>
      <c r="N78" s="643"/>
      <c r="O78" s="4"/>
      <c r="P78" s="654"/>
      <c r="Q78" s="610">
        <f>IF(Stamoplysninger!$B$31="Der er indgået lokalaftale omkring weekendtillæg(Kræver aftale med TR/FSL). Weekendtimerne afspadseres.",FC45+FD45-FE45-FF45,0)</f>
        <v>0</v>
      </c>
      <c r="R78" s="741"/>
      <c r="S78" s="38"/>
      <c r="T78" s="38"/>
      <c r="Y78"/>
      <c r="Z78"/>
      <c r="AM78" s="1"/>
      <c r="BJ78" s="1"/>
      <c r="BU78" s="242"/>
      <c r="BV78" s="242"/>
      <c r="CY78"/>
      <c r="CZ78"/>
    </row>
    <row r="79" spans="1:110" hidden="1">
      <c r="A79" s="483" t="s">
        <v>175</v>
      </c>
      <c r="B79" s="483"/>
      <c r="C79" s="483"/>
      <c r="D79" s="483">
        <f>COUNTIF([0]!Januar,"Nul-dag")</f>
        <v>1</v>
      </c>
      <c r="E79" s="484"/>
      <c r="F79" s="483" t="s">
        <v>192</v>
      </c>
      <c r="G79" s="483">
        <f>COUNTIFS($B$14:$B$44,"fr",[0]!Januar,"Skema 2")</f>
        <v>0</v>
      </c>
      <c r="H79" s="483"/>
      <c r="I79" s="638" t="s">
        <v>561</v>
      </c>
      <c r="J79" s="638"/>
      <c r="K79" s="638"/>
      <c r="L79" s="638"/>
      <c r="M79" s="643"/>
      <c r="N79" s="643"/>
      <c r="O79" s="4"/>
      <c r="P79" s="654">
        <f>IF(Stamoplysninger!$B$31="Der er indgået lokalaftale omkring weekendtillæg(Kræver aftale med TR/FSL). Weekendtimerne udbetales.",FG45+FH45-FI45-FJ45,0)</f>
        <v>0</v>
      </c>
      <c r="Q79" s="610"/>
      <c r="R79" s="742"/>
      <c r="V79" t="s">
        <v>612</v>
      </c>
      <c r="Y79"/>
      <c r="Z79"/>
      <c r="AM79" s="1"/>
      <c r="BJ79" s="1"/>
      <c r="BU79" s="242"/>
      <c r="BV79" s="242"/>
      <c r="CY79"/>
      <c r="CZ79"/>
    </row>
    <row r="80" spans="1:110" hidden="1">
      <c r="A80" s="488" t="s">
        <v>406</v>
      </c>
      <c r="B80" s="483"/>
      <c r="C80" s="483"/>
      <c r="D80" s="483">
        <f>COUNTIF([0]!Januar,"Orlov")</f>
        <v>0</v>
      </c>
      <c r="E80" s="484"/>
      <c r="F80" s="489"/>
      <c r="G80" s="489"/>
      <c r="H80" s="489"/>
      <c r="I80" s="638" t="s">
        <v>567</v>
      </c>
      <c r="J80" s="638"/>
      <c r="K80" s="638"/>
      <c r="L80" s="638"/>
      <c r="M80" s="644"/>
      <c r="N80" s="644"/>
      <c r="O80" s="4"/>
      <c r="P80" s="637"/>
      <c r="R80" s="727">
        <f>IF(AND(C14="ikke relevant",S14="X"),V14*-1,0)</f>
        <v>0</v>
      </c>
      <c r="T80" s="727">
        <f>IF(AND(C14="ikke relevant",U14="X"),X14*-1,0)</f>
        <v>0</v>
      </c>
      <c r="V80">
        <f>IF(AND(C14="ikke relevant",H14&gt;""),R14*-1,0)</f>
        <v>0</v>
      </c>
      <c r="Y80"/>
      <c r="Z80"/>
      <c r="AM80" s="1"/>
      <c r="BJ80" s="1"/>
      <c r="BU80" s="242"/>
      <c r="BV80" s="242"/>
      <c r="CY80"/>
      <c r="CZ80"/>
    </row>
    <row r="81" spans="1:104" hidden="1">
      <c r="A81" s="483" t="s">
        <v>158</v>
      </c>
      <c r="B81" s="483"/>
      <c r="C81" s="483"/>
      <c r="D81" s="483">
        <f>COUNTIF([0]!Januar,"Ikke relevant")</f>
        <v>0</v>
      </c>
      <c r="E81" s="484"/>
      <c r="F81" s="483" t="s">
        <v>193</v>
      </c>
      <c r="G81" s="483">
        <f>COUNTIFS($B$14:$B$44,"ma",[0]!Januar,"Skema 3")</f>
        <v>0</v>
      </c>
      <c r="H81" s="483"/>
      <c r="I81" s="638"/>
      <c r="J81" s="638"/>
      <c r="K81" s="638"/>
      <c r="L81" s="496"/>
      <c r="M81" s="644"/>
      <c r="N81" s="644"/>
      <c r="O81" s="4"/>
      <c r="P81" s="637"/>
      <c r="R81" s="727">
        <f t="shared" ref="R81:R109" si="42">IF(AND(C15="ikke relevant",S15="X"),V15*-1,0)</f>
        <v>0</v>
      </c>
      <c r="T81" s="727">
        <f t="shared" ref="T81:T110" si="43">IF(AND(C15="ikke relevant",U15="X"),X15*-1,0)</f>
        <v>0</v>
      </c>
      <c r="V81">
        <f t="shared" ref="V81:V110" si="44">IF(AND(C15="ikke relevant",H15&gt;""),R15*-1,0)</f>
        <v>0</v>
      </c>
      <c r="Y81"/>
      <c r="Z81"/>
      <c r="AM81" s="1"/>
      <c r="BJ81" s="1"/>
      <c r="BU81" s="242"/>
      <c r="BV81" s="242"/>
      <c r="CY81"/>
      <c r="CZ81"/>
    </row>
    <row r="82" spans="1:104" hidden="1">
      <c r="A82" s="483" t="s">
        <v>107</v>
      </c>
      <c r="B82" s="483"/>
      <c r="C82" s="483"/>
      <c r="D82" s="483">
        <f>SUM(D69:D81)</f>
        <v>31</v>
      </c>
      <c r="E82" s="483"/>
      <c r="F82" s="483" t="s">
        <v>194</v>
      </c>
      <c r="G82" s="483">
        <f>COUNTIFS($B$14:$B$44,"ti",[0]!Januar,"Skema 3")</f>
        <v>0</v>
      </c>
      <c r="H82" s="483"/>
      <c r="I82" s="638"/>
      <c r="J82" s="638"/>
      <c r="K82" s="638"/>
      <c r="L82" s="496"/>
      <c r="M82" s="644"/>
      <c r="N82" s="644"/>
      <c r="O82" s="4"/>
      <c r="P82" s="637"/>
      <c r="R82" s="727">
        <f t="shared" si="42"/>
        <v>0</v>
      </c>
      <c r="T82" s="727">
        <f t="shared" si="43"/>
        <v>0</v>
      </c>
      <c r="V82">
        <f t="shared" si="44"/>
        <v>0</v>
      </c>
      <c r="Y82"/>
      <c r="Z82" s="1"/>
      <c r="AX82" s="1"/>
      <c r="BI82" s="242"/>
      <c r="BJ82" s="242"/>
      <c r="CY82"/>
      <c r="CZ82"/>
    </row>
    <row r="83" spans="1:104" hidden="1">
      <c r="A83" s="483" t="s">
        <v>236</v>
      </c>
      <c r="B83" s="483"/>
      <c r="C83" s="483"/>
      <c r="D83" s="483">
        <f>D82-D76-A92-D81</f>
        <v>21</v>
      </c>
      <c r="E83" s="490"/>
      <c r="F83" s="483" t="s">
        <v>195</v>
      </c>
      <c r="G83" s="483">
        <f>COUNTIFS($B$14:$B$44,"on",[0]!Januar,"Skema 3")</f>
        <v>0</v>
      </c>
      <c r="H83" s="483"/>
      <c r="I83" s="638"/>
      <c r="J83" s="638"/>
      <c r="K83" s="638"/>
      <c r="L83" s="496"/>
      <c r="M83" s="644"/>
      <c r="N83" s="644"/>
      <c r="O83" s="4"/>
      <c r="P83" s="637"/>
      <c r="R83" s="727">
        <f t="shared" si="42"/>
        <v>0</v>
      </c>
      <c r="T83" s="727">
        <f t="shared" si="43"/>
        <v>0</v>
      </c>
      <c r="V83">
        <f t="shared" si="44"/>
        <v>0</v>
      </c>
      <c r="Y83"/>
      <c r="Z83" s="1"/>
      <c r="AO83" s="1"/>
      <c r="BL83" s="1"/>
      <c r="BW83" s="242"/>
      <c r="BX83" s="242"/>
      <c r="CY83"/>
      <c r="CZ83"/>
    </row>
    <row r="84" spans="1:104" hidden="1">
      <c r="A84" s="483"/>
      <c r="B84" s="483"/>
      <c r="C84" s="483"/>
      <c r="D84" s="483"/>
      <c r="E84" s="483"/>
      <c r="F84" s="483" t="s">
        <v>196</v>
      </c>
      <c r="G84" s="483">
        <f>COUNTIFS($B$14:$B$44,"to",[0]!Januar,"Skema 3")</f>
        <v>0</v>
      </c>
      <c r="H84" s="483"/>
      <c r="I84" s="640"/>
      <c r="J84" s="638"/>
      <c r="K84" s="638"/>
      <c r="L84" s="496"/>
      <c r="M84" s="636"/>
      <c r="N84" s="636"/>
      <c r="O84" s="4"/>
      <c r="P84" s="637"/>
      <c r="R84" s="727">
        <f t="shared" si="42"/>
        <v>0</v>
      </c>
      <c r="T84" s="727">
        <f t="shared" si="43"/>
        <v>0</v>
      </c>
      <c r="V84">
        <f t="shared" si="44"/>
        <v>0</v>
      </c>
      <c r="Y84"/>
      <c r="Z84" s="1"/>
      <c r="AO84" s="1"/>
      <c r="BL84" s="1"/>
      <c r="BW84" s="242"/>
      <c r="BX84" s="242"/>
      <c r="CY84"/>
      <c r="CZ84"/>
    </row>
    <row r="85" spans="1:104" hidden="1">
      <c r="A85" s="483"/>
      <c r="B85" s="483"/>
      <c r="C85" s="483"/>
      <c r="D85" s="483"/>
      <c r="E85" s="483"/>
      <c r="F85" s="483" t="s">
        <v>197</v>
      </c>
      <c r="G85" s="483">
        <f>COUNTIFS($B$14:$B$44,"fr",[0]!Januar,"Skema 3")</f>
        <v>0</v>
      </c>
      <c r="H85" s="483"/>
      <c r="I85" s="491"/>
      <c r="J85" s="496"/>
      <c r="K85" s="496"/>
      <c r="L85" s="496"/>
      <c r="M85" s="4"/>
      <c r="N85" s="4"/>
      <c r="O85" s="4"/>
      <c r="P85" s="4"/>
      <c r="R85" s="727">
        <f t="shared" si="42"/>
        <v>0</v>
      </c>
      <c r="T85" s="727">
        <f t="shared" si="43"/>
        <v>0</v>
      </c>
      <c r="V85">
        <f t="shared" si="44"/>
        <v>0</v>
      </c>
      <c r="Y85"/>
      <c r="Z85" s="1"/>
      <c r="AO85" s="1"/>
      <c r="BL85" s="1"/>
      <c r="BW85" s="242"/>
      <c r="BX85" s="242"/>
      <c r="CY85"/>
      <c r="CZ85"/>
    </row>
    <row r="86" spans="1:104" hidden="1">
      <c r="A86" s="483" t="s">
        <v>289</v>
      </c>
      <c r="B86" s="483"/>
      <c r="C86" s="483"/>
      <c r="D86" s="483"/>
      <c r="E86" s="483"/>
      <c r="F86" s="483"/>
      <c r="G86" s="483"/>
      <c r="H86" s="483"/>
      <c r="I86" s="491"/>
      <c r="J86" s="496"/>
      <c r="K86" s="496"/>
      <c r="L86" s="496"/>
      <c r="M86" s="4"/>
      <c r="N86" s="4"/>
      <c r="O86" s="4"/>
      <c r="P86" s="4"/>
      <c r="R86" s="727">
        <f t="shared" si="42"/>
        <v>0</v>
      </c>
      <c r="T86" s="727">
        <f t="shared" si="43"/>
        <v>0</v>
      </c>
      <c r="V86">
        <f t="shared" si="44"/>
        <v>0</v>
      </c>
      <c r="Y86"/>
      <c r="Z86" s="1"/>
      <c r="AO86" s="1"/>
      <c r="BL86" s="1"/>
      <c r="BW86" s="242"/>
      <c r="BX86" s="242"/>
      <c r="CY86"/>
      <c r="CZ86"/>
    </row>
    <row r="87" spans="1:104" hidden="1">
      <c r="A87" s="483">
        <f>COUNTIF(C15:C16,"Skema 1")+COUNTIF(C15:C16,"Skema 2")+COUNTIF(C15:C16,"Skema 3")+COUNTIF(C15:C16,"Skema 4")+COUNTIF(C15:C16,"Fagdag")+COUNTIF(C15:C16,"Emnedag")+COUNTIF(C15:C16,"Lejrskole")+COUNTIF(C15:C16,"Ekskursion")+COUNTIF(C15:C16,"Pæd.dag")</f>
        <v>0</v>
      </c>
      <c r="B87" s="483"/>
      <c r="C87" s="483"/>
      <c r="D87" s="483"/>
      <c r="E87" s="483"/>
      <c r="F87" s="483" t="s">
        <v>198</v>
      </c>
      <c r="G87" s="483">
        <f>COUNTIFS($B$14:$B$44,"ma",[0]!Januar,"Skema 4")</f>
        <v>0</v>
      </c>
      <c r="H87" s="483"/>
      <c r="I87" s="491"/>
      <c r="J87" s="496"/>
      <c r="K87" s="496"/>
      <c r="L87" s="496"/>
      <c r="M87" s="4"/>
      <c r="N87" s="4"/>
      <c r="O87" s="4"/>
      <c r="P87" s="4"/>
      <c r="R87" s="727">
        <f t="shared" si="42"/>
        <v>0</v>
      </c>
      <c r="T87" s="727">
        <f t="shared" si="43"/>
        <v>0</v>
      </c>
      <c r="V87">
        <f t="shared" si="44"/>
        <v>0</v>
      </c>
      <c r="Y87"/>
      <c r="Z87" s="1"/>
      <c r="AO87" s="1"/>
      <c r="BL87" s="1"/>
      <c r="BW87" s="242"/>
      <c r="BX87" s="242"/>
      <c r="CY87"/>
      <c r="CZ87"/>
    </row>
    <row r="88" spans="1:104" hidden="1">
      <c r="A88" s="483">
        <f>COUNTIF(C22:C23,"Skema 1")+COUNTIF(C22:C23,"Skema 2")+COUNTIF(C22:C23,"Skema 3")+COUNTIF(C22:C23,"Skema 4")+COUNTIF(C22:C23,"Fagdag")+COUNTIF(C22:C23,"Emnedag")+COUNTIF(C22:C23,"Lejrskole")+COUNTIF(C22:C23,"Ekskursion")+COUNTIF(C22:C23,"Pæd.dag")</f>
        <v>0</v>
      </c>
      <c r="B88" s="483"/>
      <c r="C88" s="483"/>
      <c r="D88" s="483"/>
      <c r="E88" s="483"/>
      <c r="F88" s="483" t="s">
        <v>199</v>
      </c>
      <c r="G88" s="483">
        <f>COUNTIFS($B$14:$B$44,"ti",[0]!Januar,"Skema 4")</f>
        <v>0</v>
      </c>
      <c r="H88" s="483"/>
      <c r="I88" s="491"/>
      <c r="J88" s="496"/>
      <c r="K88" s="496"/>
      <c r="L88" s="496"/>
      <c r="M88" s="4"/>
      <c r="N88" s="4"/>
      <c r="O88" s="4"/>
      <c r="P88" s="4"/>
      <c r="R88" s="727">
        <f t="shared" si="42"/>
        <v>0</v>
      </c>
      <c r="T88" s="727">
        <f t="shared" si="43"/>
        <v>0</v>
      </c>
      <c r="V88">
        <f t="shared" si="44"/>
        <v>0</v>
      </c>
      <c r="Y88"/>
      <c r="Z88" s="1"/>
      <c r="AO88" s="1"/>
      <c r="BL88" s="1"/>
      <c r="BW88" s="242"/>
      <c r="BX88" s="242"/>
      <c r="CY88"/>
      <c r="CZ88"/>
    </row>
    <row r="89" spans="1:104" hidden="1">
      <c r="A89" s="483">
        <f>COUNTIF(C29:C30,"Skema 1")+COUNTIF(C29:C30,"Skema 2")+COUNTIF(C29:C30,"Skema 3")+COUNTIF(C29:C30,"Skema 4")+COUNTIF(C29:C30,"Fagdag")+COUNTIF(C29:C30,"Emnedag")+COUNTIF(C29:C30,"Lejrskole")+COUNTIF(C29:C30,"Ekskursion")+COUNTIF(C29:C30,"Pæd.dag")</f>
        <v>0</v>
      </c>
      <c r="B89" s="483"/>
      <c r="C89" s="483"/>
      <c r="D89" s="483"/>
      <c r="E89" s="483"/>
      <c r="F89" s="483" t="s">
        <v>200</v>
      </c>
      <c r="G89" s="483">
        <f>COUNTIFS($B$14:$B$44,"on",[0]!Januar,"Skema 4")</f>
        <v>0</v>
      </c>
      <c r="H89" s="483"/>
      <c r="I89" s="491"/>
      <c r="J89" s="496"/>
      <c r="K89" s="496"/>
      <c r="L89" s="496"/>
      <c r="M89" s="4"/>
      <c r="N89" s="4"/>
      <c r="O89" s="4"/>
      <c r="P89" s="4"/>
      <c r="R89" s="727">
        <f t="shared" si="42"/>
        <v>0</v>
      </c>
      <c r="T89" s="727">
        <f t="shared" si="43"/>
        <v>0</v>
      </c>
      <c r="V89">
        <f t="shared" si="44"/>
        <v>0</v>
      </c>
      <c r="Y89"/>
      <c r="Z89" s="1"/>
      <c r="AO89" s="1"/>
      <c r="BL89" s="1"/>
      <c r="BW89" s="242"/>
      <c r="BX89" s="242"/>
      <c r="CY89"/>
      <c r="CZ89"/>
    </row>
    <row r="90" spans="1:104" hidden="1">
      <c r="A90" s="483">
        <f>COUNTIF(C36:C37,"Skema 1")+COUNTIF(C36:C37,"Skema 2")+COUNTIF(C36:C37,"Skema 3")+COUNTIF(C36:C37,"Skema 4")+COUNTIF(C36:C37,"Fagdag")+COUNTIF(C36:C37,"Emnedag")+COUNTIF(C36:C37,"Lejrskole")+COUNTIF(C36:C37,"Ekskursion")+COUNTIF(C36:C37,"Pæd.dag")</f>
        <v>0</v>
      </c>
      <c r="B90" s="483"/>
      <c r="C90" s="483"/>
      <c r="D90" s="483"/>
      <c r="E90" s="483"/>
      <c r="F90" s="483" t="s">
        <v>201</v>
      </c>
      <c r="G90" s="483">
        <f>COUNTIFS($B$14:$B$44,"to",[0]!Januar,"Skema 4")</f>
        <v>0</v>
      </c>
      <c r="H90" s="483"/>
      <c r="I90" s="491"/>
      <c r="J90" s="496"/>
      <c r="K90" s="496"/>
      <c r="L90" s="496"/>
      <c r="M90" s="4"/>
      <c r="N90" s="4"/>
      <c r="O90" s="4"/>
      <c r="P90" s="4"/>
      <c r="R90" s="727">
        <f t="shared" si="42"/>
        <v>0</v>
      </c>
      <c r="T90" s="727">
        <f t="shared" si="43"/>
        <v>0</v>
      </c>
      <c r="V90">
        <f t="shared" si="44"/>
        <v>0</v>
      </c>
      <c r="Y90"/>
      <c r="Z90"/>
      <c r="AO90" s="1">
        <f>SUM(N90:AN90)</f>
        <v>0</v>
      </c>
      <c r="BL90" s="1">
        <f>SUM(AI90:BK90)</f>
        <v>0</v>
      </c>
      <c r="BW90" s="242"/>
      <c r="BX90" s="242"/>
      <c r="CY90"/>
      <c r="CZ90"/>
    </row>
    <row r="91" spans="1:104" hidden="1">
      <c r="A91" s="483">
        <f>COUNTIF(C43:C44,"Skema 1")+COUNTIF(C43:C44,"Skema 2")+COUNTIF(C43:C44,"Skema 3")+COUNTIF(C43:C44,"Skema 4")+COUNTIF(C43:C44,"Fagdag")+COUNTIF(C43:C44,"Emnedag")+COUNTIF(C43:C44,"Lejrskole")+COUNTIF(C43:C44,"Ekskursion")+COUNTIF(C43:C44,"Pæd.dag")</f>
        <v>0</v>
      </c>
      <c r="B91" s="483"/>
      <c r="C91" s="483"/>
      <c r="D91" s="483"/>
      <c r="E91" s="483"/>
      <c r="F91" s="483" t="s">
        <v>202</v>
      </c>
      <c r="G91" s="483">
        <f>COUNTIFS($B$14:$B$44,"fr",[0]!Januar,"Skema 4")</f>
        <v>0</v>
      </c>
      <c r="H91" s="483"/>
      <c r="I91" s="483"/>
      <c r="J91" s="486"/>
      <c r="K91" s="486"/>
      <c r="L91" s="38"/>
      <c r="R91" s="727">
        <f t="shared" si="42"/>
        <v>0</v>
      </c>
      <c r="T91" s="727">
        <f t="shared" si="43"/>
        <v>0</v>
      </c>
      <c r="V91">
        <f t="shared" si="44"/>
        <v>0</v>
      </c>
      <c r="Y91"/>
      <c r="Z91"/>
      <c r="AO91" s="1">
        <f>SUM(N91:AN91)</f>
        <v>0</v>
      </c>
      <c r="BL91" s="1">
        <f>SUM(AI91:BK91)</f>
        <v>0</v>
      </c>
      <c r="BW91" s="242"/>
      <c r="BX91" s="242"/>
      <c r="CY91"/>
      <c r="CZ91"/>
    </row>
    <row r="92" spans="1:104" hidden="1">
      <c r="A92" s="483">
        <f>SUM(A87:A91)</f>
        <v>0</v>
      </c>
      <c r="B92" s="483"/>
      <c r="C92" s="483"/>
      <c r="D92" s="483"/>
      <c r="E92" s="483"/>
      <c r="F92" s="483"/>
      <c r="G92" s="488">
        <f>SUM(G69:G91)</f>
        <v>14</v>
      </c>
      <c r="H92" s="486"/>
      <c r="I92" s="483"/>
      <c r="J92" s="486"/>
      <c r="K92" s="486"/>
      <c r="L92" s="38"/>
      <c r="R92" s="727">
        <f t="shared" si="42"/>
        <v>0</v>
      </c>
      <c r="T92" s="727">
        <f t="shared" si="43"/>
        <v>0</v>
      </c>
      <c r="V92">
        <f t="shared" si="44"/>
        <v>0</v>
      </c>
      <c r="Y92"/>
      <c r="Z92"/>
      <c r="AO92" s="1">
        <f>SUM(N92:AN92)</f>
        <v>0</v>
      </c>
      <c r="BL92" s="1">
        <f>SUM(AI92:BK92)</f>
        <v>0</v>
      </c>
      <c r="BW92" s="242"/>
      <c r="BX92" s="242"/>
      <c r="CY92"/>
      <c r="CZ92"/>
    </row>
    <row r="93" spans="1:104" hidden="1">
      <c r="A93" s="486"/>
      <c r="B93" s="486"/>
      <c r="C93" s="486"/>
      <c r="D93" s="486"/>
      <c r="E93" s="483"/>
      <c r="F93" s="483"/>
      <c r="G93" s="483"/>
      <c r="H93" s="38"/>
      <c r="I93" s="486"/>
      <c r="J93" s="486"/>
      <c r="K93" s="486"/>
      <c r="L93" s="38"/>
      <c r="R93" s="727">
        <f t="shared" si="42"/>
        <v>0</v>
      </c>
      <c r="T93" s="727">
        <f t="shared" si="43"/>
        <v>0</v>
      </c>
      <c r="V93">
        <f t="shared" si="44"/>
        <v>0</v>
      </c>
      <c r="Y93"/>
      <c r="Z93"/>
      <c r="AO93" s="1">
        <f>SUM(N93:AN93)</f>
        <v>0</v>
      </c>
      <c r="BL93" s="1">
        <f>SUM(AI93:BK93)</f>
        <v>0</v>
      </c>
      <c r="BW93" s="242"/>
      <c r="BX93" s="242"/>
      <c r="CY93"/>
      <c r="CZ93"/>
    </row>
    <row r="94" spans="1:104" hidden="1">
      <c r="A94" s="486"/>
      <c r="B94" s="486"/>
      <c r="C94" s="486"/>
      <c r="D94" s="486"/>
      <c r="E94" s="483"/>
      <c r="F94" s="483"/>
      <c r="G94" s="483"/>
      <c r="H94" s="38"/>
      <c r="I94" s="38"/>
      <c r="J94" s="486"/>
      <c r="K94" s="486"/>
      <c r="L94" s="38"/>
      <c r="R94" s="727">
        <f t="shared" si="42"/>
        <v>0</v>
      </c>
      <c r="T94" s="727">
        <f t="shared" si="43"/>
        <v>0</v>
      </c>
      <c r="V94">
        <f t="shared" si="44"/>
        <v>0</v>
      </c>
      <c r="Y94"/>
      <c r="Z94"/>
      <c r="BW94" s="242"/>
      <c r="BX94" s="242"/>
      <c r="CY94"/>
      <c r="CZ94"/>
    </row>
    <row r="95" spans="1:104" hidden="1">
      <c r="A95" s="486"/>
      <c r="B95" s="486"/>
      <c r="C95" s="486"/>
      <c r="D95" s="486"/>
      <c r="E95" s="483"/>
      <c r="F95" s="483"/>
      <c r="G95" s="483"/>
      <c r="H95" s="38"/>
      <c r="I95" s="38"/>
      <c r="J95" s="38"/>
      <c r="K95" s="38"/>
      <c r="L95" s="38"/>
      <c r="R95" s="727">
        <f t="shared" si="42"/>
        <v>0</v>
      </c>
      <c r="T95" s="727">
        <f t="shared" si="43"/>
        <v>0</v>
      </c>
      <c r="V95">
        <f t="shared" si="44"/>
        <v>0</v>
      </c>
      <c r="Y95"/>
      <c r="Z95"/>
      <c r="BW95" s="242"/>
      <c r="BX95" s="242"/>
      <c r="CY95"/>
      <c r="CZ95"/>
    </row>
    <row r="96" spans="1:104" hidden="1">
      <c r="A96" s="486"/>
      <c r="B96" s="486"/>
      <c r="C96" s="486"/>
      <c r="D96" s="486"/>
      <c r="E96" s="483"/>
      <c r="F96" s="483"/>
      <c r="G96" s="483"/>
      <c r="H96" s="38"/>
      <c r="I96" s="38"/>
      <c r="J96" s="38"/>
      <c r="K96" s="38"/>
      <c r="L96" s="38"/>
      <c r="R96" s="727">
        <f t="shared" si="42"/>
        <v>0</v>
      </c>
      <c r="T96" s="727">
        <f t="shared" si="43"/>
        <v>0</v>
      </c>
      <c r="V96">
        <f t="shared" si="44"/>
        <v>0</v>
      </c>
      <c r="Y96"/>
      <c r="Z96"/>
      <c r="BW96" s="242"/>
      <c r="BX96" s="242"/>
      <c r="CY96"/>
      <c r="CZ96"/>
    </row>
    <row r="97" spans="1:111" hidden="1">
      <c r="A97" s="486"/>
      <c r="B97" s="486"/>
      <c r="C97" s="486"/>
      <c r="D97" s="486"/>
      <c r="E97" s="483"/>
      <c r="F97" s="483"/>
      <c r="G97" s="483"/>
      <c r="I97" s="38"/>
      <c r="J97" s="38"/>
      <c r="K97" s="38"/>
      <c r="L97" s="38"/>
      <c r="R97" s="727">
        <f t="shared" si="42"/>
        <v>0</v>
      </c>
      <c r="T97" s="727">
        <f t="shared" si="43"/>
        <v>0</v>
      </c>
      <c r="V97">
        <f t="shared" si="44"/>
        <v>0</v>
      </c>
      <c r="Y97"/>
      <c r="Z97"/>
      <c r="BW97" s="242"/>
      <c r="BX97" s="242"/>
      <c r="CY97"/>
      <c r="CZ97"/>
    </row>
    <row r="98" spans="1:111" hidden="1">
      <c r="A98" s="486"/>
      <c r="B98" s="486"/>
      <c r="C98" s="486"/>
      <c r="D98" s="486"/>
      <c r="E98" s="483"/>
      <c r="F98" s="483"/>
      <c r="G98" s="483"/>
      <c r="I98" s="38"/>
      <c r="J98" s="38"/>
      <c r="K98" s="38"/>
      <c r="L98" s="38"/>
      <c r="R98" s="727">
        <f t="shared" si="42"/>
        <v>0</v>
      </c>
      <c r="T98" s="727">
        <f t="shared" si="43"/>
        <v>0</v>
      </c>
      <c r="V98">
        <f t="shared" si="44"/>
        <v>0</v>
      </c>
      <c r="Y98"/>
      <c r="Z98"/>
      <c r="AF98" s="226"/>
      <c r="BW98" s="242"/>
      <c r="BX98" s="242"/>
      <c r="CY98"/>
      <c r="CZ98"/>
    </row>
    <row r="99" spans="1:111" hidden="1">
      <c r="A99" s="486"/>
      <c r="B99" s="486"/>
      <c r="C99" s="486"/>
      <c r="D99" s="486"/>
      <c r="E99" s="483"/>
      <c r="F99" s="483"/>
      <c r="G99" s="483"/>
      <c r="I99" s="38"/>
      <c r="J99" s="38"/>
      <c r="K99" s="38"/>
      <c r="L99" s="38"/>
      <c r="R99" s="727">
        <f t="shared" si="42"/>
        <v>0</v>
      </c>
      <c r="T99" s="727">
        <f t="shared" si="43"/>
        <v>0</v>
      </c>
      <c r="V99">
        <f t="shared" si="44"/>
        <v>0</v>
      </c>
      <c r="Y99"/>
      <c r="Z99"/>
      <c r="AD99" s="4"/>
      <c r="AE99" s="226"/>
      <c r="AF99" s="226"/>
      <c r="AG99" s="226"/>
      <c r="AH99" s="226"/>
      <c r="CY99"/>
      <c r="CZ99"/>
      <c r="DF99" s="242"/>
      <c r="DG99" s="242"/>
    </row>
    <row r="100" spans="1:111" hidden="1">
      <c r="A100" s="486"/>
      <c r="B100" s="486"/>
      <c r="C100" s="486"/>
      <c r="D100" s="486"/>
      <c r="E100" s="483"/>
      <c r="F100" s="483"/>
      <c r="G100" s="483"/>
      <c r="I100" s="38"/>
      <c r="J100" s="38"/>
      <c r="K100" s="38"/>
      <c r="L100" s="38"/>
      <c r="R100" s="727">
        <f t="shared" si="42"/>
        <v>0</v>
      </c>
      <c r="T100" s="727">
        <f t="shared" si="43"/>
        <v>0</v>
      </c>
      <c r="V100">
        <f t="shared" si="44"/>
        <v>0</v>
      </c>
      <c r="Y100"/>
      <c r="Z100"/>
      <c r="AD100" s="4"/>
      <c r="AE100" s="226"/>
      <c r="AG100" s="226"/>
      <c r="AH100" s="226"/>
      <c r="CY100"/>
      <c r="CZ100"/>
      <c r="DF100" s="242"/>
      <c r="DG100" s="242"/>
    </row>
    <row r="101" spans="1:111" hidden="1">
      <c r="A101" s="486"/>
      <c r="B101" s="486"/>
      <c r="C101" s="486"/>
      <c r="D101" s="486"/>
      <c r="E101" s="483"/>
      <c r="F101" s="483"/>
      <c r="G101" s="483"/>
      <c r="I101" s="38"/>
      <c r="J101" s="38"/>
      <c r="K101" s="38"/>
      <c r="L101" s="38"/>
      <c r="R101" s="727">
        <f t="shared" si="42"/>
        <v>0</v>
      </c>
      <c r="T101" s="727">
        <f t="shared" si="43"/>
        <v>0</v>
      </c>
      <c r="V101">
        <f t="shared" si="44"/>
        <v>0</v>
      </c>
    </row>
    <row r="102" spans="1:111" hidden="1">
      <c r="E102" s="87"/>
      <c r="F102" s="87"/>
      <c r="G102" s="87"/>
      <c r="I102" s="38"/>
      <c r="J102" s="38"/>
      <c r="K102" s="38"/>
      <c r="L102" s="38"/>
      <c r="R102" s="727">
        <f t="shared" si="42"/>
        <v>0</v>
      </c>
      <c r="T102" s="727">
        <f t="shared" si="43"/>
        <v>0</v>
      </c>
      <c r="V102">
        <f t="shared" si="44"/>
        <v>0</v>
      </c>
    </row>
    <row r="103" spans="1:111" hidden="1">
      <c r="I103" s="38"/>
      <c r="J103" s="38"/>
      <c r="K103" s="38"/>
      <c r="L103" s="38"/>
      <c r="R103" s="727">
        <f t="shared" si="42"/>
        <v>0</v>
      </c>
      <c r="T103" s="727">
        <f t="shared" si="43"/>
        <v>0</v>
      </c>
      <c r="V103">
        <f t="shared" si="44"/>
        <v>0</v>
      </c>
    </row>
    <row r="104" spans="1:111" hidden="1">
      <c r="I104" s="38"/>
      <c r="J104" s="38"/>
      <c r="K104" s="38"/>
      <c r="L104" s="38"/>
      <c r="R104" s="727">
        <f t="shared" si="42"/>
        <v>0</v>
      </c>
      <c r="T104" s="727">
        <f t="shared" si="43"/>
        <v>0</v>
      </c>
      <c r="V104">
        <f t="shared" si="44"/>
        <v>0</v>
      </c>
    </row>
    <row r="105" spans="1:111" hidden="1">
      <c r="I105" s="38"/>
      <c r="J105" s="38"/>
      <c r="K105" s="38"/>
      <c r="L105" s="432"/>
      <c r="R105" s="727">
        <f t="shared" si="42"/>
        <v>0</v>
      </c>
      <c r="T105" s="727">
        <f t="shared" si="43"/>
        <v>0</v>
      </c>
      <c r="V105">
        <f t="shared" si="44"/>
        <v>0</v>
      </c>
    </row>
    <row r="106" spans="1:111" hidden="1">
      <c r="I106" s="38"/>
      <c r="J106" s="38"/>
      <c r="K106" s="38"/>
      <c r="L106" s="432"/>
      <c r="R106" s="727">
        <f t="shared" si="42"/>
        <v>0</v>
      </c>
      <c r="T106" s="727">
        <f t="shared" si="43"/>
        <v>0</v>
      </c>
      <c r="V106">
        <f t="shared" si="44"/>
        <v>0</v>
      </c>
    </row>
    <row r="107" spans="1:111" hidden="1">
      <c r="I107" s="38"/>
      <c r="J107" s="38"/>
      <c r="K107" s="38"/>
      <c r="L107" s="432"/>
      <c r="R107" s="727">
        <f t="shared" si="42"/>
        <v>0</v>
      </c>
      <c r="T107" s="727">
        <f t="shared" si="43"/>
        <v>0</v>
      </c>
      <c r="V107">
        <f t="shared" si="44"/>
        <v>0</v>
      </c>
    </row>
    <row r="108" spans="1:111" hidden="1">
      <c r="I108" s="432"/>
      <c r="J108" s="38"/>
      <c r="K108" s="38"/>
      <c r="L108" s="432"/>
      <c r="R108" s="727">
        <f t="shared" si="42"/>
        <v>0</v>
      </c>
      <c r="T108" s="727">
        <f t="shared" si="43"/>
        <v>0</v>
      </c>
      <c r="V108">
        <f t="shared" si="44"/>
        <v>0</v>
      </c>
    </row>
    <row r="109" spans="1:111" hidden="1">
      <c r="I109" s="432"/>
      <c r="J109" s="432"/>
      <c r="K109" s="432"/>
      <c r="L109" s="432"/>
      <c r="R109" s="727">
        <f t="shared" si="42"/>
        <v>0</v>
      </c>
      <c r="T109" s="727">
        <f t="shared" si="43"/>
        <v>0</v>
      </c>
      <c r="V109">
        <f t="shared" si="44"/>
        <v>0</v>
      </c>
    </row>
    <row r="110" spans="1:111" ht="17" hidden="1" thickBot="1">
      <c r="I110" s="432"/>
      <c r="J110" s="432"/>
      <c r="K110" s="432"/>
      <c r="L110" s="432"/>
      <c r="R110" s="727">
        <f>IF(AND(C44="ikke relevant",S44="X"),V44*-1,0)</f>
        <v>0</v>
      </c>
      <c r="T110" s="727">
        <f t="shared" si="43"/>
        <v>0</v>
      </c>
      <c r="V110">
        <f t="shared" si="44"/>
        <v>0</v>
      </c>
    </row>
    <row r="111" spans="1:111" ht="17" hidden="1" thickBot="1">
      <c r="I111" s="432"/>
      <c r="J111" s="432"/>
      <c r="K111" s="432"/>
      <c r="L111" s="432"/>
      <c r="P111" t="s">
        <v>664</v>
      </c>
      <c r="R111" s="669">
        <f>SUM(R80:R110)</f>
        <v>0</v>
      </c>
      <c r="S111" s="669">
        <f>SUM(S80:S110)</f>
        <v>0</v>
      </c>
      <c r="T111" s="669">
        <f>SUM(T80:T110)</f>
        <v>0</v>
      </c>
      <c r="V111">
        <f>SUM(V80:V110)</f>
        <v>0</v>
      </c>
    </row>
    <row r="112" spans="1:111" ht="16" hidden="1" customHeight="1">
      <c r="I112" s="432"/>
      <c r="J112" s="432"/>
      <c r="K112" s="432"/>
      <c r="L112" s="432"/>
      <c r="R112" s="1030" t="s">
        <v>666</v>
      </c>
      <c r="T112" s="1030" t="s">
        <v>667</v>
      </c>
    </row>
    <row r="113" spans="18:20" hidden="1">
      <c r="R113" s="884"/>
      <c r="T113" s="884"/>
    </row>
    <row r="114" spans="18:20" hidden="1">
      <c r="R114" s="884"/>
      <c r="T114" s="884"/>
    </row>
    <row r="115" spans="18:20" hidden="1">
      <c r="R115" s="884"/>
      <c r="T115" s="884"/>
    </row>
    <row r="116" spans="18:20" hidden="1"/>
    <row r="117" spans="18:20" hidden="1"/>
    <row r="118" spans="18:20" hidden="1"/>
    <row r="119" spans="18:20" hidden="1"/>
    <row r="120" spans="18:20" hidden="1"/>
    <row r="121" spans="18:20" hidden="1"/>
    <row r="122" spans="18:20" hidden="1"/>
  </sheetData>
  <sheetProtection sheet="1" objects="1" scenarios="1"/>
  <mergeCells count="199">
    <mergeCell ref="DO11:DV11"/>
    <mergeCell ref="M55:U55"/>
    <mergeCell ref="FQ13:FR13"/>
    <mergeCell ref="DS13:DV13"/>
    <mergeCell ref="A3:H3"/>
    <mergeCell ref="A4:B4"/>
    <mergeCell ref="C4:D4"/>
    <mergeCell ref="E4:F4"/>
    <mergeCell ref="G4:H4"/>
    <mergeCell ref="I4:J4"/>
    <mergeCell ref="A5:B5"/>
    <mergeCell ref="C5:D5"/>
    <mergeCell ref="E5:F5"/>
    <mergeCell ref="G5:H5"/>
    <mergeCell ref="A6:B6"/>
    <mergeCell ref="C6:D6"/>
    <mergeCell ref="E6:F6"/>
    <mergeCell ref="G6:H6"/>
    <mergeCell ref="A7:B7"/>
    <mergeCell ref="C7:D7"/>
    <mergeCell ref="E7:F7"/>
    <mergeCell ref="G7:H7"/>
    <mergeCell ref="FI8:GC8"/>
    <mergeCell ref="FI9:FL9"/>
    <mergeCell ref="FO9:FR9"/>
    <mergeCell ref="A49:G49"/>
    <mergeCell ref="FO11:FR11"/>
    <mergeCell ref="FS11:FT11"/>
    <mergeCell ref="GB11:GC11"/>
    <mergeCell ref="FC10:FF10"/>
    <mergeCell ref="FG10:FJ10"/>
    <mergeCell ref="FK10:FX10"/>
    <mergeCell ref="A67:G67"/>
    <mergeCell ref="I67:K67"/>
    <mergeCell ref="E41:G41"/>
    <mergeCell ref="E42:G42"/>
    <mergeCell ref="E43:G43"/>
    <mergeCell ref="E44:G44"/>
    <mergeCell ref="A45:I45"/>
    <mergeCell ref="M52:X52"/>
    <mergeCell ref="M53:U53"/>
    <mergeCell ref="V53:X53"/>
    <mergeCell ref="M54:U54"/>
    <mergeCell ref="V54:X54"/>
    <mergeCell ref="I49:K49"/>
    <mergeCell ref="A50:G50"/>
    <mergeCell ref="I50:K50"/>
    <mergeCell ref="A53:H53"/>
    <mergeCell ref="I53:K53"/>
    <mergeCell ref="I63:K63"/>
    <mergeCell ref="A64:B64"/>
    <mergeCell ref="V55:X55"/>
    <mergeCell ref="A47:G47"/>
    <mergeCell ref="I47:K47"/>
    <mergeCell ref="A48:G48"/>
    <mergeCell ref="I48:K48"/>
    <mergeCell ref="M47:X47"/>
    <mergeCell ref="M48:U48"/>
    <mergeCell ref="V48:X48"/>
    <mergeCell ref="M49:U49"/>
    <mergeCell ref="V49:X49"/>
    <mergeCell ref="M50:U50"/>
    <mergeCell ref="V50:X50"/>
    <mergeCell ref="M51:U51"/>
    <mergeCell ref="V51:X51"/>
    <mergeCell ref="A54:H54"/>
    <mergeCell ref="I54:K54"/>
    <mergeCell ref="A55:H55"/>
    <mergeCell ref="I55:K55"/>
    <mergeCell ref="A51:G51"/>
    <mergeCell ref="I51:K51"/>
    <mergeCell ref="A52:G52"/>
    <mergeCell ref="I52:K52"/>
    <mergeCell ref="E64:G64"/>
    <mergeCell ref="I64:K64"/>
    <mergeCell ref="I56:K56"/>
    <mergeCell ref="M56:U56"/>
    <mergeCell ref="V56:X56"/>
    <mergeCell ref="A72:C72"/>
    <mergeCell ref="A70:C70"/>
    <mergeCell ref="A71:C71"/>
    <mergeCell ref="M57:U57"/>
    <mergeCell ref="V57:X57"/>
    <mergeCell ref="A58:G59"/>
    <mergeCell ref="I58:K58"/>
    <mergeCell ref="M58:U58"/>
    <mergeCell ref="V58:X58"/>
    <mergeCell ref="I59:K59"/>
    <mergeCell ref="A60:G60"/>
    <mergeCell ref="A61:K61"/>
    <mergeCell ref="A62:B62"/>
    <mergeCell ref="C62:D62"/>
    <mergeCell ref="E62:G62"/>
    <mergeCell ref="H62:K62"/>
    <mergeCell ref="A63:B63"/>
    <mergeCell ref="C63:D63"/>
    <mergeCell ref="E63:G63"/>
    <mergeCell ref="E28:G28"/>
    <mergeCell ref="E29:G29"/>
    <mergeCell ref="E30:G30"/>
    <mergeCell ref="E31:G31"/>
    <mergeCell ref="E32:G32"/>
    <mergeCell ref="E33:G33"/>
    <mergeCell ref="E38:G38"/>
    <mergeCell ref="E39:G39"/>
    <mergeCell ref="E37:G37"/>
    <mergeCell ref="B2:E2"/>
    <mergeCell ref="E9:G9"/>
    <mergeCell ref="K9:L9"/>
    <mergeCell ref="A10:R10"/>
    <mergeCell ref="P11:P12"/>
    <mergeCell ref="Q11:Q12"/>
    <mergeCell ref="R11:R12"/>
    <mergeCell ref="A9:D9"/>
    <mergeCell ref="S10:X10"/>
    <mergeCell ref="A8:X8"/>
    <mergeCell ref="E11:G13"/>
    <mergeCell ref="K11:L11"/>
    <mergeCell ref="N11:N12"/>
    <mergeCell ref="O11:O12"/>
    <mergeCell ref="K13:R13"/>
    <mergeCell ref="S11:X11"/>
    <mergeCell ref="S13:U13"/>
    <mergeCell ref="V13:X13"/>
    <mergeCell ref="A12:D13"/>
    <mergeCell ref="H12:H13"/>
    <mergeCell ref="J11:J13"/>
    <mergeCell ref="AA11:AE11"/>
    <mergeCell ref="I11:I13"/>
    <mergeCell ref="A65:B65"/>
    <mergeCell ref="C65:D65"/>
    <mergeCell ref="E65:G65"/>
    <mergeCell ref="I65:K65"/>
    <mergeCell ref="A66:B66"/>
    <mergeCell ref="C66:D66"/>
    <mergeCell ref="E66:G66"/>
    <mergeCell ref="I66:K66"/>
    <mergeCell ref="E20:G20"/>
    <mergeCell ref="E21:G21"/>
    <mergeCell ref="E22:G22"/>
    <mergeCell ref="E23:G23"/>
    <mergeCell ref="E24:G24"/>
    <mergeCell ref="E25:G25"/>
    <mergeCell ref="E26:G26"/>
    <mergeCell ref="E27:G27"/>
    <mergeCell ref="E34:G34"/>
    <mergeCell ref="E35:G35"/>
    <mergeCell ref="E36:G36"/>
    <mergeCell ref="I60:K60"/>
    <mergeCell ref="C64:D64"/>
    <mergeCell ref="E40:G40"/>
    <mergeCell ref="EU11:EX11"/>
    <mergeCell ref="EY11:FB11"/>
    <mergeCell ref="FC11:FF11"/>
    <mergeCell ref="FG11:FJ11"/>
    <mergeCell ref="AG11:AK11"/>
    <mergeCell ref="E16:G16"/>
    <mergeCell ref="E17:G17"/>
    <mergeCell ref="E18:G18"/>
    <mergeCell ref="E19:G19"/>
    <mergeCell ref="DA11:DE11"/>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R112:R115"/>
    <mergeCell ref="T112:T115"/>
    <mergeCell ref="FK11:FN11"/>
    <mergeCell ref="FU11:FX11"/>
    <mergeCell ref="FY11:FZ11"/>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DW11:ED11"/>
    <mergeCell ref="EE11:EH11"/>
    <mergeCell ref="EI11:EL11"/>
    <mergeCell ref="EM11:EP11"/>
    <mergeCell ref="EQ11:ET11"/>
  </mergeCells>
  <conditionalFormatting sqref="A14:H14 D15:H36 A15:C44 D37:E37 H37 D38:H44">
    <cfRule type="expression" dxfId="669" priority="62" stopIfTrue="1">
      <formula>OR($C14="Orlov")</formula>
    </cfRule>
    <cfRule type="expression" dxfId="668" priority="56">
      <formula>OR($C14="ekskursion")</formula>
    </cfRule>
    <cfRule type="expression" dxfId="667" priority="49">
      <formula>OR($C14="skema 2")</formula>
    </cfRule>
    <cfRule type="expression" dxfId="666" priority="50">
      <formula>OR($C14="Skema 3")</formula>
    </cfRule>
    <cfRule type="expression" dxfId="665" priority="51">
      <formula>OR($C14="Skema 4")</formula>
    </cfRule>
    <cfRule type="expression" dxfId="664" priority="52">
      <formula>OR($C14="Ikke relevant")</formula>
    </cfRule>
    <cfRule type="expression" dxfId="663" priority="53">
      <formula>OR($C14="pæd.dag")</formula>
    </cfRule>
    <cfRule type="expression" dxfId="662" priority="54">
      <formula>OR($C14="nul-dag")</formula>
    </cfRule>
    <cfRule type="expression" dxfId="661" priority="55">
      <formula>OR($C14="SH-dag")</formula>
    </cfRule>
    <cfRule type="expression" dxfId="660" priority="61">
      <formula>OR($C14="weekend")</formula>
    </cfRule>
    <cfRule type="expression" dxfId="659" priority="60">
      <formula>OR($C14="feriedag")</formula>
    </cfRule>
    <cfRule type="expression" dxfId="658" priority="59">
      <formula>OR($C14="fagdag")</formula>
    </cfRule>
    <cfRule type="expression" dxfId="657" priority="58">
      <formula>OR($C14="emnedag")</formula>
    </cfRule>
    <cfRule type="expression" dxfId="656" priority="48">
      <formula>OR($C14="Skema 1")</formula>
    </cfRule>
    <cfRule type="expression" dxfId="655" priority="57">
      <formula>OR($C14="lejrskole")</formula>
    </cfRule>
  </conditionalFormatting>
  <conditionalFormatting sqref="E25">
    <cfRule type="expression" dxfId="654" priority="69">
      <formula>OR($D24="fagdag")</formula>
    </cfRule>
    <cfRule type="expression" dxfId="653" priority="66">
      <formula>OR($D24="ekskursion")</formula>
    </cfRule>
    <cfRule type="expression" dxfId="652" priority="65">
      <formula>OR($D24="SH-dag")</formula>
    </cfRule>
    <cfRule type="expression" dxfId="651" priority="64">
      <formula>OR($D24="nul-dag")</formula>
    </cfRule>
    <cfRule type="expression" dxfId="650" priority="67">
      <formula>OR($D24="lejrskole")</formula>
    </cfRule>
    <cfRule type="expression" dxfId="649" priority="68">
      <formula>OR($D24="emnedag")</formula>
    </cfRule>
    <cfRule type="expression" dxfId="648" priority="70">
      <formula>OR($D24="feriedag")</formula>
    </cfRule>
    <cfRule type="expression" dxfId="647" priority="71">
      <formula>OR($D24="weekend")</formula>
    </cfRule>
    <cfRule type="expression" dxfId="646" priority="72" stopIfTrue="1">
      <formula>OR($D24="skoledag")</formula>
    </cfRule>
    <cfRule type="expression" dxfId="645" priority="73">
      <formula>OR($D24="Ikke relevant")</formula>
    </cfRule>
    <cfRule type="expression" dxfId="644" priority="63">
      <formula>OR($D24="pæd.dag")</formula>
    </cfRule>
  </conditionalFormatting>
  <conditionalFormatting sqref="H63:H66">
    <cfRule type="expression" dxfId="643" priority="1">
      <formula>OR($A63&gt;0,)</formula>
    </cfRule>
  </conditionalFormatting>
  <conditionalFormatting sqref="I63:I66">
    <cfRule type="expression" dxfId="642" priority="2">
      <formula>OR($C63&gt;0,)</formula>
    </cfRule>
  </conditionalFormatting>
  <conditionalFormatting sqref="K14:K44">
    <cfRule type="expression" dxfId="641" priority="45">
      <formula>OR($C14="Pæd.dag",)</formula>
    </cfRule>
  </conditionalFormatting>
  <conditionalFormatting sqref="K14:L44">
    <cfRule type="expression" dxfId="640" priority="47">
      <formula>OR($C14="Ekskursion",)</formula>
    </cfRule>
    <cfRule type="expression" dxfId="639" priority="46">
      <formula>OR($C14="Lejrskole",)</formula>
    </cfRule>
  </conditionalFormatting>
  <conditionalFormatting sqref="K14:M44">
    <cfRule type="expression" dxfId="638" priority="44">
      <formula>OR($C14="emnedag",)</formula>
    </cfRule>
    <cfRule type="expression" dxfId="637" priority="43">
      <formula>OR($C14="fagdag",)</formula>
    </cfRule>
  </conditionalFormatting>
  <conditionalFormatting sqref="R14:R44">
    <cfRule type="expression" dxfId="636" priority="74">
      <formula>OR($H14&gt;"0",)</formula>
    </cfRule>
  </conditionalFormatting>
  <conditionalFormatting sqref="V14:V44">
    <cfRule type="expression" dxfId="635" priority="10">
      <formula>OR($S14="X",)</formula>
    </cfRule>
  </conditionalFormatting>
  <conditionalFormatting sqref="V54:X57">
    <cfRule type="expression" dxfId="634" priority="3">
      <formula>OR($M54&gt;0,)</formula>
    </cfRule>
  </conditionalFormatting>
  <conditionalFormatting sqref="W14:W44">
    <cfRule type="expression" dxfId="633" priority="9">
      <formula>OR($T14="X",)</formula>
    </cfRule>
  </conditionalFormatting>
  <conditionalFormatting sqref="X14:X44">
    <cfRule type="expression" dxfId="632" priority="8">
      <formula>OR($U14="X",)</formula>
    </cfRule>
  </conditionalFormatting>
  <dataValidations count="1">
    <dataValidation type="list" allowBlank="1" showInputMessage="1" showErrorMessage="1" sqref="S14:T44 U14:U42 A63:D66" xr:uid="{EFFC1661-37AB-2243-AA06-C616F29CF368}">
      <formula1>$W$1:$W$2</formula1>
    </dataValidation>
  </dataValidations>
  <hyperlinks>
    <hyperlink ref="E4:F4" location="Arbejdstidsoversigt!A19" display="Arbejdstids-oversigt" xr:uid="{A90E18B0-DBF6-1847-A58F-387B4A26B224}"/>
    <hyperlink ref="G4:H4" location="Opgørelse!B12" display="Opgørelse" xr:uid="{69233318-82FA-7B47-8BE9-70703CA8C0B3}"/>
    <hyperlink ref="A5:B5" location="August!A12" display="August" xr:uid="{B733C70A-2F6D-624E-9C96-FD27D9670FCA}"/>
    <hyperlink ref="C5:D5" location="September!A8" display="September" xr:uid="{A6E8D055-20AC-F745-AB50-4F0E26E3DC6C}"/>
    <hyperlink ref="E5:F5" location="Oktober!A8" display="Oktober" xr:uid="{549D4A71-E9EB-844B-A082-87CA76FE5EE1}"/>
    <hyperlink ref="G5:H5" location="November!A8" display="November" xr:uid="{8ABB3A24-D0BF-CA42-9971-8C208D661DCC}"/>
    <hyperlink ref="A6:B6" location="December!A8" display="December" xr:uid="{629AAF55-98E1-6048-9198-5E4C2E4386FD}"/>
    <hyperlink ref="C6:D6" location="Januar!A8" display="Januar" xr:uid="{8E2DDE26-8FEA-1B4F-A5F3-2AF91FD697AF}"/>
    <hyperlink ref="E6:F6" location="Februar!A8" display="Februar" xr:uid="{320AC139-1BA4-DF42-83FA-218494EC46A4}"/>
    <hyperlink ref="A7:B7" location="April!A8" display="April" xr:uid="{572DEF9C-7C57-A449-8BC7-D6D4935A0C81}"/>
    <hyperlink ref="C7:D7" location="Maj!A8" display="Maj" xr:uid="{6C6602CF-A46B-2D47-AC0C-90E8E98D0F05}"/>
    <hyperlink ref="E7:F7" location="Juni!A8" display="Juni" xr:uid="{84E5B58E-DEE8-F445-AF9D-53304E7B57ED}"/>
    <hyperlink ref="G7:H7" location="Juli!A8" display="Juli" xr:uid="{2501F02C-7F39-6849-9715-F171AEEE482C}"/>
    <hyperlink ref="G6:H6" location="Marts!A8" display="Marts" xr:uid="{B6A344D1-D9C7-E34A-AA66-DE07D8DE216C}"/>
    <hyperlink ref="I4:J4" location="Stamoplysninger!E18" display="Stamoplysninger" xr:uid="{BC27A71D-1CD3-FB4D-9DBF-423D74027D85}"/>
    <hyperlink ref="C4:D4" location="Opgaver!A8" display="Opgaver" xr:uid="{98413807-7953-D847-BB83-B7CD7E5D8806}"/>
    <hyperlink ref="A4:B4" location="Skemaoplysninger!A20" display="Skemaoplysninger" xr:uid="{5F611098-6FD3-7A49-B6DF-34E1D2587A86}"/>
  </hyperlinks>
  <pageMargins left="0.7" right="0.7" top="0.75" bottom="0.75" header="0.3" footer="0.3"/>
  <pageSetup paperSize="9" scale="59" orientation="landscape" horizontalDpi="0" verticalDpi="0"/>
  <drawing r:id="rId1"/>
  <legacyDrawing r:id="rId2"/>
  <extLst>
    <ext xmlns:x14="http://schemas.microsoft.com/office/spreadsheetml/2009/9/main" uri="{CCE6A557-97BC-4b89-ADB6-D9C93CAAB3DF}">
      <x14:dataValidations xmlns:xm="http://schemas.microsoft.com/office/excel/2006/main" count="1">
        <x14:dataValidation type="list" allowBlank="1" showInputMessage="1" xr:uid="{E6625806-53BB-7E43-BA78-1A10D5E9B8F4}">
          <x14:formula1>
            <xm:f>August!$A$94:$A$108</xm:f>
          </x14:formula1>
          <xm:sqref>C14:C44</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C4DB2-C5D5-C248-B4EF-D7B4F6B3C5D9}">
  <sheetPr>
    <tabColor theme="4" tint="-0.249977111117893"/>
    <pageSetUpPr fitToPage="1"/>
  </sheetPr>
  <dimension ref="A1:GR119"/>
  <sheetViews>
    <sheetView topLeftCell="A11" zoomScale="92" workbookViewId="0">
      <selection activeCell="E29" sqref="E29:G29"/>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200" width="10.83203125" hidden="1" customWidth="1"/>
    <col min="201" max="218" width="10.83203125"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87"/>
      <c r="Y1"/>
      <c r="Z1" s="87"/>
      <c r="AB1" s="87"/>
      <c r="AC1" s="87"/>
      <c r="AH1" s="87"/>
      <c r="AI1" s="87"/>
      <c r="CX1" s="242"/>
      <c r="CZ1"/>
    </row>
    <row r="2" spans="1:198" ht="20">
      <c r="A2" s="89">
        <v>2</v>
      </c>
      <c r="B2" s="1252"/>
      <c r="C2" s="1252"/>
      <c r="D2" s="1252"/>
      <c r="E2" s="1252"/>
      <c r="F2" s="87"/>
      <c r="G2" s="87"/>
      <c r="H2" s="273"/>
      <c r="I2" s="272"/>
      <c r="J2" s="225"/>
      <c r="K2" s="225"/>
      <c r="L2" s="225"/>
      <c r="M2" s="225"/>
      <c r="N2" s="225"/>
      <c r="O2" s="225"/>
      <c r="P2" s="87"/>
      <c r="Q2" s="87"/>
      <c r="R2" s="87"/>
      <c r="S2" s="87"/>
      <c r="T2" s="87"/>
      <c r="U2" s="87"/>
      <c r="V2" s="87"/>
      <c r="W2" s="120" t="s">
        <v>31</v>
      </c>
      <c r="X2" s="120" t="s">
        <v>31</v>
      </c>
      <c r="Y2"/>
      <c r="Z2" s="87"/>
      <c r="AA2" s="87"/>
      <c r="AE2" s="87"/>
      <c r="AG2" s="87"/>
      <c r="CV2" s="242"/>
      <c r="CW2" s="242"/>
      <c r="CY2"/>
      <c r="CZ2"/>
    </row>
    <row r="3" spans="1:198" ht="24" customHeight="1" thickBot="1">
      <c r="A3" s="864" t="s">
        <v>689</v>
      </c>
      <c r="B3" s="864"/>
      <c r="C3" s="864"/>
      <c r="D3" s="864"/>
      <c r="E3" s="864"/>
      <c r="F3" s="864"/>
      <c r="G3" s="864"/>
      <c r="H3" s="864"/>
      <c r="I3" s="723"/>
      <c r="J3" s="723"/>
      <c r="K3" s="723"/>
      <c r="L3" s="723"/>
      <c r="M3" s="723"/>
      <c r="N3" s="723"/>
      <c r="O3" s="723"/>
      <c r="P3" s="723"/>
      <c r="Q3" s="723"/>
      <c r="R3" s="723"/>
      <c r="S3" s="723"/>
      <c r="T3" s="723"/>
      <c r="Y3"/>
      <c r="Z3"/>
      <c r="AP3" s="38"/>
      <c r="CY3"/>
      <c r="CZ3"/>
    </row>
    <row r="4" spans="1:198" ht="50" customHeight="1" thickBot="1">
      <c r="A4" s="1226" t="s">
        <v>691</v>
      </c>
      <c r="B4" s="1227"/>
      <c r="C4" s="867" t="s">
        <v>495</v>
      </c>
      <c r="D4" s="868"/>
      <c r="E4" s="869" t="s">
        <v>688</v>
      </c>
      <c r="F4" s="870"/>
      <c r="G4" s="965" t="s">
        <v>367</v>
      </c>
      <c r="H4" s="966"/>
      <c r="I4" s="871" t="s">
        <v>687</v>
      </c>
      <c r="J4" s="1018"/>
      <c r="K4" s="628"/>
      <c r="Y4"/>
      <c r="Z4"/>
      <c r="CY4"/>
      <c r="CZ4"/>
    </row>
    <row r="5" spans="1:198" ht="50" customHeight="1" thickBot="1">
      <c r="A5" s="873" t="s">
        <v>231</v>
      </c>
      <c r="B5" s="873"/>
      <c r="C5" s="1228" t="s">
        <v>233</v>
      </c>
      <c r="D5" s="1228"/>
      <c r="E5" s="873" t="s">
        <v>234</v>
      </c>
      <c r="F5" s="873"/>
      <c r="G5" s="873" t="s">
        <v>235</v>
      </c>
      <c r="H5" s="873"/>
      <c r="Y5"/>
      <c r="Z5"/>
      <c r="CY5"/>
      <c r="CZ5"/>
    </row>
    <row r="6" spans="1:198" ht="50" customHeight="1" thickBot="1">
      <c r="A6" s="873" t="s">
        <v>279</v>
      </c>
      <c r="B6" s="873"/>
      <c r="C6" s="873" t="s">
        <v>280</v>
      </c>
      <c r="D6" s="873"/>
      <c r="E6" s="873" t="s">
        <v>281</v>
      </c>
      <c r="F6" s="873"/>
      <c r="G6" s="873" t="s">
        <v>282</v>
      </c>
      <c r="H6" s="873"/>
      <c r="Y6"/>
      <c r="Z6"/>
      <c r="CY6"/>
      <c r="CZ6"/>
    </row>
    <row r="7" spans="1:198" ht="50" customHeight="1" thickBot="1">
      <c r="A7" s="873" t="s">
        <v>283</v>
      </c>
      <c r="B7" s="873"/>
      <c r="C7" s="873" t="s">
        <v>284</v>
      </c>
      <c r="D7" s="873"/>
      <c r="E7" s="873" t="s">
        <v>285</v>
      </c>
      <c r="F7" s="873"/>
      <c r="G7" s="873" t="s">
        <v>286</v>
      </c>
      <c r="H7" s="873"/>
      <c r="Y7"/>
      <c r="Z7"/>
      <c r="CY7"/>
      <c r="CZ7"/>
    </row>
    <row r="8" spans="1:198" ht="17" thickBot="1">
      <c r="A8" s="1273" t="s">
        <v>306</v>
      </c>
      <c r="B8" s="1274"/>
      <c r="C8" s="1274"/>
      <c r="D8" s="1274"/>
      <c r="E8" s="1274"/>
      <c r="F8" s="1274"/>
      <c r="G8" s="1274"/>
      <c r="H8" s="1274"/>
      <c r="I8" s="1274"/>
      <c r="J8" s="1274"/>
      <c r="K8" s="1274"/>
      <c r="L8" s="1274"/>
      <c r="M8" s="1274"/>
      <c r="N8" s="1274"/>
      <c r="O8" s="1274"/>
      <c r="P8" s="1274"/>
      <c r="Q8" s="1274"/>
      <c r="R8" s="1274"/>
      <c r="S8" s="1274"/>
      <c r="T8" s="1274"/>
      <c r="U8" s="1274"/>
      <c r="V8" s="1274"/>
      <c r="W8" s="1274"/>
      <c r="X8" s="1275"/>
      <c r="Y8" s="87"/>
      <c r="Z8"/>
      <c r="AC8" s="87"/>
      <c r="AD8" s="87"/>
      <c r="AF8" s="87"/>
      <c r="CT8" s="242"/>
      <c r="CU8" s="242"/>
      <c r="CY8"/>
      <c r="CZ8"/>
      <c r="FI8" s="1179" t="s">
        <v>584</v>
      </c>
      <c r="FJ8" s="1180"/>
      <c r="FK8" s="1180"/>
      <c r="FL8" s="1180"/>
      <c r="FM8" s="1180"/>
      <c r="FN8" s="1180"/>
      <c r="FO8" s="1180"/>
      <c r="FP8" s="1180"/>
      <c r="FQ8" s="1180"/>
      <c r="FR8" s="1180"/>
      <c r="FS8" s="1180"/>
      <c r="FT8" s="1180"/>
      <c r="FU8" s="1180"/>
      <c r="FV8" s="1180"/>
      <c r="FW8" s="1180"/>
      <c r="FX8" s="1180"/>
      <c r="FY8" s="1180"/>
      <c r="FZ8" s="1180"/>
      <c r="GA8" s="1180"/>
      <c r="GB8" s="1180"/>
      <c r="GC8" s="1181"/>
    </row>
    <row r="9" spans="1:198" ht="254" customHeight="1" thickBot="1">
      <c r="A9" s="1066" t="s">
        <v>421</v>
      </c>
      <c r="B9" s="1067"/>
      <c r="C9" s="1067"/>
      <c r="D9" s="1067"/>
      <c r="E9" s="1068" t="s">
        <v>307</v>
      </c>
      <c r="F9" s="1068"/>
      <c r="G9" s="1068"/>
      <c r="H9" s="274" t="s">
        <v>404</v>
      </c>
      <c r="I9" s="425"/>
      <c r="J9" s="425"/>
      <c r="K9" s="1078" t="s">
        <v>496</v>
      </c>
      <c r="L9" s="1078"/>
      <c r="M9" s="471" t="s">
        <v>444</v>
      </c>
      <c r="N9" s="471" t="s">
        <v>422</v>
      </c>
      <c r="O9" s="471" t="s">
        <v>423</v>
      </c>
      <c r="P9" s="472" t="s">
        <v>445</v>
      </c>
      <c r="Q9" s="472" t="s">
        <v>305</v>
      </c>
      <c r="R9" s="472" t="s">
        <v>424</v>
      </c>
      <c r="S9" s="473" t="s">
        <v>451</v>
      </c>
      <c r="T9" s="473" t="s">
        <v>425</v>
      </c>
      <c r="U9" s="473" t="s">
        <v>426</v>
      </c>
      <c r="V9" s="474" t="s">
        <v>446</v>
      </c>
      <c r="W9" s="474" t="s">
        <v>393</v>
      </c>
      <c r="X9" s="475" t="s">
        <v>392</v>
      </c>
      <c r="Y9" s="240"/>
      <c r="Z9" s="87"/>
      <c r="AB9" s="87"/>
      <c r="AC9" s="87"/>
      <c r="AH9" s="87"/>
      <c r="AI9" s="87"/>
      <c r="CX9" s="242"/>
      <c r="CZ9"/>
      <c r="FI9" s="837" t="s">
        <v>582</v>
      </c>
      <c r="FJ9" s="837"/>
      <c r="FK9" s="837"/>
      <c r="FL9" s="837"/>
      <c r="FM9" t="s">
        <v>575</v>
      </c>
      <c r="FO9" s="837" t="s">
        <v>581</v>
      </c>
      <c r="FP9" s="837"/>
      <c r="FQ9" s="837"/>
      <c r="FR9" s="837"/>
    </row>
    <row r="10" spans="1:198" ht="26" customHeight="1" thickBot="1">
      <c r="A10" s="1194" t="str">
        <f>""&amp;A12&amp;" måneds kalender for: "&amp;Stamoplysninger!E13&amp;". Måneden vedr. normperioden: "&amp;Stamoplysninger!E16&amp;" - "&amp;Stamoplysninger!G16&amp;"."</f>
        <v>Februar måneds kalender for: Beate Simonsen. Måneden vedr. normperioden:  - .</v>
      </c>
      <c r="B10" s="1195"/>
      <c r="C10" s="1195"/>
      <c r="D10" s="1195"/>
      <c r="E10" s="1195"/>
      <c r="F10" s="1195"/>
      <c r="G10" s="1195"/>
      <c r="H10" s="1195"/>
      <c r="I10" s="1195"/>
      <c r="J10" s="1195"/>
      <c r="K10" s="1195"/>
      <c r="L10" s="1195"/>
      <c r="M10" s="1195"/>
      <c r="N10" s="1195"/>
      <c r="O10" s="1195"/>
      <c r="P10" s="1195"/>
      <c r="Q10" s="1195"/>
      <c r="R10" s="1196"/>
      <c r="S10" s="1073" t="s">
        <v>391</v>
      </c>
      <c r="T10" s="1074"/>
      <c r="U10" s="1074"/>
      <c r="V10" s="1074"/>
      <c r="W10" s="1074"/>
      <c r="X10" s="1075"/>
      <c r="Y10" s="240"/>
      <c r="Z10" s="87"/>
      <c r="AB10" s="87"/>
      <c r="AC10" s="87"/>
      <c r="AH10" s="87"/>
      <c r="AI10" s="87"/>
      <c r="CX10" s="242"/>
      <c r="CZ10"/>
      <c r="DV10" t="s">
        <v>665</v>
      </c>
      <c r="ED10" t="s">
        <v>665</v>
      </c>
      <c r="FC10" s="1208" t="s">
        <v>654</v>
      </c>
      <c r="FD10" s="1208"/>
      <c r="FE10" s="1208"/>
      <c r="FF10" s="1208"/>
      <c r="FG10" s="1208" t="s">
        <v>654</v>
      </c>
      <c r="FH10" s="1208"/>
      <c r="FI10" s="1208"/>
      <c r="FJ10" s="1208"/>
      <c r="FK10" s="1182" t="s">
        <v>569</v>
      </c>
      <c r="FL10" s="1182"/>
      <c r="FM10" s="1182"/>
      <c r="FN10" s="1182"/>
      <c r="FO10" s="1182"/>
      <c r="FP10" s="1182"/>
      <c r="FQ10" s="1182"/>
      <c r="FR10" s="1182"/>
      <c r="FS10" s="1182"/>
      <c r="FT10" s="1182"/>
      <c r="FU10" s="1182"/>
      <c r="FV10" s="1182"/>
      <c r="FW10" s="1182"/>
      <c r="FX10" s="1182"/>
      <c r="GA10" t="s">
        <v>583</v>
      </c>
      <c r="GB10" t="s">
        <v>576</v>
      </c>
      <c r="GD10" t="s">
        <v>577</v>
      </c>
      <c r="GF10" t="s">
        <v>578</v>
      </c>
      <c r="GH10" s="511" t="s">
        <v>579</v>
      </c>
    </row>
    <row r="11" spans="1:198" ht="47" customHeight="1">
      <c r="A11" s="320">
        <f>Januar!A11</f>
        <v>2027</v>
      </c>
      <c r="B11" s="236"/>
      <c r="C11" s="237"/>
      <c r="D11" s="238"/>
      <c r="E11" s="1199" t="s">
        <v>455</v>
      </c>
      <c r="F11" s="1200"/>
      <c r="G11" s="1201"/>
      <c r="H11" s="317" t="s">
        <v>674</v>
      </c>
      <c r="I11" s="1031" t="s">
        <v>452</v>
      </c>
      <c r="J11" s="1032" t="s">
        <v>470</v>
      </c>
      <c r="K11" s="1197" t="s">
        <v>299</v>
      </c>
      <c r="L11" s="1198"/>
      <c r="M11" s="318" t="s">
        <v>300</v>
      </c>
      <c r="N11" s="1047" t="s">
        <v>435</v>
      </c>
      <c r="O11" s="1047" t="s">
        <v>304</v>
      </c>
      <c r="P11" s="1047" t="s">
        <v>443</v>
      </c>
      <c r="Q11" s="1047" t="s">
        <v>381</v>
      </c>
      <c r="R11" s="1215" t="s">
        <v>497</v>
      </c>
      <c r="S11" s="1223" t="s">
        <v>301</v>
      </c>
      <c r="T11" s="1224"/>
      <c r="U11" s="1224"/>
      <c r="V11" s="1224"/>
      <c r="W11" s="1224"/>
      <c r="X11" s="1225"/>
      <c r="Y11" s="209"/>
      <c r="Z11" s="209"/>
      <c r="AA11" s="1049" t="s">
        <v>258</v>
      </c>
      <c r="AB11" s="1049"/>
      <c r="AC11" s="1049"/>
      <c r="AD11" s="1049"/>
      <c r="AE11" s="1049"/>
      <c r="AF11" s="206"/>
      <c r="AG11" s="1049" t="s">
        <v>219</v>
      </c>
      <c r="AH11" s="1049"/>
      <c r="AI11" s="1049"/>
      <c r="AJ11" s="1049"/>
      <c r="AK11" s="1049"/>
      <c r="AL11" s="1049" t="s">
        <v>220</v>
      </c>
      <c r="AM11" s="1049"/>
      <c r="AN11" s="1049"/>
      <c r="AO11" s="1049"/>
      <c r="AP11" s="1049"/>
      <c r="AQ11" s="1049" t="s">
        <v>221</v>
      </c>
      <c r="AR11" s="1049"/>
      <c r="AS11" s="1049"/>
      <c r="AT11" s="1049"/>
      <c r="AU11" s="1049"/>
      <c r="AV11" s="1049" t="s">
        <v>222</v>
      </c>
      <c r="AW11" s="1049"/>
      <c r="AX11" s="1049"/>
      <c r="AY11" s="1049"/>
      <c r="AZ11" s="1049"/>
      <c r="BA11" s="293"/>
      <c r="BB11" s="206"/>
      <c r="BC11" s="1049" t="s">
        <v>261</v>
      </c>
      <c r="BD11" s="1049"/>
      <c r="BE11" s="1049"/>
      <c r="BF11" s="1049"/>
      <c r="BG11" s="1049" t="s">
        <v>224</v>
      </c>
      <c r="BH11" s="1049"/>
      <c r="BI11" s="1049"/>
      <c r="BJ11" s="1049"/>
      <c r="BK11" s="1049"/>
      <c r="BL11" s="1049" t="s">
        <v>225</v>
      </c>
      <c r="BM11" s="1049"/>
      <c r="BN11" s="1049"/>
      <c r="BO11" s="1049"/>
      <c r="BP11" s="1049"/>
      <c r="BQ11" s="1049" t="s">
        <v>226</v>
      </c>
      <c r="BR11" s="1049"/>
      <c r="BS11" s="1049"/>
      <c r="BT11" s="1049"/>
      <c r="BU11" s="1049"/>
      <c r="BV11" s="1049" t="s">
        <v>227</v>
      </c>
      <c r="BW11" s="1049"/>
      <c r="BX11" s="1049"/>
      <c r="BY11" s="1049"/>
      <c r="BZ11" s="1049"/>
      <c r="CD11" s="1049" t="s">
        <v>262</v>
      </c>
      <c r="CE11" s="1049"/>
      <c r="CF11" s="1049"/>
      <c r="CG11" s="1049"/>
      <c r="CH11" s="1049"/>
      <c r="CI11" s="1049" t="s">
        <v>264</v>
      </c>
      <c r="CJ11" s="1049"/>
      <c r="CK11" s="1049"/>
      <c r="CL11" s="1049"/>
      <c r="CM11" s="1049"/>
      <c r="CN11" s="1049" t="s">
        <v>263</v>
      </c>
      <c r="CO11" s="1049"/>
      <c r="CP11" s="1049"/>
      <c r="CQ11" s="1049"/>
      <c r="CR11" s="1049"/>
      <c r="CS11" s="1049" t="s">
        <v>265</v>
      </c>
      <c r="CT11" s="1049"/>
      <c r="CU11" s="1049"/>
      <c r="CV11" s="1049"/>
      <c r="CW11" s="1049"/>
      <c r="CX11" s="242"/>
      <c r="CZ11"/>
      <c r="DA11" s="837" t="s">
        <v>209</v>
      </c>
      <c r="DB11" s="837"/>
      <c r="DC11" s="837"/>
      <c r="DD11" s="837"/>
      <c r="DE11" s="837"/>
      <c r="DO11" s="1217" t="s">
        <v>315</v>
      </c>
      <c r="DP11" s="1218"/>
      <c r="DQ11" s="1218"/>
      <c r="DR11" s="1218"/>
      <c r="DS11" s="1218"/>
      <c r="DT11" s="1218"/>
      <c r="DU11" s="1218"/>
      <c r="DV11" s="1219"/>
      <c r="DW11" s="1220" t="s">
        <v>370</v>
      </c>
      <c r="DX11" s="1221"/>
      <c r="DY11" s="1221"/>
      <c r="DZ11" s="1221"/>
      <c r="EA11" s="1221"/>
      <c r="EB11" s="1221"/>
      <c r="EC11" s="1221"/>
      <c r="ED11" s="1222"/>
      <c r="EE11" s="1212" t="s">
        <v>316</v>
      </c>
      <c r="EF11" s="1213"/>
      <c r="EG11" s="1213"/>
      <c r="EH11" s="1214"/>
      <c r="EI11" s="1209" t="s">
        <v>655</v>
      </c>
      <c r="EJ11" s="1210"/>
      <c r="EK11" s="1210"/>
      <c r="EL11" s="1211"/>
      <c r="EM11" s="1212" t="s">
        <v>319</v>
      </c>
      <c r="EN11" s="1213"/>
      <c r="EO11" s="1213"/>
      <c r="EP11" s="1214"/>
      <c r="EQ11" s="1212" t="s">
        <v>319</v>
      </c>
      <c r="ER11" s="1213"/>
      <c r="ES11" s="1213"/>
      <c r="ET11" s="1214"/>
      <c r="EU11" s="1042" t="s">
        <v>373</v>
      </c>
      <c r="EV11" s="1043"/>
      <c r="EW11" s="1043"/>
      <c r="EX11" s="1044"/>
      <c r="EY11" s="1042" t="s">
        <v>374</v>
      </c>
      <c r="EZ11" s="1043"/>
      <c r="FA11" s="1043"/>
      <c r="FB11" s="1044"/>
      <c r="FC11" s="1042" t="s">
        <v>375</v>
      </c>
      <c r="FD11" s="1043"/>
      <c r="FE11" s="1043"/>
      <c r="FF11" s="1044"/>
      <c r="FG11" s="1042" t="s">
        <v>376</v>
      </c>
      <c r="FH11" s="1043"/>
      <c r="FI11" s="1043"/>
      <c r="FJ11" s="1044"/>
      <c r="FK11" s="1172" t="s">
        <v>658</v>
      </c>
      <c r="FL11" s="1173"/>
      <c r="FM11" s="1173"/>
      <c r="FN11" s="1174"/>
      <c r="FO11" s="1027" t="s">
        <v>659</v>
      </c>
      <c r="FP11" s="1028"/>
      <c r="FQ11" s="1028"/>
      <c r="FR11" s="1029"/>
      <c r="FS11" s="1183" t="s">
        <v>375</v>
      </c>
      <c r="FT11" s="1183"/>
      <c r="FU11" s="1172" t="s">
        <v>580</v>
      </c>
      <c r="FV11" s="1173"/>
      <c r="FW11" s="1173"/>
      <c r="FX11" s="1184"/>
      <c r="FY11" s="1185" t="s">
        <v>571</v>
      </c>
      <c r="FZ11" s="1186"/>
      <c r="GA11" t="s">
        <v>573</v>
      </c>
      <c r="GB11" s="1183" t="s">
        <v>373</v>
      </c>
      <c r="GC11" s="1183"/>
      <c r="GD11" s="1183" t="s">
        <v>374</v>
      </c>
      <c r="GE11" s="1183"/>
      <c r="GF11" s="1183" t="s">
        <v>376</v>
      </c>
      <c r="GG11" s="1183"/>
      <c r="GH11" s="1183" t="s">
        <v>372</v>
      </c>
      <c r="GI11" s="1183"/>
      <c r="GP11" s="109" t="s">
        <v>663</v>
      </c>
    </row>
    <row r="12" spans="1:198" ht="197" customHeight="1">
      <c r="A12" s="1187" t="s">
        <v>281</v>
      </c>
      <c r="B12" s="1188"/>
      <c r="C12" s="1188"/>
      <c r="D12" s="1189"/>
      <c r="E12" s="1202"/>
      <c r="F12" s="1203"/>
      <c r="G12" s="1204"/>
      <c r="H12" s="1193" t="s">
        <v>668</v>
      </c>
      <c r="I12" s="1031"/>
      <c r="J12" s="1032"/>
      <c r="K12" s="319" t="s">
        <v>498</v>
      </c>
      <c r="L12" s="319" t="s">
        <v>499</v>
      </c>
      <c r="M12" s="319" t="s">
        <v>500</v>
      </c>
      <c r="N12" s="1048"/>
      <c r="O12" s="1048"/>
      <c r="P12" s="1048"/>
      <c r="Q12" s="1048"/>
      <c r="R12" s="1216"/>
      <c r="S12" s="477" t="s">
        <v>669</v>
      </c>
      <c r="T12" s="318" t="s">
        <v>303</v>
      </c>
      <c r="U12" s="318" t="s">
        <v>672</v>
      </c>
      <c r="V12" s="430" t="s">
        <v>428</v>
      </c>
      <c r="W12" s="430" t="s">
        <v>427</v>
      </c>
      <c r="X12" s="431" t="s">
        <v>673</v>
      </c>
      <c r="Y12" s="209" t="s">
        <v>276</v>
      </c>
      <c r="Z12" s="423" t="s">
        <v>277</v>
      </c>
      <c r="AA12" s="294" t="s">
        <v>208</v>
      </c>
      <c r="AB12" t="s">
        <v>134</v>
      </c>
      <c r="AC12" t="s">
        <v>137</v>
      </c>
      <c r="AD12" t="s">
        <v>136</v>
      </c>
      <c r="AE12" t="s">
        <v>135</v>
      </c>
      <c r="AF12" t="s">
        <v>406</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223</v>
      </c>
      <c r="BB12" s="223" t="s">
        <v>210</v>
      </c>
      <c r="BC12" t="s">
        <v>260</v>
      </c>
      <c r="BD12" t="s">
        <v>259</v>
      </c>
      <c r="BE12" t="s">
        <v>245</v>
      </c>
      <c r="BF12" t="s">
        <v>246</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228</v>
      </c>
      <c r="CB12" s="228" t="s">
        <v>248</v>
      </c>
      <c r="CC12" s="294" t="s">
        <v>249</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274</v>
      </c>
      <c r="CY12" s="242" t="s">
        <v>266</v>
      </c>
      <c r="CZ12" s="242" t="s">
        <v>267</v>
      </c>
      <c r="DA12" s="242" t="s">
        <v>268</v>
      </c>
      <c r="DB12" s="242" t="s">
        <v>269</v>
      </c>
      <c r="DC12" s="242" t="s">
        <v>270</v>
      </c>
      <c r="DD12" s="242" t="s">
        <v>271</v>
      </c>
      <c r="DE12" s="242" t="s">
        <v>272</v>
      </c>
      <c r="DF12" s="242" t="s">
        <v>273</v>
      </c>
      <c r="DG12" s="242"/>
      <c r="DO12" s="626" t="s">
        <v>642</v>
      </c>
      <c r="DP12" s="294" t="s">
        <v>643</v>
      </c>
      <c r="DQ12" s="677" t="s">
        <v>644</v>
      </c>
      <c r="DR12" s="677" t="s">
        <v>645</v>
      </c>
      <c r="DS12" s="627" t="s">
        <v>670</v>
      </c>
      <c r="DT12" s="627" t="str">
        <f>DP12</f>
        <v>Ulempetillæg på weekenddage - kræver der er sat kryds i weekendarbejde. KOLONNE I. Minus ved lejrskole.</v>
      </c>
      <c r="DU12" s="679" t="s">
        <v>600</v>
      </c>
      <c r="DV12" s="678" t="str">
        <f>DR12</f>
        <v>Ulempetillæg ændringer på weekenddage. Kræver der er sat kryds i ændring i timetal og at det er en weekeend. KOLONNE I OG S. Minus lejrskole</v>
      </c>
      <c r="DW12" s="680" t="s">
        <v>646</v>
      </c>
      <c r="DX12" s="677" t="s">
        <v>647</v>
      </c>
      <c r="DY12" s="677" t="s">
        <v>648</v>
      </c>
      <c r="DZ12" s="677" t="s">
        <v>649</v>
      </c>
      <c r="EA12" s="627" t="s">
        <v>599</v>
      </c>
      <c r="EB12" s="679" t="str">
        <f>DX12</f>
        <v>Ulempetillæg på weekenddage til afspadsering. Kræver der er sat kryds i weekendarb. KOLONNE I. Minus ved lejrskole.</v>
      </c>
      <c r="EC12" s="679" t="s">
        <v>600</v>
      </c>
      <c r="ED12" s="678" t="str">
        <f>DZ12</f>
        <v>Ulempetillæg ændringer på weekenddage. Kræver der er sat kryds i ændring i timetal og at det er en weekeend. KOLONNE I OG S. Minus lejrskole</v>
      </c>
      <c r="EE12" s="632" t="s">
        <v>650</v>
      </c>
      <c r="EF12" s="630" t="s">
        <v>601</v>
      </c>
      <c r="EG12" s="631" t="s">
        <v>604</v>
      </c>
      <c r="EH12" s="633" t="s">
        <v>603</v>
      </c>
      <c r="EI12" s="715" t="s">
        <v>656</v>
      </c>
      <c r="EJ12" s="719" t="s">
        <v>660</v>
      </c>
      <c r="EK12" s="631" t="s">
        <v>604</v>
      </c>
      <c r="EL12" s="633" t="s">
        <v>603</v>
      </c>
      <c r="EM12" s="632" t="s">
        <v>650</v>
      </c>
      <c r="EN12" s="630" t="s">
        <v>653</v>
      </c>
      <c r="EO12" s="631" t="s">
        <v>604</v>
      </c>
      <c r="EP12" s="633" t="s">
        <v>603</v>
      </c>
      <c r="EQ12" s="715" t="s">
        <v>657</v>
      </c>
      <c r="ER12" s="719" t="s">
        <v>661</v>
      </c>
      <c r="ES12" s="631" t="s">
        <v>604</v>
      </c>
      <c r="ET12" s="633" t="s">
        <v>603</v>
      </c>
      <c r="EU12" s="632" t="s">
        <v>651</v>
      </c>
      <c r="EV12" s="630" t="s">
        <v>652</v>
      </c>
      <c r="EW12" s="631" t="s">
        <v>602</v>
      </c>
      <c r="EX12" s="633" t="s">
        <v>606</v>
      </c>
      <c r="EY12" s="632" t="s">
        <v>651</v>
      </c>
      <c r="EZ12" s="630" t="s">
        <v>652</v>
      </c>
      <c r="FA12" s="631" t="s">
        <v>602</v>
      </c>
      <c r="FB12" s="633" t="s">
        <v>606</v>
      </c>
      <c r="FC12" s="632" t="s">
        <v>607</v>
      </c>
      <c r="FD12" s="630" t="s">
        <v>605</v>
      </c>
      <c r="FE12" s="631" t="s">
        <v>602</v>
      </c>
      <c r="FF12" s="633" t="s">
        <v>606</v>
      </c>
      <c r="FG12" s="632" t="str">
        <f>FC12</f>
        <v>Weekendtimer på weekenddage</v>
      </c>
      <c r="FH12" s="630" t="s">
        <v>605</v>
      </c>
      <c r="FI12" s="631" t="s">
        <v>602</v>
      </c>
      <c r="FJ12" s="633" t="s">
        <v>606</v>
      </c>
      <c r="FK12" s="658" t="s">
        <v>568</v>
      </c>
      <c r="FL12" s="630" t="s">
        <v>550</v>
      </c>
      <c r="FM12" s="658" t="s">
        <v>568</v>
      </c>
      <c r="FN12" s="633" t="s">
        <v>550</v>
      </c>
      <c r="FO12" s="715" t="s">
        <v>568</v>
      </c>
      <c r="FP12" s="630" t="s">
        <v>550</v>
      </c>
      <c r="FQ12" s="658" t="s">
        <v>568</v>
      </c>
      <c r="FR12" s="633" t="s">
        <v>550</v>
      </c>
      <c r="FS12" s="659" t="s">
        <v>563</v>
      </c>
      <c r="FT12" s="660" t="s">
        <v>564</v>
      </c>
      <c r="FU12" s="658" t="s">
        <v>549</v>
      </c>
      <c r="FV12" s="630" t="s">
        <v>550</v>
      </c>
      <c r="FW12" s="662" t="s">
        <v>549</v>
      </c>
      <c r="FX12" s="663" t="s">
        <v>550</v>
      </c>
      <c r="FY12" s="667" t="s">
        <v>570</v>
      </c>
      <c r="FZ12" s="660" t="s">
        <v>570</v>
      </c>
      <c r="GA12" s="294" t="s">
        <v>572</v>
      </c>
      <c r="GB12" s="659" t="s">
        <v>574</v>
      </c>
      <c r="GC12" s="659" t="s">
        <v>574</v>
      </c>
      <c r="GD12" s="659" t="s">
        <v>574</v>
      </c>
      <c r="GE12" s="659" t="s">
        <v>574</v>
      </c>
      <c r="GF12" s="659" t="s">
        <v>565</v>
      </c>
      <c r="GG12" s="660" t="s">
        <v>566</v>
      </c>
      <c r="GH12" s="659" t="s">
        <v>565</v>
      </c>
      <c r="GI12" s="660" t="s">
        <v>566</v>
      </c>
      <c r="GJ12" s="712" t="s">
        <v>635</v>
      </c>
      <c r="GK12" s="712" t="s">
        <v>636</v>
      </c>
      <c r="GL12" s="712" t="s">
        <v>637</v>
      </c>
      <c r="GM12" s="712" t="s">
        <v>638</v>
      </c>
      <c r="GN12" s="712" t="s">
        <v>640</v>
      </c>
      <c r="GO12" s="712" t="s">
        <v>639</v>
      </c>
      <c r="GP12" s="722" t="s">
        <v>662</v>
      </c>
    </row>
    <row r="13" spans="1:198" ht="20" customHeight="1">
      <c r="A13" s="1190"/>
      <c r="B13" s="1191"/>
      <c r="C13" s="1191"/>
      <c r="D13" s="1192"/>
      <c r="E13" s="1205"/>
      <c r="F13" s="1206"/>
      <c r="G13" s="1207"/>
      <c r="H13" s="1048"/>
      <c r="I13" s="1031"/>
      <c r="J13" s="1032"/>
      <c r="K13" s="1076" t="s">
        <v>320</v>
      </c>
      <c r="L13" s="1058"/>
      <c r="M13" s="1058"/>
      <c r="N13" s="1058"/>
      <c r="O13" s="1058"/>
      <c r="P13" s="1058"/>
      <c r="Q13" s="1058"/>
      <c r="R13" s="1077"/>
      <c r="S13" s="1057" t="s">
        <v>377</v>
      </c>
      <c r="T13" s="1058"/>
      <c r="U13" s="1059"/>
      <c r="V13" s="1076" t="s">
        <v>378</v>
      </c>
      <c r="W13" s="1058"/>
      <c r="X13" s="1077"/>
      <c r="Y13" s="209"/>
      <c r="Z13" s="423"/>
      <c r="AA13" s="294"/>
      <c r="BB13" s="223"/>
      <c r="CA13" s="109"/>
      <c r="CB13" s="228"/>
      <c r="CC13" s="294"/>
      <c r="CX13" s="242"/>
      <c r="DA13" s="242"/>
      <c r="DB13" s="242"/>
      <c r="DC13" s="242"/>
      <c r="DD13" s="242"/>
      <c r="DE13" s="242"/>
      <c r="DF13" s="242"/>
      <c r="DG13" s="242"/>
      <c r="DH13" t="s">
        <v>476</v>
      </c>
      <c r="DI13" t="s">
        <v>477</v>
      </c>
      <c r="DJ13" t="s">
        <v>478</v>
      </c>
      <c r="DO13" s="628"/>
      <c r="DP13" s="714" t="s">
        <v>641</v>
      </c>
      <c r="DS13" s="1176" t="s">
        <v>160</v>
      </c>
      <c r="DT13" s="1176"/>
      <c r="DU13" s="1176"/>
      <c r="DV13" s="1177"/>
      <c r="EA13" s="1178" t="s">
        <v>160</v>
      </c>
      <c r="EB13" s="1178"/>
      <c r="EC13" s="1178"/>
      <c r="ED13" s="629"/>
      <c r="EE13" s="277"/>
      <c r="EF13" s="245"/>
      <c r="EG13" s="1045" t="s">
        <v>160</v>
      </c>
      <c r="EH13" s="1046"/>
      <c r="EI13" s="277"/>
      <c r="EJ13" s="245"/>
      <c r="EK13" s="1045" t="s">
        <v>160</v>
      </c>
      <c r="EL13" s="1046"/>
      <c r="EM13" s="277"/>
      <c r="EN13" s="245"/>
      <c r="EO13" s="1045" t="s">
        <v>160</v>
      </c>
      <c r="EP13" s="1046"/>
      <c r="EQ13" s="277"/>
      <c r="ER13" s="245"/>
      <c r="ES13" s="1045" t="s">
        <v>160</v>
      </c>
      <c r="ET13" s="1046"/>
      <c r="EU13" s="277"/>
      <c r="EV13" s="245"/>
      <c r="EW13" s="1045" t="s">
        <v>160</v>
      </c>
      <c r="EX13" s="1046"/>
      <c r="EY13" s="277"/>
      <c r="EZ13" s="245"/>
      <c r="FA13" s="1045" t="s">
        <v>160</v>
      </c>
      <c r="FB13" s="1046"/>
      <c r="FC13" s="277"/>
      <c r="FD13" s="245"/>
      <c r="FE13" s="1045" t="s">
        <v>160</v>
      </c>
      <c r="FF13" s="1046"/>
      <c r="FG13" s="277"/>
      <c r="FH13" s="245"/>
      <c r="FI13" s="1045" t="s">
        <v>160</v>
      </c>
      <c r="FJ13" s="1046"/>
      <c r="FK13" s="277"/>
      <c r="FL13" s="245"/>
      <c r="FM13" s="1045" t="s">
        <v>160</v>
      </c>
      <c r="FN13" s="1046"/>
      <c r="FO13" s="277"/>
      <c r="FP13" s="245"/>
      <c r="FQ13" s="1045" t="s">
        <v>160</v>
      </c>
      <c r="FR13" s="1046"/>
      <c r="FT13" s="622" t="s">
        <v>158</v>
      </c>
      <c r="FU13" s="277"/>
      <c r="FV13" s="245"/>
      <c r="FW13" s="1045" t="s">
        <v>160</v>
      </c>
      <c r="FX13" s="1175"/>
      <c r="FY13" s="277"/>
      <c r="FZ13" s="668" t="s">
        <v>158</v>
      </c>
      <c r="GC13" s="622" t="s">
        <v>158</v>
      </c>
      <c r="GE13" s="622" t="s">
        <v>158</v>
      </c>
      <c r="GG13" s="622" t="s">
        <v>158</v>
      </c>
      <c r="GI13" s="622" t="s">
        <v>158</v>
      </c>
    </row>
    <row r="14" spans="1:198">
      <c r="A14" s="239">
        <f>IF(ISNUMBER(A12),A12+1,1)</f>
        <v>1</v>
      </c>
      <c r="B14" s="125" t="str">
        <f t="shared" ref="B14:B41" si="0">CHOOSE(MOD(WEEKDAY(DATE(A$11,A$2,A14)),7)+1,"lø","sø","ma","ti","on","to","fr",)</f>
        <v>ma</v>
      </c>
      <c r="C14" s="126" t="s">
        <v>203</v>
      </c>
      <c r="D14" s="127">
        <f t="shared" ref="D14:D42" si="1">IF(B14="ma",(DATE(A$11,A$2,A14)-DATE(A$11,1,1)+7)/7,"")</f>
        <v>5.4285714285714288</v>
      </c>
      <c r="E14" s="1060"/>
      <c r="F14" s="1061"/>
      <c r="G14" s="1062"/>
      <c r="H14" s="292"/>
      <c r="I14" s="745"/>
      <c r="J14" s="746" t="str">
        <f>IF(C14="Lejrskole","X","")</f>
        <v/>
      </c>
      <c r="K14" s="368"/>
      <c r="L14" s="368"/>
      <c r="M14" s="368"/>
      <c r="N14" s="311">
        <f>BA14</f>
        <v>8.11</v>
      </c>
      <c r="O14" s="311">
        <f>CA14</f>
        <v>4.5</v>
      </c>
      <c r="P14" s="311">
        <f>IF(Stamoplysninger!$H$34="JA",Februar!DG14,CX14)</f>
        <v>1.9166666666666665</v>
      </c>
      <c r="Q14" s="311">
        <f>IF(OR(OR(C14="Lejrskole",C14="Ekskursion",C14="pæd.dag")),0,N14-O14-P14)</f>
        <v>1.6933333333333329</v>
      </c>
      <c r="R14" s="751"/>
      <c r="S14" s="315"/>
      <c r="T14" s="316"/>
      <c r="U14" s="316"/>
      <c r="V14" s="422"/>
      <c r="W14" s="422"/>
      <c r="X14" s="621"/>
      <c r="Y14">
        <f>IF($S$14="x",V14-N14,0)</f>
        <v>0</v>
      </c>
      <c r="Z14" s="424">
        <f>W14</f>
        <v>0</v>
      </c>
      <c r="AA14" s="1">
        <f>IF(C14="emnedag",K14,0)</f>
        <v>0</v>
      </c>
      <c r="AB14" s="1">
        <f t="shared" ref="AB14:AB40" si="2">IF(C14="fagdag",K14,0)</f>
        <v>0</v>
      </c>
      <c r="AC14" s="1">
        <f t="shared" ref="AC14:AC40" si="3">IF(C14="Pæd.dag",K14,0)</f>
        <v>0</v>
      </c>
      <c r="AD14" s="1">
        <f t="shared" ref="AD14:AD40" si="4">IF(C14="Ekskursion",K14,0)</f>
        <v>0</v>
      </c>
      <c r="AE14" s="1">
        <f t="shared" ref="AE14:AE40" si="5">IF(C14="Lejrskole",K14,0)</f>
        <v>0</v>
      </c>
      <c r="AF14" s="1">
        <f>IF(C14="Orlov",7.4*Stamoplysninger!$E$20,0)</f>
        <v>0</v>
      </c>
      <c r="AG14">
        <f>IF(AND(C14="Skema 1",B14="ma"),Arbejdstidsoversigt!$E$77,"")</f>
        <v>8.11</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8.11</v>
      </c>
      <c r="BB14" s="224">
        <f t="shared" ref="BB14:BB39" si="6">SUM(AG14:AK14)*24</f>
        <v>194.64</v>
      </c>
      <c r="BC14" s="1">
        <f>IF($C$14="Lejrskole",$L$14,0)</f>
        <v>0</v>
      </c>
      <c r="BD14" s="1">
        <f t="shared" ref="BD14:BD39" si="7">IF(C14="Ekskursion",L14,0)</f>
        <v>0</v>
      </c>
      <c r="BE14" s="1">
        <f t="shared" ref="BE14:BE39" si="8">IF(C14="fagdag",L14,0)</f>
        <v>0</v>
      </c>
      <c r="BF14" s="1">
        <f t="shared" ref="BF14:BF39" si="9">IF(C14="emnedag",L14,0)</f>
        <v>0</v>
      </c>
      <c r="BG14" s="207">
        <f>IF(AND(C14="Skema 1",B14="ma"),Skemaoplysninger!$E$46,"")</f>
        <v>0.1875</v>
      </c>
      <c r="BH14" s="207" t="str">
        <f>IF(AND(C14="Skema 1",B14="ti"),Skemaoplysninger!$G$46,"")</f>
        <v/>
      </c>
      <c r="BI14" s="207" t="str">
        <f>IF(AND(C14="Skema 1",B14="on"),Skemaoplysninger!$I$46,"")</f>
        <v/>
      </c>
      <c r="BJ14" s="207" t="str">
        <f>IF(AND(C14="Skema 1",B14="to"),Skemaoplysninger!$K$46,"")</f>
        <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4.5</v>
      </c>
      <c r="CB14" s="1">
        <f t="shared" ref="CB14:CB39" si="10">IF(C14="fagdag",M14,0)</f>
        <v>0</v>
      </c>
      <c r="CC14" s="1">
        <f t="shared" ref="CC14:CC39" si="11">IF(C14="emnedag",M14,0)</f>
        <v>0</v>
      </c>
      <c r="CD14" s="207">
        <f>IF(AND(C14="Skema 1",B14="ma"),Skemaoplysninger!$E$47,"")</f>
        <v>7.9861111111111105E-2</v>
      </c>
      <c r="CE14" s="207" t="str">
        <f>IF(AND(C14="Skema 1",B14="ti"),Skemaoplysninger!$G$47,"")</f>
        <v/>
      </c>
      <c r="CF14" s="207" t="str">
        <f>IF(AND(C14="Skema 1",B14="on"),Skemaoplysninger!$I$47,"")</f>
        <v/>
      </c>
      <c r="CG14" s="207" t="str">
        <f>IF(AND(C14="Skema 1",B14="to"),Skemaoplysninger!$K$47,"")</f>
        <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1.9166666666666665</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0" si="12">IF(DH14=0,"",DH14)</f>
        <v/>
      </c>
      <c r="DL14" t="str">
        <f>IF(DI14=0,"",DI14)</f>
        <v/>
      </c>
      <c r="DM14" t="str">
        <f>IF(DJ14=0,"",DJ14)</f>
        <v/>
      </c>
      <c r="DN14" t="str">
        <f>DK14&amp;""&amp;DL14&amp;""&amp;DM14</f>
        <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3" si="13">IF(AND(I14="X",S14="X"),V14,0)</f>
        <v>0</v>
      </c>
      <c r="FZ14" s="634">
        <f t="shared" ref="FZ14:FZ43" si="14">IF(AND(AND(C14="ikke relevant",I14="X",S14="X")),V14,0)</f>
        <v>0</v>
      </c>
      <c r="GA14">
        <f t="shared" ref="GA14:GA43" si="15">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3" si="16">IF(C14="emnedag","X",0)</f>
        <v>0</v>
      </c>
      <c r="GL14">
        <f t="shared" ref="GL14:GL43" si="17">IF(C14="ekskursion","X",0)</f>
        <v>0</v>
      </c>
      <c r="GM14">
        <f t="shared" ref="GM14:GM43" si="18">IF(C14="pæd.dag","X",0)</f>
        <v>0</v>
      </c>
      <c r="GN14" s="713">
        <f t="shared" ref="GN14:GN43" si="19">IF(C14="lejrskole","X",0)</f>
        <v>0</v>
      </c>
      <c r="GO14">
        <f>COUNTIF(GJ14:GN14,"X")</f>
        <v>0</v>
      </c>
      <c r="GP14" s="647">
        <f>IF(AND(I14="X",S14="X"),V14,0)</f>
        <v>0</v>
      </c>
    </row>
    <row r="15" spans="1:198">
      <c r="A15" s="239">
        <f t="shared" ref="A15:A41" si="20">IF(ISNUMBER(A14),A14+1,1)</f>
        <v>2</v>
      </c>
      <c r="B15" s="125" t="str">
        <f t="shared" si="0"/>
        <v>ti</v>
      </c>
      <c r="C15" s="126" t="s">
        <v>203</v>
      </c>
      <c r="D15" s="127" t="str">
        <f t="shared" si="1"/>
        <v/>
      </c>
      <c r="E15" s="1060"/>
      <c r="F15" s="1061"/>
      <c r="G15" s="1062"/>
      <c r="H15" s="292"/>
      <c r="I15" s="745"/>
      <c r="J15" s="746" t="str">
        <f t="shared" ref="J15:J42" si="21">IF(C15="Lejrskole","X","")</f>
        <v/>
      </c>
      <c r="K15" s="368"/>
      <c r="L15" s="368"/>
      <c r="M15" s="368"/>
      <c r="N15" s="311">
        <f t="shared" ref="N15:N41" si="22">BA15</f>
        <v>8.11</v>
      </c>
      <c r="O15" s="311">
        <f t="shared" ref="O15:O41" si="23">CA15</f>
        <v>4.5</v>
      </c>
      <c r="P15" s="311">
        <f>IF(Stamoplysninger!$H$34="JA",Februar!DG15,CX15)</f>
        <v>1.9166666666666665</v>
      </c>
      <c r="Q15" s="311">
        <f t="shared" ref="Q15:Q41" si="24">IF(OR(OR(C15="Lejrskole",C15="Ekskursion",C15="pæd.dag")),0,N15-O15-P15)</f>
        <v>1.6933333333333329</v>
      </c>
      <c r="R15" s="751"/>
      <c r="S15" s="315"/>
      <c r="T15" s="316"/>
      <c r="U15" s="316"/>
      <c r="V15" s="422"/>
      <c r="W15" s="422"/>
      <c r="X15" s="621"/>
      <c r="Y15">
        <f t="shared" ref="Y15:Y42" si="25">IF(S15="x",V15-N15,0)</f>
        <v>0</v>
      </c>
      <c r="Z15" s="424">
        <f t="shared" ref="Z15:Z40" si="26">W15</f>
        <v>0</v>
      </c>
      <c r="AA15" s="1">
        <f t="shared" ref="AA15:AA40" si="27">IF(C15="emnedag",K15,0)</f>
        <v>0</v>
      </c>
      <c r="AB15" s="1">
        <f t="shared" si="2"/>
        <v>0</v>
      </c>
      <c r="AC15" s="1">
        <f t="shared" si="3"/>
        <v>0</v>
      </c>
      <c r="AD15" s="1">
        <f t="shared" si="4"/>
        <v>0</v>
      </c>
      <c r="AE15" s="1">
        <f t="shared" si="5"/>
        <v>0</v>
      </c>
      <c r="AF15" s="1">
        <f>IF(C15="Orlov",7.4*Stamoplysninger!$E$20,0)</f>
        <v>0</v>
      </c>
      <c r="AG15" t="str">
        <f>IF(AND(C15="Skema 1",B15="ma"),Arbejdstidsoversigt!$E$77,"")</f>
        <v/>
      </c>
      <c r="AH15">
        <f>IF(AND(C15="Skema 1",B15="ti"),Arbejdstidsoversigt!$E$78,"")</f>
        <v>8.11</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39" si="28">SUM(AA15:AZ15)</f>
        <v>8.11</v>
      </c>
      <c r="BB15" s="224">
        <f t="shared" si="6"/>
        <v>194.64</v>
      </c>
      <c r="BC15" s="1">
        <f t="shared" ref="BC15:BC39" si="29">IF(C15="Lejrskole",L15,0)</f>
        <v>0</v>
      </c>
      <c r="BD15" s="1">
        <f t="shared" si="7"/>
        <v>0</v>
      </c>
      <c r="BE15" s="1">
        <f t="shared" si="8"/>
        <v>0</v>
      </c>
      <c r="BF15" s="1">
        <f t="shared" si="9"/>
        <v>0</v>
      </c>
      <c r="BG15" s="207" t="str">
        <f>IF(AND(C15="Skema 1",B15="ma"),Skemaoplysninger!$E$46,"")</f>
        <v/>
      </c>
      <c r="BH15" s="207">
        <f>IF(AND(C15="Skema 1",B15="ti"),Skemaoplysninger!$G$46,"")</f>
        <v>0.1875</v>
      </c>
      <c r="BI15" s="207" t="str">
        <f>IF(AND(C15="Skema 1",B15="on"),Skemaoplysninger!$I$46,"")</f>
        <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39" si="30">SUM(BG15:BZ15)*24+SUM(BC15:BF15)</f>
        <v>4.5</v>
      </c>
      <c r="CB15" s="1">
        <f t="shared" si="10"/>
        <v>0</v>
      </c>
      <c r="CC15" s="1">
        <f t="shared" si="11"/>
        <v>0</v>
      </c>
      <c r="CD15" s="207" t="str">
        <f>IF(AND(C15="Skema 1",B15="ma"),Skemaoplysninger!$E$47,"")</f>
        <v/>
      </c>
      <c r="CE15" s="207">
        <f>IF(AND(C15="Skema 1",B15="ti"),Skemaoplysninger!$G$47,"")</f>
        <v>7.9861111111111105E-2</v>
      </c>
      <c r="CF15" s="207" t="str">
        <f>IF(AND(C15="Skema 1",B15="on"),Skemaoplysninger!$I$47,"")</f>
        <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1.9166666666666665</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39" si="31">SUM(CY15:DF15)</f>
        <v>0</v>
      </c>
      <c r="DH15" t="str">
        <f t="shared" ref="DH15:DH44" si="32">IF(AND(E15&gt;0,H15&gt;0),""&amp;E15&amp;" og "&amp;H15&amp;"","")</f>
        <v/>
      </c>
      <c r="DI15">
        <f t="shared" ref="DI15:DI40" si="33">IF(H15="",E15,"")</f>
        <v>0</v>
      </c>
      <c r="DJ15">
        <f t="shared" ref="DJ15:DJ40" si="34">IF(E15="",H15,"")</f>
        <v>0</v>
      </c>
      <c r="DK15" t="str">
        <f t="shared" si="12"/>
        <v/>
      </c>
      <c r="DL15" t="str">
        <f t="shared" si="12"/>
        <v/>
      </c>
      <c r="DM15" t="str">
        <f t="shared" si="12"/>
        <v/>
      </c>
      <c r="DN15" t="str">
        <f t="shared" ref="DN15:DN44" si="35">DK15&amp;""&amp;DL15&amp;""&amp;DM15</f>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3"/>
        <v>0</v>
      </c>
      <c r="FZ15" s="634">
        <f t="shared" si="14"/>
        <v>0</v>
      </c>
      <c r="GA15">
        <f t="shared" si="15"/>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3" si="36">IF(C15="fagdag","X",0)</f>
        <v>0</v>
      </c>
      <c r="GK15">
        <f t="shared" si="16"/>
        <v>0</v>
      </c>
      <c r="GL15">
        <f t="shared" si="17"/>
        <v>0</v>
      </c>
      <c r="GM15">
        <f t="shared" si="18"/>
        <v>0</v>
      </c>
      <c r="GN15" s="713">
        <f t="shared" si="19"/>
        <v>0</v>
      </c>
      <c r="GO15">
        <f t="shared" ref="GO15:GO43" si="37">COUNTIF(GJ15:GN15,"X")</f>
        <v>0</v>
      </c>
      <c r="GP15" s="647">
        <f t="shared" ref="GP15:GP43" si="38">IF(AND(I15="X",S15="X"),V15,0)</f>
        <v>0</v>
      </c>
    </row>
    <row r="16" spans="1:198">
      <c r="A16" s="239">
        <f t="shared" si="20"/>
        <v>3</v>
      </c>
      <c r="B16" s="125" t="str">
        <f t="shared" si="0"/>
        <v>on</v>
      </c>
      <c r="C16" s="126" t="s">
        <v>203</v>
      </c>
      <c r="D16" s="127" t="str">
        <f t="shared" si="1"/>
        <v/>
      </c>
      <c r="E16" s="1060"/>
      <c r="F16" s="1061"/>
      <c r="G16" s="1062"/>
      <c r="H16" s="292"/>
      <c r="I16" s="745"/>
      <c r="J16" s="746" t="str">
        <f t="shared" si="21"/>
        <v/>
      </c>
      <c r="K16" s="368"/>
      <c r="L16" s="368"/>
      <c r="M16" s="368"/>
      <c r="N16" s="311">
        <f t="shared" si="22"/>
        <v>8.11</v>
      </c>
      <c r="O16" s="311">
        <f t="shared" si="23"/>
        <v>2.75</v>
      </c>
      <c r="P16" s="311">
        <f>IF(Stamoplysninger!$H$34="JA",Februar!DG16,CX16)</f>
        <v>1.25</v>
      </c>
      <c r="Q16" s="311">
        <f t="shared" si="24"/>
        <v>4.1099999999999994</v>
      </c>
      <c r="R16" s="751"/>
      <c r="S16" s="315"/>
      <c r="T16" s="316"/>
      <c r="U16" s="316"/>
      <c r="V16" s="422"/>
      <c r="W16" s="422"/>
      <c r="X16" s="621"/>
      <c r="Y16">
        <f t="shared" si="25"/>
        <v>0</v>
      </c>
      <c r="Z16" s="424">
        <f t="shared" si="26"/>
        <v>0</v>
      </c>
      <c r="AA16" s="1">
        <f t="shared" si="27"/>
        <v>0</v>
      </c>
      <c r="AB16" s="1">
        <f t="shared" si="2"/>
        <v>0</v>
      </c>
      <c r="AC16" s="1">
        <f t="shared" si="3"/>
        <v>0</v>
      </c>
      <c r="AD16" s="1">
        <f t="shared" si="4"/>
        <v>0</v>
      </c>
      <c r="AE16" s="1">
        <f t="shared" si="5"/>
        <v>0</v>
      </c>
      <c r="AF16" s="1">
        <f>IF(C16="Orlov",7.4*Stamoplysninger!$E$20,0)</f>
        <v>0</v>
      </c>
      <c r="AG16" t="str">
        <f>IF(AND(C16="Skema 1",B16="ma"),Arbejdstidsoversigt!$E$77,"")</f>
        <v/>
      </c>
      <c r="AH16" t="str">
        <f>IF(AND(C16="Skema 1",B16="ti"),Arbejdstidsoversigt!$E$78,"")</f>
        <v/>
      </c>
      <c r="AI16">
        <f>IF(AND(C16="Skema 1",B16="on"),Arbejdstidsoversigt!$E$79,"")</f>
        <v>8.11</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8.11</v>
      </c>
      <c r="BB16" s="224">
        <f t="shared" si="6"/>
        <v>194.64</v>
      </c>
      <c r="BC16" s="1">
        <f t="shared" si="29"/>
        <v>0</v>
      </c>
      <c r="BD16" s="1">
        <f t="shared" si="7"/>
        <v>0</v>
      </c>
      <c r="BE16" s="1">
        <f t="shared" si="8"/>
        <v>0</v>
      </c>
      <c r="BF16" s="1">
        <f t="shared" si="9"/>
        <v>0</v>
      </c>
      <c r="BG16" s="207" t="str">
        <f>IF(AND(C16="Skema 1",B16="ma"),Skemaoplysninger!$E$46,"")</f>
        <v/>
      </c>
      <c r="BH16" s="207" t="str">
        <f>IF(AND(C16="Skema 1",B16="ti"),Skemaoplysninger!$G$46,"")</f>
        <v/>
      </c>
      <c r="BI16" s="207">
        <f>IF(AND(C16="Skema 1",B16="on"),Skemaoplysninger!$I$46,"")</f>
        <v>0.11458333333333333</v>
      </c>
      <c r="BJ16" s="207" t="str">
        <f>IF(AND(C16="Skema 1",B16="to"),Skemaoplysninger!$K$46,"")</f>
        <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0"/>
        <v>2.75</v>
      </c>
      <c r="CB16" s="1">
        <f t="shared" si="10"/>
        <v>0</v>
      </c>
      <c r="CC16" s="1">
        <f t="shared" si="11"/>
        <v>0</v>
      </c>
      <c r="CD16" s="207" t="str">
        <f>IF(AND(C16="Skema 1",B16="ma"),Skemaoplysninger!$E$47,"")</f>
        <v/>
      </c>
      <c r="CE16" s="207" t="str">
        <f>IF(AND(C16="Skema 1",B16="ti"),Skemaoplysninger!$G$47,"")</f>
        <v/>
      </c>
      <c r="CF16" s="207">
        <f>IF(AND(C16="Skema 1",B16="on"),Skemaoplysninger!$I$47,"")</f>
        <v>5.2083333333333329E-2</v>
      </c>
      <c r="CG16" s="207" t="str">
        <f>IF(AND(C16="Skema 1",B16="to"),Skemaoplysninger!$K$47,"")</f>
        <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1.25</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2"/>
        <v/>
      </c>
      <c r="DL16" t="str">
        <f t="shared" si="12"/>
        <v/>
      </c>
      <c r="DM16" t="str">
        <f t="shared" si="12"/>
        <v/>
      </c>
      <c r="DN16" t="str">
        <f t="shared" si="35"/>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3"/>
        <v>0</v>
      </c>
      <c r="FZ16" s="634">
        <f t="shared" si="14"/>
        <v>0</v>
      </c>
      <c r="GA16">
        <f t="shared" si="15"/>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6"/>
        <v>0</v>
      </c>
      <c r="GL16">
        <f t="shared" si="17"/>
        <v>0</v>
      </c>
      <c r="GM16">
        <f t="shared" si="18"/>
        <v>0</v>
      </c>
      <c r="GN16" s="713">
        <f t="shared" si="19"/>
        <v>0</v>
      </c>
      <c r="GO16">
        <f t="shared" si="37"/>
        <v>0</v>
      </c>
      <c r="GP16" s="647">
        <f t="shared" si="38"/>
        <v>0</v>
      </c>
    </row>
    <row r="17" spans="1:198">
      <c r="A17" s="239">
        <f t="shared" si="20"/>
        <v>4</v>
      </c>
      <c r="B17" s="125" t="str">
        <f t="shared" si="0"/>
        <v>to</v>
      </c>
      <c r="C17" s="126" t="s">
        <v>203</v>
      </c>
      <c r="D17" s="127" t="str">
        <f t="shared" si="1"/>
        <v/>
      </c>
      <c r="E17" s="1060"/>
      <c r="F17" s="1061"/>
      <c r="G17" s="1062"/>
      <c r="H17" s="292"/>
      <c r="I17" s="745"/>
      <c r="J17" s="746" t="str">
        <f t="shared" si="21"/>
        <v/>
      </c>
      <c r="K17" s="368"/>
      <c r="L17" s="368"/>
      <c r="M17" s="368"/>
      <c r="N17" s="311">
        <f t="shared" si="22"/>
        <v>9</v>
      </c>
      <c r="O17" s="311">
        <f t="shared" si="23"/>
        <v>3.75</v>
      </c>
      <c r="P17" s="311">
        <f>IF(Stamoplysninger!$H$34="JA",Februar!DG17,CX17)</f>
        <v>1</v>
      </c>
      <c r="Q17" s="311">
        <f t="shared" si="24"/>
        <v>4.25</v>
      </c>
      <c r="R17" s="751"/>
      <c r="S17" s="315"/>
      <c r="T17" s="316"/>
      <c r="U17" s="316"/>
      <c r="V17" s="422"/>
      <c r="W17" s="422"/>
      <c r="X17" s="621"/>
      <c r="Y17">
        <f t="shared" si="25"/>
        <v>0</v>
      </c>
      <c r="Z17" s="424">
        <f t="shared" si="26"/>
        <v>0</v>
      </c>
      <c r="AA17" s="1">
        <f t="shared" si="27"/>
        <v>0</v>
      </c>
      <c r="AB17" s="1">
        <f t="shared" si="2"/>
        <v>0</v>
      </c>
      <c r="AC17" s="1">
        <f t="shared" si="3"/>
        <v>0</v>
      </c>
      <c r="AD17" s="1">
        <f t="shared" si="4"/>
        <v>0</v>
      </c>
      <c r="AE17" s="1">
        <f t="shared" si="5"/>
        <v>0</v>
      </c>
      <c r="AF17" s="1">
        <f>IF(C17="Orlov",7.4*Stamoplysninger!$E$20,0)</f>
        <v>0</v>
      </c>
      <c r="AG17" t="str">
        <f>IF(AND(C17="Skema 1",B17="ma"),Arbejdstidsoversigt!$E$77,"")</f>
        <v/>
      </c>
      <c r="AH17" t="str">
        <f>IF(AND(C17="Skema 1",B17="ti"),Arbejdstidsoversigt!$E$78,"")</f>
        <v/>
      </c>
      <c r="AI17" t="str">
        <f>IF(AND(C17="Skema 1",B17="on"),Arbejdstidsoversigt!$E$79,"")</f>
        <v/>
      </c>
      <c r="AJ17">
        <f>IF(AND(C17="Skema 1",B17="to"),Arbejdstidsoversigt!$E$80,"")</f>
        <v>9</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9</v>
      </c>
      <c r="BB17" s="224">
        <f t="shared" si="6"/>
        <v>216</v>
      </c>
      <c r="BC17" s="1">
        <f t="shared" si="29"/>
        <v>0</v>
      </c>
      <c r="BD17" s="1">
        <f t="shared" si="7"/>
        <v>0</v>
      </c>
      <c r="BE17" s="1">
        <f t="shared" si="8"/>
        <v>0</v>
      </c>
      <c r="BF17" s="1">
        <f t="shared" si="9"/>
        <v>0</v>
      </c>
      <c r="BG17" s="207" t="str">
        <f>IF(AND(C17="Skema 1",B17="ma"),Skemaoplysninger!$E$46,"")</f>
        <v/>
      </c>
      <c r="BH17" s="207" t="str">
        <f>IF(AND(C17="Skema 1",B17="ti"),Skemaoplysninger!$G$46,"")</f>
        <v/>
      </c>
      <c r="BI17" s="207" t="str">
        <f>IF(AND(C17="Skema 1",B17="on"),Skemaoplysninger!$I$46,"")</f>
        <v/>
      </c>
      <c r="BJ17" s="207">
        <f>IF(AND(C17="Skema 1",B17="to"),Skemaoplysninger!$K$46,"")</f>
        <v>0.15625</v>
      </c>
      <c r="BK17" s="207" t="str">
        <f>IF(AND(C17="Skema 1",B17="fr"),Skemaoplysninger!$M$46,"")</f>
        <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3.75</v>
      </c>
      <c r="CB17" s="1">
        <f t="shared" si="10"/>
        <v>0</v>
      </c>
      <c r="CC17" s="1">
        <f t="shared" si="11"/>
        <v>0</v>
      </c>
      <c r="CD17" s="207" t="str">
        <f>IF(AND(C17="Skema 1",B17="ma"),Skemaoplysninger!$E$47,"")</f>
        <v/>
      </c>
      <c r="CE17" s="207" t="str">
        <f>IF(AND(C17="Skema 1",B17="ti"),Skemaoplysninger!$G$47,"")</f>
        <v/>
      </c>
      <c r="CF17" s="207" t="str">
        <f>IF(AND(C17="Skema 1",B17="on"),Skemaoplysninger!$I$47,"")</f>
        <v/>
      </c>
      <c r="CG17" s="207">
        <f>IF(AND(C17="Skema 1",B17="to"),Skemaoplysninger!$K$47,"")</f>
        <v>4.1666666666666664E-2</v>
      </c>
      <c r="CH17" s="207" t="str">
        <f>IF(AND(C17="Skema 1",B17="fr"),Skemaoplysninger!$M$47,"")</f>
        <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1</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2"/>
        <v/>
      </c>
      <c r="DL17" t="str">
        <f t="shared" si="12"/>
        <v/>
      </c>
      <c r="DM17" t="str">
        <f t="shared" si="12"/>
        <v/>
      </c>
      <c r="DN17" t="str">
        <f t="shared" si="3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3"/>
        <v>0</v>
      </c>
      <c r="FZ17" s="634">
        <f t="shared" si="14"/>
        <v>0</v>
      </c>
      <c r="GA17">
        <f t="shared" si="15"/>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6"/>
        <v>0</v>
      </c>
      <c r="GL17">
        <f t="shared" si="17"/>
        <v>0</v>
      </c>
      <c r="GM17">
        <f t="shared" si="18"/>
        <v>0</v>
      </c>
      <c r="GN17" s="713">
        <f t="shared" si="19"/>
        <v>0</v>
      </c>
      <c r="GO17">
        <f t="shared" si="37"/>
        <v>0</v>
      </c>
      <c r="GP17" s="647">
        <f t="shared" si="38"/>
        <v>0</v>
      </c>
    </row>
    <row r="18" spans="1:198">
      <c r="A18" s="239">
        <f t="shared" si="20"/>
        <v>5</v>
      </c>
      <c r="B18" s="125" t="str">
        <f t="shared" si="0"/>
        <v>fr</v>
      </c>
      <c r="C18" s="126" t="s">
        <v>203</v>
      </c>
      <c r="D18" s="127" t="str">
        <f t="shared" si="1"/>
        <v/>
      </c>
      <c r="E18" s="1060"/>
      <c r="F18" s="1061"/>
      <c r="G18" s="1062"/>
      <c r="H18" s="292"/>
      <c r="I18" s="745"/>
      <c r="J18" s="746" t="str">
        <f t="shared" si="21"/>
        <v/>
      </c>
      <c r="K18" s="368"/>
      <c r="L18" s="368"/>
      <c r="M18" s="368"/>
      <c r="N18" s="311">
        <f t="shared" si="22"/>
        <v>7.1</v>
      </c>
      <c r="O18" s="311">
        <f t="shared" si="23"/>
        <v>3.75</v>
      </c>
      <c r="P18" s="311">
        <f>IF(Stamoplysninger!$H$34="JA",Februar!DG18,CX18)</f>
        <v>1</v>
      </c>
      <c r="Q18" s="311">
        <f t="shared" si="24"/>
        <v>2.3499999999999996</v>
      </c>
      <c r="R18" s="751"/>
      <c r="S18" s="315"/>
      <c r="T18" s="316"/>
      <c r="U18" s="316"/>
      <c r="V18" s="422"/>
      <c r="W18" s="422"/>
      <c r="X18" s="621"/>
      <c r="Y18">
        <f t="shared" si="25"/>
        <v>0</v>
      </c>
      <c r="Z18" s="424">
        <f t="shared" si="26"/>
        <v>0</v>
      </c>
      <c r="AA18" s="1">
        <f t="shared" si="27"/>
        <v>0</v>
      </c>
      <c r="AB18" s="1">
        <f t="shared" si="2"/>
        <v>0</v>
      </c>
      <c r="AC18" s="1">
        <f t="shared" si="3"/>
        <v>0</v>
      </c>
      <c r="AD18" s="1">
        <f t="shared" si="4"/>
        <v>0</v>
      </c>
      <c r="AE18" s="1">
        <f t="shared" si="5"/>
        <v>0</v>
      </c>
      <c r="AF18" s="1">
        <f>IF(C18="Orlov",7.4*Stamoplysninger!$E$20,0)</f>
        <v>0</v>
      </c>
      <c r="AG18" t="str">
        <f>IF(AND(C18="Skema 1",B18="ma"),Arbejdstidsoversigt!$E$77,"")</f>
        <v/>
      </c>
      <c r="AH18" t="str">
        <f>IF(AND(C18="Skema 1",B18="ti"),Arbejdstidsoversigt!$E$78,"")</f>
        <v/>
      </c>
      <c r="AI18" t="str">
        <f>IF(AND(C18="Skema 1",B18="on"),Arbejdstidsoversigt!$E$79,"")</f>
        <v/>
      </c>
      <c r="AJ18" t="str">
        <f>IF(AND(C18="Skema 1",B18="to"),Arbejdstidsoversigt!$E$80,"")</f>
        <v/>
      </c>
      <c r="AK18">
        <f>IF(AND(C18="Skema 1",B18="fr"),Arbejdstidsoversigt!$E$81,"")</f>
        <v>7.1</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7.1</v>
      </c>
      <c r="BB18" s="224">
        <f t="shared" si="6"/>
        <v>170.39999999999998</v>
      </c>
      <c r="BC18" s="1">
        <f t="shared" si="29"/>
        <v>0</v>
      </c>
      <c r="BD18" s="1">
        <f t="shared" si="7"/>
        <v>0</v>
      </c>
      <c r="BE18" s="1">
        <f t="shared" si="8"/>
        <v>0</v>
      </c>
      <c r="BF18" s="1">
        <f t="shared" si="9"/>
        <v>0</v>
      </c>
      <c r="BG18" s="207" t="str">
        <f>IF(AND(C18="Skema 1",B18="ma"),Skemaoplysninger!$E$46,"")</f>
        <v/>
      </c>
      <c r="BH18" s="207" t="str">
        <f>IF(AND(C18="Skema 1",B18="ti"),Skemaoplysninger!$G$46,"")</f>
        <v/>
      </c>
      <c r="BI18" s="207" t="str">
        <f>IF(AND(C18="Skema 1",B18="on"),Skemaoplysninger!$I$46,"")</f>
        <v/>
      </c>
      <c r="BJ18" s="207" t="str">
        <f>IF(AND(C18="Skema 1",B18="to"),Skemaoplysninger!$K$46,"")</f>
        <v/>
      </c>
      <c r="BK18" s="207">
        <f>IF(AND(C18="Skema 1",B18="fr"),Skemaoplysninger!$M$46,"")</f>
        <v>0.15625</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3.75</v>
      </c>
      <c r="CB18" s="1">
        <f t="shared" si="10"/>
        <v>0</v>
      </c>
      <c r="CC18" s="1">
        <f t="shared" si="11"/>
        <v>0</v>
      </c>
      <c r="CD18" s="207" t="str">
        <f>IF(AND(C18="Skema 1",B18="ma"),Skemaoplysninger!$E$47,"")</f>
        <v/>
      </c>
      <c r="CE18" s="207" t="str">
        <f>IF(AND(C18="Skema 1",B18="ti"),Skemaoplysninger!$G$47,"")</f>
        <v/>
      </c>
      <c r="CF18" s="207" t="str">
        <f>IF(AND(C18="Skema 1",B18="on"),Skemaoplysninger!$I$47,"")</f>
        <v/>
      </c>
      <c r="CG18" s="207" t="str">
        <f>IF(AND(C18="Skema 1",B18="to"),Skemaoplysninger!$K$47,"")</f>
        <v/>
      </c>
      <c r="CH18" s="207">
        <f>IF(AND(C18="Skema 1",B18="fr"),Skemaoplysninger!$M$47,"")</f>
        <v>4.1666666666666664E-2</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1</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2"/>
        <v/>
      </c>
      <c r="DL18" t="str">
        <f t="shared" si="12"/>
        <v/>
      </c>
      <c r="DM18" t="str">
        <f t="shared" si="12"/>
        <v/>
      </c>
      <c r="DN18" t="str">
        <f t="shared" si="35"/>
        <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3"/>
        <v>0</v>
      </c>
      <c r="FZ18" s="634">
        <f t="shared" si="14"/>
        <v>0</v>
      </c>
      <c r="GA18">
        <f t="shared" si="15"/>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6"/>
        <v>0</v>
      </c>
      <c r="GL18">
        <f t="shared" si="17"/>
        <v>0</v>
      </c>
      <c r="GM18">
        <f t="shared" si="18"/>
        <v>0</v>
      </c>
      <c r="GN18" s="713">
        <f t="shared" si="19"/>
        <v>0</v>
      </c>
      <c r="GO18">
        <f t="shared" si="37"/>
        <v>0</v>
      </c>
      <c r="GP18" s="647">
        <f t="shared" si="38"/>
        <v>0</v>
      </c>
    </row>
    <row r="19" spans="1:198" ht="16" customHeight="1">
      <c r="A19" s="239">
        <f t="shared" si="20"/>
        <v>6</v>
      </c>
      <c r="B19" s="125" t="str">
        <f t="shared" si="0"/>
        <v>lø</v>
      </c>
      <c r="C19" s="126" t="s">
        <v>118</v>
      </c>
      <c r="D19" s="127" t="str">
        <f t="shared" si="1"/>
        <v/>
      </c>
      <c r="E19" s="1060"/>
      <c r="F19" s="1061"/>
      <c r="G19" s="1062"/>
      <c r="H19" s="292"/>
      <c r="I19" s="746" t="str">
        <f>IF(GO19=1,"X","")</f>
        <v/>
      </c>
      <c r="J19" s="746" t="str">
        <f t="shared" si="21"/>
        <v/>
      </c>
      <c r="K19" s="368"/>
      <c r="L19" s="368"/>
      <c r="M19" s="368"/>
      <c r="N19" s="311">
        <f t="shared" si="22"/>
        <v>0</v>
      </c>
      <c r="O19" s="311">
        <f t="shared" si="23"/>
        <v>0</v>
      </c>
      <c r="P19" s="311">
        <f>IF(Stamoplysninger!$H$34="JA",Februar!DG19,CX19)</f>
        <v>0</v>
      </c>
      <c r="Q19" s="311">
        <f t="shared" si="24"/>
        <v>0</v>
      </c>
      <c r="R19" s="751"/>
      <c r="S19" s="315"/>
      <c r="T19" s="316"/>
      <c r="U19" s="316"/>
      <c r="V19" s="422"/>
      <c r="W19" s="422"/>
      <c r="X19" s="621"/>
      <c r="Y19">
        <f t="shared" si="25"/>
        <v>0</v>
      </c>
      <c r="Z19" s="424">
        <f t="shared" si="26"/>
        <v>0</v>
      </c>
      <c r="AA19" s="1">
        <f t="shared" si="27"/>
        <v>0</v>
      </c>
      <c r="AB19" s="1">
        <f t="shared" si="2"/>
        <v>0</v>
      </c>
      <c r="AC19" s="1">
        <f t="shared" si="3"/>
        <v>0</v>
      </c>
      <c r="AD19" s="1">
        <f t="shared" si="4"/>
        <v>0</v>
      </c>
      <c r="AE19" s="1">
        <f t="shared" si="5"/>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6"/>
        <v>0</v>
      </c>
      <c r="BC19" s="1">
        <f t="shared" si="29"/>
        <v>0</v>
      </c>
      <c r="BD19" s="1">
        <f t="shared" si="7"/>
        <v>0</v>
      </c>
      <c r="BE19" s="1">
        <f t="shared" si="8"/>
        <v>0</v>
      </c>
      <c r="BF19" s="1">
        <f t="shared" si="9"/>
        <v>0</v>
      </c>
      <c r="BG19" s="207" t="str">
        <f>IF(AND(C19="Skema 1",B19="ma"),Skemaoplysninger!$E$46,"")</f>
        <v/>
      </c>
      <c r="BH19" s="207" t="str">
        <f>IF(AND(C19="Skema 1",B19="ti"),Skemaoplysninger!$G$46,"")</f>
        <v/>
      </c>
      <c r="BI19" s="207" t="str">
        <f>IF(AND(C19="Skema 1",B19="on"),Skemaoplysninger!$I$46,"")</f>
        <v/>
      </c>
      <c r="BJ19" s="207" t="str">
        <f>IF(AND(C19="Skema 1",B19="to"),Skemaoplysninger!$K$46,"")</f>
        <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0</v>
      </c>
      <c r="CB19" s="1">
        <f t="shared" si="10"/>
        <v>0</v>
      </c>
      <c r="CC19" s="1">
        <f t="shared" si="11"/>
        <v>0</v>
      </c>
      <c r="CD19" s="207" t="str">
        <f>IF(AND(C19="Skema 1",B19="ma"),Skemaoplysninger!$E$47,"")</f>
        <v/>
      </c>
      <c r="CE19" s="207" t="str">
        <f>IF(AND(C19="Skema 1",B19="ti"),Skemaoplysninger!$G$47,"")</f>
        <v/>
      </c>
      <c r="CF19" s="207" t="str">
        <f>IF(AND(C19="Skema 1",B19="on"),Skemaoplysninger!$I$47,"")</f>
        <v/>
      </c>
      <c r="CG19" s="207" t="str">
        <f>IF(AND(C19="Skema 1",B19="to"),Skemaoplysninger!$K$47,"")</f>
        <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2"/>
        <v/>
      </c>
      <c r="DL19" t="str">
        <f t="shared" si="12"/>
        <v/>
      </c>
      <c r="DM19" t="str">
        <f t="shared" si="12"/>
        <v/>
      </c>
      <c r="DN19" t="str">
        <f t="shared" si="35"/>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3"/>
        <v>0</v>
      </c>
      <c r="FZ19" s="634">
        <f t="shared" si="14"/>
        <v>0</v>
      </c>
      <c r="GA19">
        <f t="shared" si="15"/>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6"/>
        <v>0</v>
      </c>
      <c r="GL19">
        <f t="shared" si="17"/>
        <v>0</v>
      </c>
      <c r="GM19">
        <f t="shared" si="18"/>
        <v>0</v>
      </c>
      <c r="GN19" s="713">
        <f t="shared" si="19"/>
        <v>0</v>
      </c>
      <c r="GO19">
        <f t="shared" si="37"/>
        <v>0</v>
      </c>
      <c r="GP19" s="647">
        <f t="shared" si="38"/>
        <v>0</v>
      </c>
    </row>
    <row r="20" spans="1:198" ht="16" customHeight="1">
      <c r="A20" s="239">
        <f t="shared" si="20"/>
        <v>7</v>
      </c>
      <c r="B20" s="125" t="str">
        <f t="shared" si="0"/>
        <v>sø</v>
      </c>
      <c r="C20" s="126" t="s">
        <v>118</v>
      </c>
      <c r="D20" s="127" t="str">
        <f t="shared" si="1"/>
        <v/>
      </c>
      <c r="E20" s="1060"/>
      <c r="F20" s="1061"/>
      <c r="G20" s="1062"/>
      <c r="H20" s="292"/>
      <c r="I20" s="746" t="str">
        <f>IF(GO20=1,"X","")</f>
        <v/>
      </c>
      <c r="J20" s="746" t="str">
        <f t="shared" si="21"/>
        <v/>
      </c>
      <c r="K20" s="368"/>
      <c r="L20" s="368"/>
      <c r="M20" s="368"/>
      <c r="N20" s="311">
        <f t="shared" si="22"/>
        <v>0</v>
      </c>
      <c r="O20" s="311">
        <f t="shared" si="23"/>
        <v>0</v>
      </c>
      <c r="P20" s="311">
        <f>IF(Stamoplysninger!$H$34="JA",Februar!DG20,CX20)</f>
        <v>0</v>
      </c>
      <c r="Q20" s="311">
        <f t="shared" si="24"/>
        <v>0</v>
      </c>
      <c r="R20" s="751"/>
      <c r="S20" s="315"/>
      <c r="T20" s="316"/>
      <c r="U20" s="316"/>
      <c r="V20" s="422"/>
      <c r="W20" s="422"/>
      <c r="X20" s="621"/>
      <c r="Y20">
        <f t="shared" si="25"/>
        <v>0</v>
      </c>
      <c r="Z20" s="424">
        <f t="shared" si="26"/>
        <v>0</v>
      </c>
      <c r="AA20" s="1">
        <f t="shared" si="27"/>
        <v>0</v>
      </c>
      <c r="AB20" s="1">
        <f t="shared" si="2"/>
        <v>0</v>
      </c>
      <c r="AC20" s="1">
        <f t="shared" si="3"/>
        <v>0</v>
      </c>
      <c r="AD20" s="1">
        <f t="shared" si="4"/>
        <v>0</v>
      </c>
      <c r="AE20" s="1">
        <f t="shared" si="5"/>
        <v>0</v>
      </c>
      <c r="AF20" s="1">
        <f>IF(C20="Orlov",7.4*Stamoplysninger!$E$20,0)</f>
        <v>0</v>
      </c>
      <c r="AG20" t="str">
        <f>IF(AND(C20="Skema 1",B20="ma"),Arbejdstidsoversigt!$E$77,"")</f>
        <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6"/>
        <v>0</v>
      </c>
      <c r="BC20" s="1">
        <f t="shared" si="29"/>
        <v>0</v>
      </c>
      <c r="BD20" s="1">
        <f t="shared" si="7"/>
        <v>0</v>
      </c>
      <c r="BE20" s="1">
        <f t="shared" si="8"/>
        <v>0</v>
      </c>
      <c r="BF20" s="1">
        <f t="shared" si="9"/>
        <v>0</v>
      </c>
      <c r="BG20" s="207" t="str">
        <f>IF(AND(C20="Skema 1",B20="ma"),Skemaoplysninger!$E$46,"")</f>
        <v/>
      </c>
      <c r="BH20" s="207" t="str">
        <f>IF(AND(C20="Skema 1",B20="ti"),Skemaoplysninger!$G$46,"")</f>
        <v/>
      </c>
      <c r="BI20" s="207" t="str">
        <f>IF(AND(C20="Skema 1",B20="on"),Skemaoplysninger!$I$46,"")</f>
        <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0</v>
      </c>
      <c r="CB20" s="1">
        <f t="shared" si="10"/>
        <v>0</v>
      </c>
      <c r="CC20" s="1">
        <f t="shared" si="11"/>
        <v>0</v>
      </c>
      <c r="CD20" s="207" t="str">
        <f>IF(AND(C20="Skema 1",B20="ma"),Skemaoplysninger!$E$47,"")</f>
        <v/>
      </c>
      <c r="CE20" s="207" t="str">
        <f>IF(AND(C20="Skema 1",B20="ti"),Skemaoplysninger!$G$47,"")</f>
        <v/>
      </c>
      <c r="CF20" s="207" t="str">
        <f>IF(AND(C20="Skema 1",B20="on"),Skemaoplysninger!$I$47,"")</f>
        <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2"/>
        <v/>
      </c>
      <c r="DL20" t="str">
        <f t="shared" si="12"/>
        <v/>
      </c>
      <c r="DM20" t="str">
        <f t="shared" si="12"/>
        <v/>
      </c>
      <c r="DN20" t="str">
        <f t="shared" si="35"/>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3"/>
        <v>0</v>
      </c>
      <c r="FZ20" s="634">
        <f t="shared" si="14"/>
        <v>0</v>
      </c>
      <c r="GA20">
        <f t="shared" si="15"/>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6"/>
        <v>0</v>
      </c>
      <c r="GL20">
        <f t="shared" si="17"/>
        <v>0</v>
      </c>
      <c r="GM20">
        <f t="shared" si="18"/>
        <v>0</v>
      </c>
      <c r="GN20" s="713">
        <f t="shared" si="19"/>
        <v>0</v>
      </c>
      <c r="GO20">
        <f t="shared" si="37"/>
        <v>0</v>
      </c>
      <c r="GP20" s="647">
        <f t="shared" si="38"/>
        <v>0</v>
      </c>
    </row>
    <row r="21" spans="1:198">
      <c r="A21" s="239">
        <f t="shared" si="20"/>
        <v>8</v>
      </c>
      <c r="B21" s="125" t="str">
        <f t="shared" si="0"/>
        <v>ma</v>
      </c>
      <c r="C21" s="126" t="s">
        <v>203</v>
      </c>
      <c r="D21" s="127">
        <f t="shared" si="1"/>
        <v>6.4285714285714288</v>
      </c>
      <c r="E21" s="1060"/>
      <c r="F21" s="1061"/>
      <c r="G21" s="1062"/>
      <c r="H21" s="292"/>
      <c r="I21" s="745"/>
      <c r="J21" s="746" t="str">
        <f t="shared" si="21"/>
        <v/>
      </c>
      <c r="K21" s="368"/>
      <c r="L21" s="368"/>
      <c r="M21" s="368"/>
      <c r="N21" s="311">
        <f t="shared" si="22"/>
        <v>8.11</v>
      </c>
      <c r="O21" s="311">
        <f t="shared" si="23"/>
        <v>4.5</v>
      </c>
      <c r="P21" s="311">
        <f>IF(Stamoplysninger!$H$34="JA",Februar!DG21,CX21)</f>
        <v>1.9166666666666665</v>
      </c>
      <c r="Q21" s="311">
        <f t="shared" si="24"/>
        <v>1.6933333333333329</v>
      </c>
      <c r="R21" s="751"/>
      <c r="S21" s="315"/>
      <c r="T21" s="316"/>
      <c r="U21" s="316"/>
      <c r="V21" s="422"/>
      <c r="W21" s="422"/>
      <c r="X21" s="621"/>
      <c r="Y21">
        <f t="shared" si="25"/>
        <v>0</v>
      </c>
      <c r="Z21" s="424">
        <f t="shared" si="26"/>
        <v>0</v>
      </c>
      <c r="AA21" s="1">
        <f t="shared" si="27"/>
        <v>0</v>
      </c>
      <c r="AB21" s="1">
        <f t="shared" si="2"/>
        <v>0</v>
      </c>
      <c r="AC21" s="1">
        <f t="shared" si="3"/>
        <v>0</v>
      </c>
      <c r="AD21" s="1">
        <f t="shared" si="4"/>
        <v>0</v>
      </c>
      <c r="AE21" s="1">
        <f t="shared" si="5"/>
        <v>0</v>
      </c>
      <c r="AF21" s="1">
        <f>IF(C21="Orlov",7.4*Stamoplysninger!$E$20,0)</f>
        <v>0</v>
      </c>
      <c r="AG21">
        <f>IF(AND(C21="Skema 1",B21="ma"),Arbejdstidsoversigt!$E$77,"")</f>
        <v>8.11</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8.11</v>
      </c>
      <c r="BB21" s="224">
        <f t="shared" si="6"/>
        <v>194.64</v>
      </c>
      <c r="BC21" s="1">
        <f t="shared" si="29"/>
        <v>0</v>
      </c>
      <c r="BD21" s="1">
        <f t="shared" si="7"/>
        <v>0</v>
      </c>
      <c r="BE21" s="1">
        <f t="shared" si="8"/>
        <v>0</v>
      </c>
      <c r="BF21" s="1">
        <f t="shared" si="9"/>
        <v>0</v>
      </c>
      <c r="BG21" s="207">
        <f>IF(AND(C21="Skema 1",B21="ma"),Skemaoplysninger!$E$46,"")</f>
        <v>0.1875</v>
      </c>
      <c r="BH21" s="207" t="str">
        <f>IF(AND(C21="Skema 1",B21="ti"),Skemaoplysninger!$G$46,"")</f>
        <v/>
      </c>
      <c r="BI21" s="207" t="str">
        <f>IF(AND(C21="Skema 1",B21="on"),Skemaoplysninger!$I$46,"")</f>
        <v/>
      </c>
      <c r="BJ21" s="207" t="str">
        <f>IF(AND(C21="Skema 1",B21="to"),Skemaoplysninger!$K$46,"")</f>
        <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4.5</v>
      </c>
      <c r="CB21" s="1">
        <f t="shared" si="10"/>
        <v>0</v>
      </c>
      <c r="CC21" s="1">
        <f t="shared" si="11"/>
        <v>0</v>
      </c>
      <c r="CD21" s="207">
        <f>IF(AND(C21="Skema 1",B21="ma"),Skemaoplysninger!$E$47,"")</f>
        <v>7.9861111111111105E-2</v>
      </c>
      <c r="CE21" s="207" t="str">
        <f>IF(AND(C21="Skema 1",B21="ti"),Skemaoplysninger!$G$47,"")</f>
        <v/>
      </c>
      <c r="CF21" s="207" t="str">
        <f>IF(AND(C21="Skema 1",B21="on"),Skemaoplysninger!$I$47,"")</f>
        <v/>
      </c>
      <c r="CG21" s="207" t="str">
        <f>IF(AND(C21="Skema 1",B21="to"),Skemaoplysninger!$K$47,"")</f>
        <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1.9166666666666665</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2"/>
        <v/>
      </c>
      <c r="DL21" t="str">
        <f t="shared" si="12"/>
        <v/>
      </c>
      <c r="DM21" t="str">
        <f t="shared" si="12"/>
        <v/>
      </c>
      <c r="DN21" t="str">
        <f t="shared" si="35"/>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3"/>
        <v>0</v>
      </c>
      <c r="FZ21" s="634">
        <f t="shared" si="14"/>
        <v>0</v>
      </c>
      <c r="GA21">
        <f t="shared" si="15"/>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6"/>
        <v>0</v>
      </c>
      <c r="GL21">
        <f t="shared" si="17"/>
        <v>0</v>
      </c>
      <c r="GM21">
        <f t="shared" si="18"/>
        <v>0</v>
      </c>
      <c r="GN21" s="713">
        <f t="shared" si="19"/>
        <v>0</v>
      </c>
      <c r="GO21">
        <f t="shared" si="37"/>
        <v>0</v>
      </c>
      <c r="GP21" s="647">
        <f t="shared" si="38"/>
        <v>0</v>
      </c>
    </row>
    <row r="22" spans="1:198">
      <c r="A22" s="239">
        <f t="shared" si="20"/>
        <v>9</v>
      </c>
      <c r="B22" s="125" t="str">
        <f t="shared" si="0"/>
        <v>ti</v>
      </c>
      <c r="C22" s="126" t="s">
        <v>203</v>
      </c>
      <c r="D22" s="127" t="str">
        <f t="shared" si="1"/>
        <v/>
      </c>
      <c r="E22" s="1060"/>
      <c r="F22" s="1061"/>
      <c r="G22" s="1062"/>
      <c r="H22" s="292"/>
      <c r="I22" s="745"/>
      <c r="J22" s="746" t="str">
        <f t="shared" si="21"/>
        <v/>
      </c>
      <c r="K22" s="368"/>
      <c r="L22" s="368"/>
      <c r="M22" s="368"/>
      <c r="N22" s="311">
        <f t="shared" si="22"/>
        <v>8.11</v>
      </c>
      <c r="O22" s="311">
        <f t="shared" si="23"/>
        <v>4.5</v>
      </c>
      <c r="P22" s="311">
        <f>IF(Stamoplysninger!$H$34="JA",Februar!DG22,CX22)</f>
        <v>1.9166666666666665</v>
      </c>
      <c r="Q22" s="311">
        <f t="shared" si="24"/>
        <v>1.6933333333333329</v>
      </c>
      <c r="R22" s="751"/>
      <c r="S22" s="315"/>
      <c r="T22" s="316"/>
      <c r="U22" s="316"/>
      <c r="V22" s="422"/>
      <c r="W22" s="422"/>
      <c r="X22" s="621"/>
      <c r="Y22">
        <f t="shared" si="25"/>
        <v>0</v>
      </c>
      <c r="Z22" s="424">
        <f t="shared" si="26"/>
        <v>0</v>
      </c>
      <c r="AA22" s="1">
        <f t="shared" si="27"/>
        <v>0</v>
      </c>
      <c r="AB22" s="1">
        <f t="shared" si="2"/>
        <v>0</v>
      </c>
      <c r="AC22" s="1">
        <f t="shared" si="3"/>
        <v>0</v>
      </c>
      <c r="AD22" s="1">
        <f t="shared" si="4"/>
        <v>0</v>
      </c>
      <c r="AE22" s="1">
        <f t="shared" si="5"/>
        <v>0</v>
      </c>
      <c r="AF22" s="1">
        <f>IF(C22="Orlov",7.4*Stamoplysninger!$E$20,0)</f>
        <v>0</v>
      </c>
      <c r="AG22" t="str">
        <f>IF(AND(C22="Skema 1",B22="ma"),Arbejdstidsoversigt!$E$77,"")</f>
        <v/>
      </c>
      <c r="AH22">
        <f>IF(AND(C22="Skema 1",B22="ti"),Arbejdstidsoversigt!$E$78,"")</f>
        <v>8.11</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8.11</v>
      </c>
      <c r="BB22" s="224">
        <f t="shared" si="6"/>
        <v>194.64</v>
      </c>
      <c r="BC22" s="1">
        <f t="shared" si="29"/>
        <v>0</v>
      </c>
      <c r="BD22" s="1">
        <f t="shared" si="7"/>
        <v>0</v>
      </c>
      <c r="BE22" s="1">
        <f t="shared" si="8"/>
        <v>0</v>
      </c>
      <c r="BF22" s="1">
        <f t="shared" si="9"/>
        <v>0</v>
      </c>
      <c r="BG22" s="207" t="str">
        <f>IF(AND(C22="Skema 1",B22="ma"),Skemaoplysninger!$E$46,"")</f>
        <v/>
      </c>
      <c r="BH22" s="207">
        <f>IF(AND(C22="Skema 1",B22="ti"),Skemaoplysninger!$G$46,"")</f>
        <v>0.1875</v>
      </c>
      <c r="BI22" s="207" t="str">
        <f>IF(AND(C22="Skema 1",B22="on"),Skemaoplysninger!$I$46,"")</f>
        <v/>
      </c>
      <c r="BJ22" s="207" t="str">
        <f>IF(AND(C22="Skema 1",B22="to"),Skemaoplysninger!$K$46,"")</f>
        <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4.5</v>
      </c>
      <c r="CB22" s="1">
        <f t="shared" si="10"/>
        <v>0</v>
      </c>
      <c r="CC22" s="1">
        <f t="shared" si="11"/>
        <v>0</v>
      </c>
      <c r="CD22" s="207" t="str">
        <f>IF(AND(C22="Skema 1",B22="ma"),Skemaoplysninger!$E$47,"")</f>
        <v/>
      </c>
      <c r="CE22" s="207">
        <f>IF(AND(C22="Skema 1",B22="ti"),Skemaoplysninger!$G$47,"")</f>
        <v>7.9861111111111105E-2</v>
      </c>
      <c r="CF22" s="207" t="str">
        <f>IF(AND(C22="Skema 1",B22="on"),Skemaoplysninger!$I$47,"")</f>
        <v/>
      </c>
      <c r="CG22" s="207" t="str">
        <f>IF(AND(C22="Skema 1",B22="to"),Skemaoplysninger!$K$47,"")</f>
        <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1.9166666666666665</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2"/>
        <v/>
      </c>
      <c r="DL22" t="str">
        <f t="shared" si="12"/>
        <v/>
      </c>
      <c r="DM22" t="str">
        <f t="shared" si="12"/>
        <v/>
      </c>
      <c r="DN22" t="str">
        <f t="shared" si="35"/>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3"/>
        <v>0</v>
      </c>
      <c r="FZ22" s="634">
        <f t="shared" si="14"/>
        <v>0</v>
      </c>
      <c r="GA22">
        <f t="shared" si="15"/>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6"/>
        <v>0</v>
      </c>
      <c r="GL22">
        <f t="shared" si="17"/>
        <v>0</v>
      </c>
      <c r="GM22">
        <f t="shared" si="18"/>
        <v>0</v>
      </c>
      <c r="GN22" s="713">
        <f t="shared" si="19"/>
        <v>0</v>
      </c>
      <c r="GO22">
        <f t="shared" si="37"/>
        <v>0</v>
      </c>
      <c r="GP22" s="647">
        <f t="shared" si="38"/>
        <v>0</v>
      </c>
    </row>
    <row r="23" spans="1:198">
      <c r="A23" s="239">
        <f t="shared" si="20"/>
        <v>10</v>
      </c>
      <c r="B23" s="125" t="str">
        <f t="shared" si="0"/>
        <v>on</v>
      </c>
      <c r="C23" s="126" t="s">
        <v>203</v>
      </c>
      <c r="D23" s="127" t="str">
        <f t="shared" si="1"/>
        <v/>
      </c>
      <c r="E23" s="1060"/>
      <c r="F23" s="1061"/>
      <c r="G23" s="1062"/>
      <c r="H23" s="292"/>
      <c r="I23" s="745"/>
      <c r="J23" s="746" t="str">
        <f t="shared" si="21"/>
        <v/>
      </c>
      <c r="K23" s="368"/>
      <c r="L23" s="368"/>
      <c r="M23" s="368"/>
      <c r="N23" s="311">
        <f t="shared" si="22"/>
        <v>8.11</v>
      </c>
      <c r="O23" s="311">
        <f t="shared" si="23"/>
        <v>2.75</v>
      </c>
      <c r="P23" s="311">
        <f>IF(Stamoplysninger!$H$34="JA",Februar!DG23,CX23)</f>
        <v>1.25</v>
      </c>
      <c r="Q23" s="311">
        <f t="shared" si="24"/>
        <v>4.1099999999999994</v>
      </c>
      <c r="R23" s="751"/>
      <c r="S23" s="315"/>
      <c r="T23" s="316"/>
      <c r="U23" s="316"/>
      <c r="V23" s="422"/>
      <c r="W23" s="422"/>
      <c r="X23" s="621"/>
      <c r="Y23">
        <f t="shared" si="25"/>
        <v>0</v>
      </c>
      <c r="Z23" s="424">
        <f t="shared" si="26"/>
        <v>0</v>
      </c>
      <c r="AA23" s="1">
        <f t="shared" si="27"/>
        <v>0</v>
      </c>
      <c r="AB23" s="1">
        <f t="shared" si="2"/>
        <v>0</v>
      </c>
      <c r="AC23" s="1">
        <f t="shared" si="3"/>
        <v>0</v>
      </c>
      <c r="AD23" s="1">
        <f t="shared" si="4"/>
        <v>0</v>
      </c>
      <c r="AE23" s="1">
        <f t="shared" si="5"/>
        <v>0</v>
      </c>
      <c r="AF23" s="1">
        <f>IF(C23="Orlov",7.4*Stamoplysninger!$E$20,0)</f>
        <v>0</v>
      </c>
      <c r="AG23" t="str">
        <f>IF(AND(C23="Skema 1",B23="ma"),Arbejdstidsoversigt!$E$77,"")</f>
        <v/>
      </c>
      <c r="AH23" t="str">
        <f>IF(AND(C23="Skema 1",B23="ti"),Arbejdstidsoversigt!$E$78,"")</f>
        <v/>
      </c>
      <c r="AI23">
        <f>IF(AND(C23="Skema 1",B23="on"),Arbejdstidsoversigt!$E$79,"")</f>
        <v>8.11</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8.11</v>
      </c>
      <c r="BB23" s="224">
        <f t="shared" si="6"/>
        <v>194.64</v>
      </c>
      <c r="BC23" s="1">
        <f t="shared" si="29"/>
        <v>0</v>
      </c>
      <c r="BD23" s="1">
        <f t="shared" si="7"/>
        <v>0</v>
      </c>
      <c r="BE23" s="1">
        <f t="shared" si="8"/>
        <v>0</v>
      </c>
      <c r="BF23" s="1">
        <f t="shared" si="9"/>
        <v>0</v>
      </c>
      <c r="BG23" s="207" t="str">
        <f>IF(AND(C23="Skema 1",B23="ma"),Skemaoplysninger!$E$46,"")</f>
        <v/>
      </c>
      <c r="BH23" s="207" t="str">
        <f>IF(AND(C23="Skema 1",B23="ti"),Skemaoplysninger!$G$46,"")</f>
        <v/>
      </c>
      <c r="BI23" s="207">
        <f>IF(AND(C23="Skema 1",B23="on"),Skemaoplysninger!$I$46,"")</f>
        <v>0.11458333333333333</v>
      </c>
      <c r="BJ23" s="207" t="str">
        <f>IF(AND(C23="Skema 1",B23="to"),Skemaoplysninger!$K$46,"")</f>
        <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2.75</v>
      </c>
      <c r="CB23" s="1">
        <f t="shared" si="10"/>
        <v>0</v>
      </c>
      <c r="CC23" s="1">
        <f t="shared" si="11"/>
        <v>0</v>
      </c>
      <c r="CD23" s="207" t="str">
        <f>IF(AND(C23="Skema 1",B23="ma"),Skemaoplysninger!$E$47,"")</f>
        <v/>
      </c>
      <c r="CE23" s="207" t="str">
        <f>IF(AND(C23="Skema 1",B23="ti"),Skemaoplysninger!$G$47,"")</f>
        <v/>
      </c>
      <c r="CF23" s="207">
        <f>IF(AND(C23="Skema 1",B23="on"),Skemaoplysninger!$I$47,"")</f>
        <v>5.2083333333333329E-2</v>
      </c>
      <c r="CG23" s="207" t="str">
        <f>IF(AND(C23="Skema 1",B23="to"),Skemaoplysninger!$K$47,"")</f>
        <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1.25</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2"/>
        <v/>
      </c>
      <c r="DL23" t="str">
        <f t="shared" si="12"/>
        <v/>
      </c>
      <c r="DM23" t="str">
        <f t="shared" si="12"/>
        <v/>
      </c>
      <c r="DN23" t="str">
        <f t="shared" si="35"/>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3"/>
        <v>0</v>
      </c>
      <c r="FZ23" s="634">
        <f t="shared" si="14"/>
        <v>0</v>
      </c>
      <c r="GA23">
        <f t="shared" si="15"/>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6"/>
        <v>0</v>
      </c>
      <c r="GL23">
        <f t="shared" si="17"/>
        <v>0</v>
      </c>
      <c r="GM23">
        <f t="shared" si="18"/>
        <v>0</v>
      </c>
      <c r="GN23" s="713">
        <f t="shared" si="19"/>
        <v>0</v>
      </c>
      <c r="GO23">
        <f t="shared" si="37"/>
        <v>0</v>
      </c>
      <c r="GP23" s="647">
        <f t="shared" si="38"/>
        <v>0</v>
      </c>
    </row>
    <row r="24" spans="1:198">
      <c r="A24" s="239">
        <f t="shared" si="20"/>
        <v>11</v>
      </c>
      <c r="B24" s="125" t="str">
        <f t="shared" si="0"/>
        <v>to</v>
      </c>
      <c r="C24" s="126" t="s">
        <v>203</v>
      </c>
      <c r="D24" s="127" t="str">
        <f t="shared" si="1"/>
        <v/>
      </c>
      <c r="E24" s="1060"/>
      <c r="F24" s="1061"/>
      <c r="G24" s="1062"/>
      <c r="H24" s="292"/>
      <c r="I24" s="745"/>
      <c r="J24" s="746" t="str">
        <f t="shared" si="21"/>
        <v/>
      </c>
      <c r="K24" s="368"/>
      <c r="L24" s="368"/>
      <c r="M24" s="368"/>
      <c r="N24" s="311">
        <f t="shared" si="22"/>
        <v>9</v>
      </c>
      <c r="O24" s="311">
        <f t="shared" si="23"/>
        <v>3.75</v>
      </c>
      <c r="P24" s="311">
        <f>IF(Stamoplysninger!$H$34="JA",Februar!DG24,CX24)</f>
        <v>1</v>
      </c>
      <c r="Q24" s="311">
        <f t="shared" si="24"/>
        <v>4.25</v>
      </c>
      <c r="R24" s="751"/>
      <c r="S24" s="315"/>
      <c r="T24" s="316"/>
      <c r="U24" s="316"/>
      <c r="V24" s="422"/>
      <c r="W24" s="422"/>
      <c r="X24" s="621"/>
      <c r="Y24">
        <f t="shared" si="25"/>
        <v>0</v>
      </c>
      <c r="Z24" s="424">
        <f t="shared" si="26"/>
        <v>0</v>
      </c>
      <c r="AA24" s="1">
        <f t="shared" si="27"/>
        <v>0</v>
      </c>
      <c r="AB24" s="1">
        <f t="shared" si="2"/>
        <v>0</v>
      </c>
      <c r="AC24" s="1">
        <f t="shared" si="3"/>
        <v>0</v>
      </c>
      <c r="AD24" s="1">
        <f t="shared" si="4"/>
        <v>0</v>
      </c>
      <c r="AE24" s="1">
        <f t="shared" si="5"/>
        <v>0</v>
      </c>
      <c r="AF24" s="1">
        <f>IF(C24="Orlov",7.4*Stamoplysninger!$E$20,0)</f>
        <v>0</v>
      </c>
      <c r="AG24" t="str">
        <f>IF(AND(C24="Skema 1",B24="ma"),Arbejdstidsoversigt!$E$77,"")</f>
        <v/>
      </c>
      <c r="AH24" t="str">
        <f>IF(AND(C24="Skema 1",B24="ti"),Arbejdstidsoversigt!$E$78,"")</f>
        <v/>
      </c>
      <c r="AI24" t="str">
        <f>IF(AND(C24="Skema 1",B24="on"),Arbejdstidsoversigt!$E$79,"")</f>
        <v/>
      </c>
      <c r="AJ24">
        <f>IF(AND(C24="Skema 1",B24="to"),Arbejdstidsoversigt!$E$80,"")</f>
        <v>9</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9</v>
      </c>
      <c r="BB24" s="224">
        <f t="shared" si="6"/>
        <v>216</v>
      </c>
      <c r="BC24" s="1">
        <f t="shared" si="29"/>
        <v>0</v>
      </c>
      <c r="BD24" s="1">
        <f t="shared" si="7"/>
        <v>0</v>
      </c>
      <c r="BE24" s="1">
        <f t="shared" si="8"/>
        <v>0</v>
      </c>
      <c r="BF24" s="1">
        <f t="shared" si="9"/>
        <v>0</v>
      </c>
      <c r="BG24" s="207" t="str">
        <f>IF(AND(C24="Skema 1",B24="ma"),Skemaoplysninger!$E$46,"")</f>
        <v/>
      </c>
      <c r="BH24" s="207" t="str">
        <f>IF(AND(C24="Skema 1",B24="ti"),Skemaoplysninger!$G$46,"")</f>
        <v/>
      </c>
      <c r="BI24" s="207" t="str">
        <f>IF(AND(C24="Skema 1",B24="on"),Skemaoplysninger!$I$46,"")</f>
        <v/>
      </c>
      <c r="BJ24" s="207">
        <f>IF(AND(C24="Skema 1",B24="to"),Skemaoplysninger!$K$46,"")</f>
        <v>0.15625</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3.75</v>
      </c>
      <c r="CB24" s="1">
        <f t="shared" si="10"/>
        <v>0</v>
      </c>
      <c r="CC24" s="1">
        <f t="shared" si="11"/>
        <v>0</v>
      </c>
      <c r="CD24" s="207" t="str">
        <f>IF(AND(C24="Skema 1",B24="ma"),Skemaoplysninger!$E$47,"")</f>
        <v/>
      </c>
      <c r="CE24" s="207" t="str">
        <f>IF(AND(C24="Skema 1",B24="ti"),Skemaoplysninger!$G$47,"")</f>
        <v/>
      </c>
      <c r="CF24" s="207" t="str">
        <f>IF(AND(C24="Skema 1",B24="on"),Skemaoplysninger!$I$47,"")</f>
        <v/>
      </c>
      <c r="CG24" s="207">
        <f>IF(AND(C24="Skema 1",B24="to"),Skemaoplysninger!$K$47,"")</f>
        <v>4.1666666666666664E-2</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1</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2"/>
        <v/>
      </c>
      <c r="DL24" t="str">
        <f t="shared" si="12"/>
        <v/>
      </c>
      <c r="DM24" t="str">
        <f t="shared" si="12"/>
        <v/>
      </c>
      <c r="DN24" t="str">
        <f t="shared" si="35"/>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3"/>
        <v>0</v>
      </c>
      <c r="FZ24" s="634">
        <f t="shared" si="14"/>
        <v>0</v>
      </c>
      <c r="GA24">
        <f t="shared" si="15"/>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6"/>
        <v>0</v>
      </c>
      <c r="GL24">
        <f t="shared" si="17"/>
        <v>0</v>
      </c>
      <c r="GM24">
        <f t="shared" si="18"/>
        <v>0</v>
      </c>
      <c r="GN24" s="713">
        <f t="shared" si="19"/>
        <v>0</v>
      </c>
      <c r="GO24">
        <f t="shared" si="37"/>
        <v>0</v>
      </c>
      <c r="GP24" s="647">
        <f t="shared" si="38"/>
        <v>0</v>
      </c>
    </row>
    <row r="25" spans="1:198">
      <c r="A25" s="239">
        <f>IF(ISNUMBER(A24),A24+1,1)</f>
        <v>12</v>
      </c>
      <c r="B25" s="125" t="str">
        <f t="shared" si="0"/>
        <v>fr</v>
      </c>
      <c r="C25" s="126" t="s">
        <v>208</v>
      </c>
      <c r="D25" s="127" t="str">
        <f t="shared" si="1"/>
        <v/>
      </c>
      <c r="E25" s="1060" t="s">
        <v>760</v>
      </c>
      <c r="F25" s="1061"/>
      <c r="G25" s="1062"/>
      <c r="H25" s="292"/>
      <c r="I25" s="745"/>
      <c r="J25" s="746" t="str">
        <f t="shared" si="21"/>
        <v/>
      </c>
      <c r="K25" s="368">
        <v>6</v>
      </c>
      <c r="L25" s="368">
        <v>3.75</v>
      </c>
      <c r="M25" s="368">
        <v>1</v>
      </c>
      <c r="N25" s="311">
        <f t="shared" si="22"/>
        <v>6</v>
      </c>
      <c r="O25" s="311">
        <f t="shared" si="23"/>
        <v>3.75</v>
      </c>
      <c r="P25" s="311">
        <f>IF(Stamoplysninger!$H$34="JA",Februar!DG25,CX25)</f>
        <v>1</v>
      </c>
      <c r="Q25" s="311">
        <f t="shared" si="24"/>
        <v>1.25</v>
      </c>
      <c r="R25" s="751"/>
      <c r="S25" s="315"/>
      <c r="T25" s="316"/>
      <c r="U25" s="316"/>
      <c r="V25" s="422"/>
      <c r="W25" s="422"/>
      <c r="X25" s="621"/>
      <c r="Y25">
        <f t="shared" si="25"/>
        <v>0</v>
      </c>
      <c r="Z25" s="424">
        <f t="shared" si="26"/>
        <v>0</v>
      </c>
      <c r="AA25" s="1">
        <f t="shared" si="27"/>
        <v>6</v>
      </c>
      <c r="AB25" s="1">
        <f t="shared" si="2"/>
        <v>0</v>
      </c>
      <c r="AC25" s="1">
        <f t="shared" si="3"/>
        <v>0</v>
      </c>
      <c r="AD25" s="1">
        <f t="shared" si="4"/>
        <v>0</v>
      </c>
      <c r="AE25" s="1">
        <f t="shared" si="5"/>
        <v>0</v>
      </c>
      <c r="AF25" s="1">
        <f>IF(C25="Orlov",7.4*Stamoplysninger!$E$20,0)</f>
        <v>0</v>
      </c>
      <c r="AG25" t="str">
        <f>IF(AND(C25="Skema 1",B25="ma"),Arbejdstidsoversigt!$E$77,"")</f>
        <v/>
      </c>
      <c r="AH25" t="str">
        <f>IF(AND(C25="Skema 1",B25="ti"),Arbejdstidsoversigt!$E$78,"")</f>
        <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6</v>
      </c>
      <c r="BB25" s="224">
        <f t="shared" si="6"/>
        <v>0</v>
      </c>
      <c r="BC25" s="1">
        <f t="shared" si="29"/>
        <v>0</v>
      </c>
      <c r="BD25" s="1">
        <f t="shared" si="7"/>
        <v>0</v>
      </c>
      <c r="BE25" s="1">
        <f t="shared" si="8"/>
        <v>0</v>
      </c>
      <c r="BF25" s="1">
        <f t="shared" si="9"/>
        <v>3.75</v>
      </c>
      <c r="BG25" s="207" t="str">
        <f>IF(AND(C25="Skema 1",B25="ma"),Skemaoplysninger!$E$46,"")</f>
        <v/>
      </c>
      <c r="BH25" s="207" t="str">
        <f>IF(AND(C25="Skema 1",B25="ti"),Skemaoplysninger!$G$46,"")</f>
        <v/>
      </c>
      <c r="BI25" s="207" t="str">
        <f>IF(AND(C25="Skema 1",B25="on"),Skemaoplysninger!$I$46,"")</f>
        <v/>
      </c>
      <c r="BJ25" s="207" t="str">
        <f>IF(AND(C25="Skema 1",B25="to"),Skemaoplysninger!$K$46,"")</f>
        <v/>
      </c>
      <c r="BK25" s="207" t="str">
        <f>IF(AND(C25="Skema 1",B25="fr"),Skemaoplysninger!$M$46,"")</f>
        <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3.75</v>
      </c>
      <c r="CB25" s="1">
        <f t="shared" si="10"/>
        <v>0</v>
      </c>
      <c r="CC25" s="1">
        <f t="shared" si="11"/>
        <v>1</v>
      </c>
      <c r="CD25" s="207" t="str">
        <f>IF(AND(C25="Skema 1",B25="ma"),Skemaoplysninger!$E$47,"")</f>
        <v/>
      </c>
      <c r="CE25" s="207" t="str">
        <f>IF(AND(C25="Skema 1",B25="ti"),Skemaoplysninger!$G$47,"")</f>
        <v/>
      </c>
      <c r="CF25" s="207" t="str">
        <f>IF(AND(C25="Skema 1",B25="on"),Skemaoplysninger!$I$47,"")</f>
        <v/>
      </c>
      <c r="CG25" s="207" t="str">
        <f>IF(AND(C25="Skema 1",B25="to"),Skemaoplysninger!$K$47,"")</f>
        <v/>
      </c>
      <c r="CH25" s="207" t="str">
        <f>IF(AND(C25="Skema 1",B25="fr"),Skemaoplysninger!$M$47,"")</f>
        <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1</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t="str">
        <f t="shared" si="33"/>
        <v>Fastelavn</v>
      </c>
      <c r="DJ25" t="str">
        <f t="shared" si="34"/>
        <v/>
      </c>
      <c r="DK25" t="str">
        <f t="shared" si="12"/>
        <v/>
      </c>
      <c r="DL25" t="str">
        <f t="shared" si="12"/>
        <v>Fastelavn</v>
      </c>
      <c r="DM25" t="str">
        <f t="shared" si="12"/>
        <v/>
      </c>
      <c r="DN25" t="str">
        <f t="shared" si="35"/>
        <v>Fastelavn</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3"/>
        <v>0</v>
      </c>
      <c r="FZ25" s="634">
        <f t="shared" si="14"/>
        <v>0</v>
      </c>
      <c r="GA25">
        <f t="shared" si="15"/>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t="str">
        <f t="shared" si="16"/>
        <v>X</v>
      </c>
      <c r="GL25">
        <f t="shared" si="17"/>
        <v>0</v>
      </c>
      <c r="GM25">
        <f t="shared" si="18"/>
        <v>0</v>
      </c>
      <c r="GN25" s="713">
        <f t="shared" si="19"/>
        <v>0</v>
      </c>
      <c r="GO25">
        <f t="shared" si="37"/>
        <v>1</v>
      </c>
      <c r="GP25" s="647">
        <f t="shared" si="38"/>
        <v>0</v>
      </c>
    </row>
    <row r="26" spans="1:198">
      <c r="A26" s="239">
        <f>IF(ISNUMBER(A25),A25+1,1)</f>
        <v>13</v>
      </c>
      <c r="B26" s="125" t="str">
        <f t="shared" si="0"/>
        <v>lø</v>
      </c>
      <c r="C26" s="126" t="s">
        <v>118</v>
      </c>
      <c r="D26" s="127" t="str">
        <f t="shared" si="1"/>
        <v/>
      </c>
      <c r="E26" s="1123"/>
      <c r="F26" s="1124"/>
      <c r="G26" s="1125"/>
      <c r="H26" s="291"/>
      <c r="I26" s="746" t="str">
        <f>IF(GO26=1,"X","")</f>
        <v/>
      </c>
      <c r="J26" s="746" t="str">
        <f t="shared" si="21"/>
        <v/>
      </c>
      <c r="K26" s="368"/>
      <c r="L26" s="368"/>
      <c r="M26" s="368"/>
      <c r="N26" s="311">
        <f t="shared" si="22"/>
        <v>0</v>
      </c>
      <c r="O26" s="311">
        <f t="shared" si="23"/>
        <v>0</v>
      </c>
      <c r="P26" s="311">
        <f>IF(Stamoplysninger!$H$34="JA",Februar!DG26,CX26)</f>
        <v>0</v>
      </c>
      <c r="Q26" s="311">
        <f t="shared" si="24"/>
        <v>0</v>
      </c>
      <c r="R26" s="751"/>
      <c r="S26" s="315"/>
      <c r="T26" s="316"/>
      <c r="U26" s="316"/>
      <c r="V26" s="422"/>
      <c r="W26" s="422"/>
      <c r="X26" s="621"/>
      <c r="Y26">
        <f t="shared" si="25"/>
        <v>0</v>
      </c>
      <c r="Z26" s="424">
        <f t="shared" si="26"/>
        <v>0</v>
      </c>
      <c r="AA26" s="1">
        <f t="shared" si="27"/>
        <v>0</v>
      </c>
      <c r="AB26" s="1">
        <f t="shared" si="2"/>
        <v>0</v>
      </c>
      <c r="AC26" s="1">
        <f t="shared" si="3"/>
        <v>0</v>
      </c>
      <c r="AD26" s="1">
        <f t="shared" si="4"/>
        <v>0</v>
      </c>
      <c r="AE26" s="1">
        <f t="shared" si="5"/>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6"/>
        <v>0</v>
      </c>
      <c r="BC26" s="1">
        <f t="shared" si="29"/>
        <v>0</v>
      </c>
      <c r="BD26" s="1">
        <f t="shared" si="7"/>
        <v>0</v>
      </c>
      <c r="BE26" s="1">
        <f t="shared" si="8"/>
        <v>0</v>
      </c>
      <c r="BF26" s="1">
        <f t="shared" si="9"/>
        <v>0</v>
      </c>
      <c r="BG26" s="207" t="str">
        <f>IF(AND(C26="Skema 1",B26="ma"),Skemaoplysninger!$E$46,"")</f>
        <v/>
      </c>
      <c r="BH26" s="207" t="str">
        <f>IF(AND(C26="Skema 1",B26="ti"),Skemaoplysninger!$G$46,"")</f>
        <v/>
      </c>
      <c r="BI26" s="207" t="str">
        <f>IF(AND(C26="Skema 1",B26="on"),Skemaoplysninger!$I$46,"")</f>
        <v/>
      </c>
      <c r="BJ26" s="207" t="str">
        <f>IF(AND(C26="Skema 1",B26="to"),Skemaoplysninger!$K$46,"")</f>
        <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0</v>
      </c>
      <c r="CB26" s="1">
        <f t="shared" si="10"/>
        <v>0</v>
      </c>
      <c r="CC26" s="1">
        <f t="shared" si="11"/>
        <v>0</v>
      </c>
      <c r="CD26" s="207" t="str">
        <f>IF(AND(C26="Skema 1",B26="ma"),Skemaoplysninger!$E$47,"")</f>
        <v/>
      </c>
      <c r="CE26" s="207" t="str">
        <f>IF(AND(C26="Skema 1",B26="ti"),Skemaoplysninger!$G$47,"")</f>
        <v/>
      </c>
      <c r="CF26" s="207" t="str">
        <f>IF(AND(C26="Skema 1",B26="on"),Skemaoplysninger!$I$47,"")</f>
        <v/>
      </c>
      <c r="CG26" s="207" t="str">
        <f>IF(AND(C26="Skema 1",B26="to"),Skemaoplysninger!$K$47,"")</f>
        <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2"/>
        <v/>
      </c>
      <c r="DL26" t="str">
        <f t="shared" si="12"/>
        <v/>
      </c>
      <c r="DM26" t="str">
        <f t="shared" si="12"/>
        <v/>
      </c>
      <c r="DN26" t="str">
        <f t="shared" si="35"/>
        <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3"/>
        <v>0</v>
      </c>
      <c r="FZ26" s="634">
        <f t="shared" si="14"/>
        <v>0</v>
      </c>
      <c r="GA26">
        <f t="shared" si="15"/>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6"/>
        <v>0</v>
      </c>
      <c r="GL26">
        <f t="shared" si="17"/>
        <v>0</v>
      </c>
      <c r="GM26">
        <f t="shared" si="18"/>
        <v>0</v>
      </c>
      <c r="GN26" s="713">
        <f t="shared" si="19"/>
        <v>0</v>
      </c>
      <c r="GO26">
        <f t="shared" si="37"/>
        <v>0</v>
      </c>
      <c r="GP26" s="647">
        <f t="shared" si="38"/>
        <v>0</v>
      </c>
    </row>
    <row r="27" spans="1:198">
      <c r="A27" s="239">
        <f t="shared" si="20"/>
        <v>14</v>
      </c>
      <c r="B27" s="125" t="str">
        <f t="shared" si="0"/>
        <v>sø</v>
      </c>
      <c r="C27" s="126" t="s">
        <v>118</v>
      </c>
      <c r="D27" s="127" t="str">
        <f t="shared" si="1"/>
        <v/>
      </c>
      <c r="E27" s="1123"/>
      <c r="F27" s="1124"/>
      <c r="G27" s="1125"/>
      <c r="H27" s="291"/>
      <c r="I27" s="746" t="str">
        <f>IF(GO27=1,"X","")</f>
        <v/>
      </c>
      <c r="J27" s="746" t="str">
        <f t="shared" si="21"/>
        <v/>
      </c>
      <c r="K27" s="368"/>
      <c r="L27" s="368"/>
      <c r="M27" s="368"/>
      <c r="N27" s="311">
        <f t="shared" si="22"/>
        <v>0</v>
      </c>
      <c r="O27" s="311">
        <f t="shared" si="23"/>
        <v>0</v>
      </c>
      <c r="P27" s="311">
        <f>IF(Stamoplysninger!$H$34="JA",Februar!DG27,CX27)</f>
        <v>0</v>
      </c>
      <c r="Q27" s="311">
        <f t="shared" si="24"/>
        <v>0</v>
      </c>
      <c r="R27" s="751"/>
      <c r="S27" s="315"/>
      <c r="T27" s="316"/>
      <c r="U27" s="316"/>
      <c r="V27" s="422"/>
      <c r="W27" s="422"/>
      <c r="X27" s="621"/>
      <c r="Y27">
        <f t="shared" si="25"/>
        <v>0</v>
      </c>
      <c r="Z27" s="424">
        <f t="shared" si="26"/>
        <v>0</v>
      </c>
      <c r="AA27" s="1">
        <f t="shared" si="27"/>
        <v>0</v>
      </c>
      <c r="AB27" s="1">
        <f t="shared" si="2"/>
        <v>0</v>
      </c>
      <c r="AC27" s="1">
        <f t="shared" si="3"/>
        <v>0</v>
      </c>
      <c r="AD27" s="1">
        <f t="shared" si="4"/>
        <v>0</v>
      </c>
      <c r="AE27" s="1">
        <f t="shared" si="5"/>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6"/>
        <v>0</v>
      </c>
      <c r="BC27" s="1">
        <f t="shared" si="29"/>
        <v>0</v>
      </c>
      <c r="BD27" s="1">
        <f t="shared" si="7"/>
        <v>0</v>
      </c>
      <c r="BE27" s="1">
        <f t="shared" si="8"/>
        <v>0</v>
      </c>
      <c r="BF27" s="1">
        <f t="shared" si="9"/>
        <v>0</v>
      </c>
      <c r="BG27" s="207" t="str">
        <f>IF(AND(C27="Skema 1",B27="ma"),Skemaoplysninger!$E$46,"")</f>
        <v/>
      </c>
      <c r="BH27" s="207" t="str">
        <f>IF(AND(C27="Skema 1",B27="ti"),Skemaoplysninger!$G$46,"")</f>
        <v/>
      </c>
      <c r="BI27" s="207" t="str">
        <f>IF(AND(C27="Skema 1",B27="on"),Skemaoplysninger!$I$46,"")</f>
        <v/>
      </c>
      <c r="BJ27" s="207" t="str">
        <f>IF(AND(C27="Skema 1",B27="to"),Skemaoplysninger!$K$46,"")</f>
        <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0</v>
      </c>
      <c r="CB27" s="1">
        <f t="shared" si="10"/>
        <v>0</v>
      </c>
      <c r="CC27" s="1">
        <f t="shared" si="11"/>
        <v>0</v>
      </c>
      <c r="CD27" s="207" t="str">
        <f>IF(AND(C27="Skema 1",B27="ma"),Skemaoplysninger!$E$47,"")</f>
        <v/>
      </c>
      <c r="CE27" s="207" t="str">
        <f>IF(AND(C27="Skema 1",B27="ti"),Skemaoplysninger!$G$47,"")</f>
        <v/>
      </c>
      <c r="CF27" s="207" t="str">
        <f>IF(AND(C27="Skema 1",B27="on"),Skemaoplysninger!$I$47,"")</f>
        <v/>
      </c>
      <c r="CG27" s="207" t="str">
        <f>IF(AND(C27="Skema 1",B27="to"),Skemaoplysninger!$K$47,"")</f>
        <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f t="shared" si="33"/>
        <v>0</v>
      </c>
      <c r="DJ27">
        <f t="shared" si="34"/>
        <v>0</v>
      </c>
      <c r="DK27" t="str">
        <f t="shared" si="12"/>
        <v/>
      </c>
      <c r="DL27" t="str">
        <f t="shared" si="12"/>
        <v/>
      </c>
      <c r="DM27" t="str">
        <f t="shared" si="12"/>
        <v/>
      </c>
      <c r="DN27" t="str">
        <f t="shared" si="35"/>
        <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3"/>
        <v>0</v>
      </c>
      <c r="FZ27" s="634">
        <f t="shared" si="14"/>
        <v>0</v>
      </c>
      <c r="GA27">
        <f t="shared" si="15"/>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6"/>
        <v>0</v>
      </c>
      <c r="GL27">
        <f t="shared" si="17"/>
        <v>0</v>
      </c>
      <c r="GM27">
        <f t="shared" si="18"/>
        <v>0</v>
      </c>
      <c r="GN27" s="713">
        <f t="shared" si="19"/>
        <v>0</v>
      </c>
      <c r="GO27">
        <f t="shared" si="37"/>
        <v>0</v>
      </c>
      <c r="GP27" s="647">
        <f t="shared" si="38"/>
        <v>0</v>
      </c>
    </row>
    <row r="28" spans="1:198">
      <c r="A28" s="239">
        <f t="shared" si="20"/>
        <v>15</v>
      </c>
      <c r="B28" s="125" t="str">
        <f t="shared" si="0"/>
        <v>ma</v>
      </c>
      <c r="C28" s="126" t="s">
        <v>126</v>
      </c>
      <c r="D28" s="127">
        <f t="shared" si="1"/>
        <v>7.4285714285714288</v>
      </c>
      <c r="E28" s="1123" t="s">
        <v>129</v>
      </c>
      <c r="F28" s="1124"/>
      <c r="G28" s="1125"/>
      <c r="H28" s="291"/>
      <c r="I28" s="745"/>
      <c r="J28" s="746" t="str">
        <f t="shared" si="21"/>
        <v/>
      </c>
      <c r="K28" s="368"/>
      <c r="L28" s="368"/>
      <c r="M28" s="368"/>
      <c r="N28" s="311">
        <f t="shared" si="22"/>
        <v>0</v>
      </c>
      <c r="O28" s="311">
        <f t="shared" si="23"/>
        <v>0</v>
      </c>
      <c r="P28" s="311">
        <f>IF(Stamoplysninger!$H$34="JA",Februar!DG28,CX28)</f>
        <v>0</v>
      </c>
      <c r="Q28" s="311">
        <f t="shared" si="24"/>
        <v>0</v>
      </c>
      <c r="R28" s="751"/>
      <c r="S28" s="315"/>
      <c r="T28" s="316"/>
      <c r="U28" s="316"/>
      <c r="V28" s="422"/>
      <c r="W28" s="422"/>
      <c r="X28" s="621"/>
      <c r="Y28">
        <f t="shared" si="25"/>
        <v>0</v>
      </c>
      <c r="Z28" s="424">
        <f t="shared" si="26"/>
        <v>0</v>
      </c>
      <c r="AA28" s="1">
        <f t="shared" si="27"/>
        <v>0</v>
      </c>
      <c r="AB28" s="1">
        <f t="shared" si="2"/>
        <v>0</v>
      </c>
      <c r="AC28" s="1">
        <f t="shared" si="3"/>
        <v>0</v>
      </c>
      <c r="AD28" s="1">
        <f t="shared" si="4"/>
        <v>0</v>
      </c>
      <c r="AE28" s="1">
        <f t="shared" si="5"/>
        <v>0</v>
      </c>
      <c r="AF28" s="1">
        <f>IF(C28="Orlov",7.4*Stamoplysninger!$E$20,0)</f>
        <v>0</v>
      </c>
      <c r="AG28" t="str">
        <f>IF(AND(C28="Skema 1",B28="ma"),Arbejdstidsoversigt!$E$77,"")</f>
        <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6"/>
        <v>0</v>
      </c>
      <c r="BC28" s="1">
        <f t="shared" si="29"/>
        <v>0</v>
      </c>
      <c r="BD28" s="1">
        <f t="shared" si="7"/>
        <v>0</v>
      </c>
      <c r="BE28" s="1">
        <f t="shared" si="8"/>
        <v>0</v>
      </c>
      <c r="BF28" s="1">
        <f t="shared" si="9"/>
        <v>0</v>
      </c>
      <c r="BG28" s="207" t="str">
        <f>IF(AND(C28="Skema 1",B28="ma"),Skemaoplysninger!$E$46,"")</f>
        <v/>
      </c>
      <c r="BH28" s="207" t="str">
        <f>IF(AND(C28="Skema 1",B28="ti"),Skemaoplysninger!$G$46,"")</f>
        <v/>
      </c>
      <c r="BI28" s="207" t="str">
        <f>IF(AND(C28="Skema 1",B28="on"),Skemaoplysninger!$I$46,"")</f>
        <v/>
      </c>
      <c r="BJ28" s="207" t="str">
        <f>IF(AND(C28="Skema 1",B28="to"),Skemaoplysninger!$K$46,"")</f>
        <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0</v>
      </c>
      <c r="CB28" s="1">
        <f t="shared" si="10"/>
        <v>0</v>
      </c>
      <c r="CC28" s="1">
        <f t="shared" si="11"/>
        <v>0</v>
      </c>
      <c r="CD28" s="207" t="str">
        <f>IF(AND(C28="Skema 1",B28="ma"),Skemaoplysninger!$E$47,"")</f>
        <v/>
      </c>
      <c r="CE28" s="207" t="str">
        <f>IF(AND(C28="Skema 1",B28="ti"),Skemaoplysninger!$G$47,"")</f>
        <v/>
      </c>
      <c r="CF28" s="207" t="str">
        <f>IF(AND(C28="Skema 1",B28="on"),Skemaoplysninger!$I$47,"")</f>
        <v/>
      </c>
      <c r="CG28" s="207" t="str">
        <f>IF(AND(C28="Skema 1",B28="to"),Skemaoplysninger!$K$47,"")</f>
        <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t="str">
        <f t="shared" si="33"/>
        <v>Elevernes vinterferie</v>
      </c>
      <c r="DJ28" t="str">
        <f t="shared" si="34"/>
        <v/>
      </c>
      <c r="DK28" t="str">
        <f t="shared" si="12"/>
        <v/>
      </c>
      <c r="DL28" t="str">
        <f t="shared" si="12"/>
        <v>Elevernes vinterferie</v>
      </c>
      <c r="DM28" t="str">
        <f t="shared" si="12"/>
        <v/>
      </c>
      <c r="DN28" t="str">
        <f t="shared" si="35"/>
        <v>Elevernes vinterferie</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3"/>
        <v>0</v>
      </c>
      <c r="FZ28" s="634">
        <f t="shared" si="14"/>
        <v>0</v>
      </c>
      <c r="GA28">
        <f t="shared" si="15"/>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6"/>
        <v>0</v>
      </c>
      <c r="GL28">
        <f t="shared" si="17"/>
        <v>0</v>
      </c>
      <c r="GM28">
        <f t="shared" si="18"/>
        <v>0</v>
      </c>
      <c r="GN28" s="713">
        <f t="shared" si="19"/>
        <v>0</v>
      </c>
      <c r="GO28">
        <f t="shared" si="37"/>
        <v>0</v>
      </c>
      <c r="GP28" s="647">
        <f t="shared" si="38"/>
        <v>0</v>
      </c>
    </row>
    <row r="29" spans="1:198">
      <c r="A29" s="239">
        <f>IF(ISNUMBER(A28),A28+1,1)</f>
        <v>16</v>
      </c>
      <c r="B29" s="125" t="str">
        <f t="shared" si="0"/>
        <v>ti</v>
      </c>
      <c r="C29" s="126" t="s">
        <v>126</v>
      </c>
      <c r="D29" s="127" t="str">
        <f t="shared" si="1"/>
        <v/>
      </c>
      <c r="E29" s="1060" t="s">
        <v>129</v>
      </c>
      <c r="F29" s="1061"/>
      <c r="G29" s="1062"/>
      <c r="H29" s="292"/>
      <c r="I29" s="745"/>
      <c r="J29" s="746" t="str">
        <f t="shared" si="21"/>
        <v/>
      </c>
      <c r="K29" s="368"/>
      <c r="L29" s="368"/>
      <c r="M29" s="368"/>
      <c r="N29" s="311">
        <f t="shared" si="22"/>
        <v>0</v>
      </c>
      <c r="O29" s="311">
        <f t="shared" si="23"/>
        <v>0</v>
      </c>
      <c r="P29" s="311">
        <f>IF(Stamoplysninger!$H$34="JA",Februar!DG29,CX29)</f>
        <v>0</v>
      </c>
      <c r="Q29" s="311">
        <f t="shared" si="24"/>
        <v>0</v>
      </c>
      <c r="R29" s="751"/>
      <c r="S29" s="315"/>
      <c r="T29" s="316"/>
      <c r="U29" s="316"/>
      <c r="V29" s="422"/>
      <c r="W29" s="422"/>
      <c r="X29" s="621"/>
      <c r="Y29">
        <f t="shared" si="25"/>
        <v>0</v>
      </c>
      <c r="Z29" s="424">
        <f t="shared" si="26"/>
        <v>0</v>
      </c>
      <c r="AA29" s="1">
        <f t="shared" si="27"/>
        <v>0</v>
      </c>
      <c r="AB29" s="1">
        <f t="shared" si="2"/>
        <v>0</v>
      </c>
      <c r="AC29" s="1">
        <f t="shared" si="3"/>
        <v>0</v>
      </c>
      <c r="AD29" s="1">
        <f t="shared" si="4"/>
        <v>0</v>
      </c>
      <c r="AE29" s="1">
        <f t="shared" si="5"/>
        <v>0</v>
      </c>
      <c r="AF29" s="1">
        <f>IF(C29="Orlov",7.4*Stamoplysninger!$E$20,0)</f>
        <v>0</v>
      </c>
      <c r="AG29" t="str">
        <f>IF(AND(C29="Skema 1",B29="ma"),Arbejdstidsoversigt!$E$77,"")</f>
        <v/>
      </c>
      <c r="AH29" t="str">
        <f>IF(AND(C29="Skema 1",B29="ti"),Arbejdstidsoversigt!$E$78,"")</f>
        <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6"/>
        <v>0</v>
      </c>
      <c r="BC29" s="1">
        <f t="shared" si="29"/>
        <v>0</v>
      </c>
      <c r="BD29" s="1">
        <f t="shared" si="7"/>
        <v>0</v>
      </c>
      <c r="BE29" s="1">
        <f t="shared" si="8"/>
        <v>0</v>
      </c>
      <c r="BF29" s="1">
        <f t="shared" si="9"/>
        <v>0</v>
      </c>
      <c r="BG29" s="207" t="str">
        <f>IF(AND(C29="Skema 1",B29="ma"),Skemaoplysninger!$E$46,"")</f>
        <v/>
      </c>
      <c r="BH29" s="207" t="str">
        <f>IF(AND(C29="Skema 1",B29="ti"),Skemaoplysninger!$G$46,"")</f>
        <v/>
      </c>
      <c r="BI29" s="207" t="str">
        <f>IF(AND(C29="Skema 1",B29="on"),Skemaoplysninger!$I$46,"")</f>
        <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0</v>
      </c>
      <c r="CB29" s="1">
        <f t="shared" si="10"/>
        <v>0</v>
      </c>
      <c r="CC29" s="1">
        <f t="shared" si="11"/>
        <v>0</v>
      </c>
      <c r="CD29" s="207" t="str">
        <f>IF(AND(C29="Skema 1",B29="ma"),Skemaoplysninger!$E$47,"")</f>
        <v/>
      </c>
      <c r="CE29" s="207" t="str">
        <f>IF(AND(C29="Skema 1",B29="ti"),Skemaoplysninger!$G$47,"")</f>
        <v/>
      </c>
      <c r="CF29" s="207" t="str">
        <f>IF(AND(C29="Skema 1",B29="on"),Skemaoplysninger!$I$47,"")</f>
        <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t="str">
        <f t="shared" si="33"/>
        <v>Elevernes vinterferie</v>
      </c>
      <c r="DJ29" t="str">
        <f t="shared" si="34"/>
        <v/>
      </c>
      <c r="DK29" t="str">
        <f t="shared" si="12"/>
        <v/>
      </c>
      <c r="DL29" t="str">
        <f t="shared" si="12"/>
        <v>Elevernes vinterferie</v>
      </c>
      <c r="DM29" t="str">
        <f t="shared" si="12"/>
        <v/>
      </c>
      <c r="DN29" t="str">
        <f t="shared" si="35"/>
        <v>Elevernes vinterferie</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3"/>
        <v>0</v>
      </c>
      <c r="FZ29" s="634">
        <f t="shared" si="14"/>
        <v>0</v>
      </c>
      <c r="GA29">
        <f t="shared" si="15"/>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6"/>
        <v>0</v>
      </c>
      <c r="GL29">
        <f t="shared" si="17"/>
        <v>0</v>
      </c>
      <c r="GM29">
        <f t="shared" si="18"/>
        <v>0</v>
      </c>
      <c r="GN29" s="713">
        <f t="shared" si="19"/>
        <v>0</v>
      </c>
      <c r="GO29">
        <f t="shared" si="37"/>
        <v>0</v>
      </c>
      <c r="GP29" s="647">
        <f t="shared" si="38"/>
        <v>0</v>
      </c>
    </row>
    <row r="30" spans="1:198">
      <c r="A30" s="239">
        <f t="shared" si="20"/>
        <v>17</v>
      </c>
      <c r="B30" s="125" t="str">
        <f t="shared" si="0"/>
        <v>on</v>
      </c>
      <c r="C30" s="126" t="s">
        <v>126</v>
      </c>
      <c r="D30" s="127" t="str">
        <f t="shared" si="1"/>
        <v/>
      </c>
      <c r="E30" s="1060" t="s">
        <v>129</v>
      </c>
      <c r="F30" s="1061"/>
      <c r="G30" s="1062"/>
      <c r="H30" s="292"/>
      <c r="I30" s="745"/>
      <c r="J30" s="746" t="str">
        <f t="shared" si="21"/>
        <v/>
      </c>
      <c r="K30" s="368"/>
      <c r="L30" s="368"/>
      <c r="M30" s="368"/>
      <c r="N30" s="311">
        <f t="shared" si="22"/>
        <v>0</v>
      </c>
      <c r="O30" s="311">
        <f t="shared" si="23"/>
        <v>0</v>
      </c>
      <c r="P30" s="311">
        <f>IF(Stamoplysninger!$H$34="JA",Februar!DG30,CX30)</f>
        <v>0</v>
      </c>
      <c r="Q30" s="311">
        <f t="shared" si="24"/>
        <v>0</v>
      </c>
      <c r="R30" s="751"/>
      <c r="S30" s="315"/>
      <c r="T30" s="316"/>
      <c r="U30" s="316"/>
      <c r="V30" s="422"/>
      <c r="W30" s="422"/>
      <c r="X30" s="621"/>
      <c r="Y30">
        <f t="shared" si="25"/>
        <v>0</v>
      </c>
      <c r="Z30" s="424">
        <f t="shared" si="26"/>
        <v>0</v>
      </c>
      <c r="AA30" s="1">
        <f t="shared" si="27"/>
        <v>0</v>
      </c>
      <c r="AB30" s="1">
        <f t="shared" si="2"/>
        <v>0</v>
      </c>
      <c r="AC30" s="1">
        <f t="shared" si="3"/>
        <v>0</v>
      </c>
      <c r="AD30" s="1">
        <f t="shared" si="4"/>
        <v>0</v>
      </c>
      <c r="AE30" s="1">
        <f t="shared" si="5"/>
        <v>0</v>
      </c>
      <c r="AF30" s="1">
        <f>IF(C30="Orlov",7.4*Stamoplysninger!$E$20,0)</f>
        <v>0</v>
      </c>
      <c r="AG30" t="str">
        <f>IF(AND(C30="Skema 1",B30="ma"),Arbejdstidsoversigt!$E$77,"")</f>
        <v/>
      </c>
      <c r="AH30" t="str">
        <f>IF(AND(C30="Skema 1",B30="ti"),Arbejdstidsoversigt!$E$78,"")</f>
        <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6"/>
        <v>0</v>
      </c>
      <c r="BC30" s="1">
        <f t="shared" si="29"/>
        <v>0</v>
      </c>
      <c r="BD30" s="1">
        <f t="shared" si="7"/>
        <v>0</v>
      </c>
      <c r="BE30" s="1">
        <f t="shared" si="8"/>
        <v>0</v>
      </c>
      <c r="BF30" s="1">
        <f t="shared" si="9"/>
        <v>0</v>
      </c>
      <c r="BG30" s="207" t="str">
        <f>IF(AND(C30="Skema 1",B30="ma"),Skemaoplysninger!$E$46,"")</f>
        <v/>
      </c>
      <c r="BH30" s="207" t="str">
        <f>IF(AND(C30="Skema 1",B30="ti"),Skemaoplysninger!$G$46,"")</f>
        <v/>
      </c>
      <c r="BI30" s="207" t="str">
        <f>IF(AND(C30="Skema 1",B30="on"),Skemaoplysninger!$I$46,"")</f>
        <v/>
      </c>
      <c r="BJ30" s="207" t="str">
        <f>IF(AND(C30="Skema 1",B30="to"),Skemaoplysninger!$K$46,"")</f>
        <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0</v>
      </c>
      <c r="CB30" s="1">
        <f t="shared" si="10"/>
        <v>0</v>
      </c>
      <c r="CC30" s="1">
        <f t="shared" si="11"/>
        <v>0</v>
      </c>
      <c r="CD30" s="207" t="str">
        <f>IF(AND(C30="Skema 1",B30="ma"),Skemaoplysninger!$E$47,"")</f>
        <v/>
      </c>
      <c r="CE30" s="207" t="str">
        <f>IF(AND(C30="Skema 1",B30="ti"),Skemaoplysninger!$G$47,"")</f>
        <v/>
      </c>
      <c r="CF30" s="207" t="str">
        <f>IF(AND(C30="Skema 1",B30="on"),Skemaoplysninger!$I$47,"")</f>
        <v/>
      </c>
      <c r="CG30" s="207" t="str">
        <f>IF(AND(C30="Skema 1",B30="to"),Skemaoplysninger!$K$47,"")</f>
        <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t="str">
        <f t="shared" si="33"/>
        <v>Elevernes vinterferie</v>
      </c>
      <c r="DJ30" t="str">
        <f t="shared" si="34"/>
        <v/>
      </c>
      <c r="DK30" t="str">
        <f t="shared" si="12"/>
        <v/>
      </c>
      <c r="DL30" t="str">
        <f t="shared" si="12"/>
        <v>Elevernes vinterferie</v>
      </c>
      <c r="DM30" t="str">
        <f t="shared" si="12"/>
        <v/>
      </c>
      <c r="DN30" t="str">
        <f t="shared" si="35"/>
        <v>Elevernes vinterferie</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3"/>
        <v>0</v>
      </c>
      <c r="FZ30" s="634">
        <f t="shared" si="14"/>
        <v>0</v>
      </c>
      <c r="GA30">
        <f t="shared" si="15"/>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6"/>
        <v>0</v>
      </c>
      <c r="GL30">
        <f t="shared" si="17"/>
        <v>0</v>
      </c>
      <c r="GM30">
        <f t="shared" si="18"/>
        <v>0</v>
      </c>
      <c r="GN30" s="713">
        <f t="shared" si="19"/>
        <v>0</v>
      </c>
      <c r="GO30">
        <f t="shared" si="37"/>
        <v>0</v>
      </c>
      <c r="GP30" s="647">
        <f t="shared" si="38"/>
        <v>0</v>
      </c>
    </row>
    <row r="31" spans="1:198">
      <c r="A31" s="239">
        <f t="shared" si="20"/>
        <v>18</v>
      </c>
      <c r="B31" s="125" t="str">
        <f t="shared" si="0"/>
        <v>to</v>
      </c>
      <c r="C31" s="126" t="s">
        <v>126</v>
      </c>
      <c r="D31" s="127" t="str">
        <f t="shared" si="1"/>
        <v/>
      </c>
      <c r="E31" s="1060" t="s">
        <v>129</v>
      </c>
      <c r="F31" s="1061"/>
      <c r="G31" s="1062"/>
      <c r="H31" s="292"/>
      <c r="I31" s="745"/>
      <c r="J31" s="746" t="str">
        <f t="shared" si="21"/>
        <v/>
      </c>
      <c r="K31" s="368"/>
      <c r="L31" s="368"/>
      <c r="M31" s="368"/>
      <c r="N31" s="311">
        <f t="shared" si="22"/>
        <v>0</v>
      </c>
      <c r="O31" s="311">
        <f t="shared" si="23"/>
        <v>0</v>
      </c>
      <c r="P31" s="311">
        <f>IF(Stamoplysninger!$H$34="JA",Februar!DG31,CX31)</f>
        <v>0</v>
      </c>
      <c r="Q31" s="311">
        <f t="shared" si="24"/>
        <v>0</v>
      </c>
      <c r="R31" s="751"/>
      <c r="S31" s="315"/>
      <c r="T31" s="316"/>
      <c r="U31" s="316"/>
      <c r="V31" s="422"/>
      <c r="W31" s="422"/>
      <c r="X31" s="621"/>
      <c r="Y31">
        <f t="shared" si="25"/>
        <v>0</v>
      </c>
      <c r="Z31" s="424">
        <f t="shared" si="26"/>
        <v>0</v>
      </c>
      <c r="AA31" s="1">
        <f t="shared" si="27"/>
        <v>0</v>
      </c>
      <c r="AB31" s="1">
        <f t="shared" si="2"/>
        <v>0</v>
      </c>
      <c r="AC31" s="1">
        <f t="shared" si="3"/>
        <v>0</v>
      </c>
      <c r="AD31" s="1">
        <f t="shared" si="4"/>
        <v>0</v>
      </c>
      <c r="AE31" s="1">
        <f t="shared" si="5"/>
        <v>0</v>
      </c>
      <c r="AF31" s="1">
        <f>IF(C31="Orlov",7.4*Stamoplysninger!$E$20,0)</f>
        <v>0</v>
      </c>
      <c r="AG31" t="str">
        <f>IF(AND(C31="Skema 1",B31="ma"),Arbejdstidsoversigt!$E$77,"")</f>
        <v/>
      </c>
      <c r="AH31" t="str">
        <f>IF(AND(C31="Skema 1",B31="ti"),Arbejdstidsoversigt!$E$78,"")</f>
        <v/>
      </c>
      <c r="AI31" t="str">
        <f>IF(AND(C31="Skema 1",B31="on"),Arbejdstidsoversigt!$E$79,"")</f>
        <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6"/>
        <v>0</v>
      </c>
      <c r="BC31" s="1">
        <f t="shared" si="29"/>
        <v>0</v>
      </c>
      <c r="BD31" s="1">
        <f t="shared" si="7"/>
        <v>0</v>
      </c>
      <c r="BE31" s="1">
        <f t="shared" si="8"/>
        <v>0</v>
      </c>
      <c r="BF31" s="1">
        <f t="shared" si="9"/>
        <v>0</v>
      </c>
      <c r="BG31" s="207" t="str">
        <f>IF(AND(C31="Skema 1",B31="ma"),Skemaoplysninger!$E$46,"")</f>
        <v/>
      </c>
      <c r="BH31" s="207" t="str">
        <f>IF(AND(C31="Skema 1",B31="ti"),Skemaoplysninger!$G$46,"")</f>
        <v/>
      </c>
      <c r="BI31" s="207" t="str">
        <f>IF(AND(C31="Skema 1",B31="on"),Skemaoplysninger!$I$46,"")</f>
        <v/>
      </c>
      <c r="BJ31" s="207" t="str">
        <f>IF(AND(C31="Skema 1",B31="to"),Skemaoplysninger!$K$46,"")</f>
        <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0</v>
      </c>
      <c r="CB31" s="1">
        <f t="shared" si="10"/>
        <v>0</v>
      </c>
      <c r="CC31" s="1">
        <f t="shared" si="11"/>
        <v>0</v>
      </c>
      <c r="CD31" s="207" t="str">
        <f>IF(AND(C31="Skema 1",B31="ma"),Skemaoplysninger!$E$47,"")</f>
        <v/>
      </c>
      <c r="CE31" s="207" t="str">
        <f>IF(AND(C31="Skema 1",B31="ti"),Skemaoplysninger!$G$47,"")</f>
        <v/>
      </c>
      <c r="CF31" s="207" t="str">
        <f>IF(AND(C31="Skema 1",B31="on"),Skemaoplysninger!$I$47,"")</f>
        <v/>
      </c>
      <c r="CG31" s="207" t="str">
        <f>IF(AND(C31="Skema 1",B31="to"),Skemaoplysninger!$K$47,"")</f>
        <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t="str">
        <f t="shared" si="33"/>
        <v>Elevernes vinterferie</v>
      </c>
      <c r="DJ31" t="str">
        <f t="shared" si="34"/>
        <v/>
      </c>
      <c r="DK31" t="str">
        <f t="shared" si="12"/>
        <v/>
      </c>
      <c r="DL31" t="str">
        <f t="shared" si="12"/>
        <v>Elevernes vinterferie</v>
      </c>
      <c r="DM31" t="str">
        <f t="shared" si="12"/>
        <v/>
      </c>
      <c r="DN31" t="str">
        <f t="shared" si="35"/>
        <v>Elevernes vinterferie</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3"/>
        <v>0</v>
      </c>
      <c r="FZ31" s="634">
        <f t="shared" si="14"/>
        <v>0</v>
      </c>
      <c r="GA31">
        <f t="shared" si="15"/>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6"/>
        <v>0</v>
      </c>
      <c r="GL31">
        <f t="shared" si="17"/>
        <v>0</v>
      </c>
      <c r="GM31">
        <f t="shared" si="18"/>
        <v>0</v>
      </c>
      <c r="GN31" s="713">
        <f t="shared" si="19"/>
        <v>0</v>
      </c>
      <c r="GO31">
        <f t="shared" si="37"/>
        <v>0</v>
      </c>
      <c r="GP31" s="647">
        <f t="shared" si="38"/>
        <v>0</v>
      </c>
    </row>
    <row r="32" spans="1:198">
      <c r="A32" s="239">
        <f t="shared" si="20"/>
        <v>19</v>
      </c>
      <c r="B32" s="125" t="str">
        <f t="shared" si="0"/>
        <v>fr</v>
      </c>
      <c r="C32" s="126" t="s">
        <v>126</v>
      </c>
      <c r="D32" s="127" t="str">
        <f t="shared" si="1"/>
        <v/>
      </c>
      <c r="E32" s="1060" t="s">
        <v>129</v>
      </c>
      <c r="F32" s="1061"/>
      <c r="G32" s="1062"/>
      <c r="H32" s="292"/>
      <c r="I32" s="745"/>
      <c r="J32" s="746" t="str">
        <f t="shared" si="21"/>
        <v/>
      </c>
      <c r="K32" s="368"/>
      <c r="L32" s="368"/>
      <c r="M32" s="368"/>
      <c r="N32" s="311">
        <f t="shared" si="22"/>
        <v>0</v>
      </c>
      <c r="O32" s="311">
        <f t="shared" si="23"/>
        <v>0</v>
      </c>
      <c r="P32" s="311">
        <f>IF(Stamoplysninger!$H$34="JA",Februar!DG32,CX32)</f>
        <v>0</v>
      </c>
      <c r="Q32" s="311">
        <f t="shared" si="24"/>
        <v>0</v>
      </c>
      <c r="R32" s="751"/>
      <c r="S32" s="315"/>
      <c r="T32" s="316"/>
      <c r="U32" s="316"/>
      <c r="V32" s="422"/>
      <c r="W32" s="422"/>
      <c r="X32" s="621"/>
      <c r="Y32">
        <f t="shared" si="25"/>
        <v>0</v>
      </c>
      <c r="Z32" s="424">
        <f t="shared" si="26"/>
        <v>0</v>
      </c>
      <c r="AA32" s="1">
        <f t="shared" si="27"/>
        <v>0</v>
      </c>
      <c r="AB32" s="1">
        <f t="shared" si="2"/>
        <v>0</v>
      </c>
      <c r="AC32" s="1">
        <f t="shared" si="3"/>
        <v>0</v>
      </c>
      <c r="AD32" s="1">
        <f t="shared" si="4"/>
        <v>0</v>
      </c>
      <c r="AE32" s="1">
        <f t="shared" si="5"/>
        <v>0</v>
      </c>
      <c r="AF32" s="1">
        <f>IF(C32="Orlov",7.4*Stamoplysninger!$E$20,0)</f>
        <v>0</v>
      </c>
      <c r="AG32" t="str">
        <f>IF(AND(C32="Skema 1",B32="ma"),Arbejdstidsoversigt!$E$77,"")</f>
        <v/>
      </c>
      <c r="AH32" t="str">
        <f>IF(AND(C32="Skema 1",B32="ti"),Arbejdstidsoversigt!$E$78,"")</f>
        <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6"/>
        <v>0</v>
      </c>
      <c r="BC32" s="1">
        <f t="shared" si="29"/>
        <v>0</v>
      </c>
      <c r="BD32" s="1">
        <f t="shared" si="7"/>
        <v>0</v>
      </c>
      <c r="BE32" s="1">
        <f t="shared" si="8"/>
        <v>0</v>
      </c>
      <c r="BF32" s="1">
        <f t="shared" si="9"/>
        <v>0</v>
      </c>
      <c r="BG32" s="207" t="str">
        <f>IF(AND(C32="Skema 1",B32="ma"),Skemaoplysninger!$E$46,"")</f>
        <v/>
      </c>
      <c r="BH32" s="207" t="str">
        <f>IF(AND(C32="Skema 1",B32="ti"),Skemaoplysninger!$G$46,"")</f>
        <v/>
      </c>
      <c r="BI32" s="207" t="str">
        <f>IF(AND(C32="Skema 1",B32="on"),Skemaoplysninger!$I$46,"")</f>
        <v/>
      </c>
      <c r="BJ32" s="207" t="str">
        <f>IF(AND(C32="Skema 1",B32="to"),Skemaoplysninger!$K$46,"")</f>
        <v/>
      </c>
      <c r="BK32" s="207" t="str">
        <f>IF(AND(C32="Skema 1",B32="fr"),Skemaoplysninger!$M$46,"")</f>
        <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0</v>
      </c>
      <c r="CB32" s="1">
        <f t="shared" si="10"/>
        <v>0</v>
      </c>
      <c r="CC32" s="1">
        <f t="shared" si="11"/>
        <v>0</v>
      </c>
      <c r="CD32" s="207" t="str">
        <f>IF(AND(C32="Skema 1",B32="ma"),Skemaoplysninger!$E$47,"")</f>
        <v/>
      </c>
      <c r="CE32" s="207" t="str">
        <f>IF(AND(C32="Skema 1",B32="ti"),Skemaoplysninger!$G$47,"")</f>
        <v/>
      </c>
      <c r="CF32" s="207" t="str">
        <f>IF(AND(C32="Skema 1",B32="on"),Skemaoplysninger!$I$47,"")</f>
        <v/>
      </c>
      <c r="CG32" s="207" t="str">
        <f>IF(AND(C32="Skema 1",B32="to"),Skemaoplysninger!$K$47,"")</f>
        <v/>
      </c>
      <c r="CH32" s="207" t="str">
        <f>IF(AND(C32="Skema 1",B32="fr"),Skemaoplysninger!$M$47,"")</f>
        <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t="str">
        <f t="shared" si="33"/>
        <v>Elevernes vinterferie</v>
      </c>
      <c r="DJ32" t="str">
        <f t="shared" si="34"/>
        <v/>
      </c>
      <c r="DK32" t="str">
        <f t="shared" si="12"/>
        <v/>
      </c>
      <c r="DL32" t="str">
        <f t="shared" si="12"/>
        <v>Elevernes vinterferie</v>
      </c>
      <c r="DM32" t="str">
        <f t="shared" si="12"/>
        <v/>
      </c>
      <c r="DN32" t="str">
        <f t="shared" si="35"/>
        <v>Elevernes vinterferie</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3"/>
        <v>0</v>
      </c>
      <c r="FZ32" s="634">
        <f t="shared" si="14"/>
        <v>0</v>
      </c>
      <c r="GA32">
        <f t="shared" si="15"/>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6"/>
        <v>0</v>
      </c>
      <c r="GL32">
        <f t="shared" si="17"/>
        <v>0</v>
      </c>
      <c r="GM32">
        <f t="shared" si="18"/>
        <v>0</v>
      </c>
      <c r="GN32" s="713">
        <f t="shared" si="19"/>
        <v>0</v>
      </c>
      <c r="GO32">
        <f t="shared" si="37"/>
        <v>0</v>
      </c>
      <c r="GP32" s="647">
        <f t="shared" si="38"/>
        <v>0</v>
      </c>
    </row>
    <row r="33" spans="1:198">
      <c r="A33" s="239">
        <f t="shared" si="20"/>
        <v>20</v>
      </c>
      <c r="B33" s="125" t="str">
        <f t="shared" si="0"/>
        <v>lø</v>
      </c>
      <c r="C33" s="126" t="s">
        <v>118</v>
      </c>
      <c r="D33" s="127" t="str">
        <f t="shared" si="1"/>
        <v/>
      </c>
      <c r="E33" s="1060"/>
      <c r="F33" s="1061"/>
      <c r="G33" s="1062"/>
      <c r="H33" s="292"/>
      <c r="I33" s="746" t="str">
        <f>IF(GO33=1,"X","")</f>
        <v/>
      </c>
      <c r="J33" s="746" t="str">
        <f t="shared" si="21"/>
        <v/>
      </c>
      <c r="K33" s="368"/>
      <c r="L33" s="368"/>
      <c r="M33" s="368"/>
      <c r="N33" s="311">
        <f t="shared" si="22"/>
        <v>0</v>
      </c>
      <c r="O33" s="311">
        <f t="shared" si="23"/>
        <v>0</v>
      </c>
      <c r="P33" s="311">
        <f>IF(Stamoplysninger!$H$34="JA",Februar!DG33,CX33)</f>
        <v>0</v>
      </c>
      <c r="Q33" s="311">
        <f t="shared" si="24"/>
        <v>0</v>
      </c>
      <c r="R33" s="751"/>
      <c r="S33" s="315"/>
      <c r="T33" s="316"/>
      <c r="U33" s="316"/>
      <c r="V33" s="422"/>
      <c r="W33" s="422"/>
      <c r="X33" s="621"/>
      <c r="Y33">
        <f t="shared" si="25"/>
        <v>0</v>
      </c>
      <c r="Z33" s="424">
        <f t="shared" si="26"/>
        <v>0</v>
      </c>
      <c r="AA33" s="1">
        <f t="shared" si="27"/>
        <v>0</v>
      </c>
      <c r="AB33" s="1">
        <f t="shared" si="2"/>
        <v>0</v>
      </c>
      <c r="AC33" s="1">
        <f t="shared" si="3"/>
        <v>0</v>
      </c>
      <c r="AD33" s="1">
        <f t="shared" si="4"/>
        <v>0</v>
      </c>
      <c r="AE33" s="1">
        <f t="shared" si="5"/>
        <v>0</v>
      </c>
      <c r="AF33" s="1">
        <f>IF(C33="Orlov",7.4*Stamoplysninger!$E$20,0)</f>
        <v>0</v>
      </c>
      <c r="AG33" t="str">
        <f>IF(AND(C33="Skema 1",B33="ma"),Arbejdstidsoversigt!$E$77,"")</f>
        <v/>
      </c>
      <c r="AH33" t="str">
        <f>IF(AND(C33="Skema 1",B33="ti"),Arbejdstidsoversigt!$E$78,"")</f>
        <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6"/>
        <v>0</v>
      </c>
      <c r="BC33" s="1">
        <f t="shared" si="29"/>
        <v>0</v>
      </c>
      <c r="BD33" s="1">
        <f t="shared" si="7"/>
        <v>0</v>
      </c>
      <c r="BE33" s="1">
        <f t="shared" si="8"/>
        <v>0</v>
      </c>
      <c r="BF33" s="1">
        <f t="shared" si="9"/>
        <v>0</v>
      </c>
      <c r="BG33" s="207" t="str">
        <f>IF(AND(C33="Skema 1",B33="ma"),Skemaoplysninger!$E$46,"")</f>
        <v/>
      </c>
      <c r="BH33" s="207" t="str">
        <f>IF(AND(C33="Skema 1",B33="ti"),Skemaoplysninger!$G$46,"")</f>
        <v/>
      </c>
      <c r="BI33" s="207" t="str">
        <f>IF(AND(C33="Skema 1",B33="on"),Skemaoplysninger!$I$46,"")</f>
        <v/>
      </c>
      <c r="BJ33" s="207" t="str">
        <f>IF(AND(C33="Skema 1",B33="to"),Skemaoplysninger!$K$46,"")</f>
        <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0</v>
      </c>
      <c r="CB33" s="1">
        <f t="shared" si="10"/>
        <v>0</v>
      </c>
      <c r="CC33" s="1">
        <f t="shared" si="11"/>
        <v>0</v>
      </c>
      <c r="CD33" s="207" t="str">
        <f>IF(AND(C33="Skema 1",B33="ma"),Skemaoplysninger!$E$47,"")</f>
        <v/>
      </c>
      <c r="CE33" s="207" t="str">
        <f>IF(AND(C33="Skema 1",B33="ti"),Skemaoplysninger!$G$47,"")</f>
        <v/>
      </c>
      <c r="CF33" s="207" t="str">
        <f>IF(AND(C33="Skema 1",B33="on"),Skemaoplysninger!$I$47,"")</f>
        <v/>
      </c>
      <c r="CG33" s="207" t="str">
        <f>IF(AND(C33="Skema 1",B33="to"),Skemaoplysninger!$K$47,"")</f>
        <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2"/>
        <v/>
      </c>
      <c r="DL33" t="str">
        <f t="shared" si="12"/>
        <v/>
      </c>
      <c r="DM33" t="str">
        <f t="shared" si="12"/>
        <v/>
      </c>
      <c r="DN33" t="str">
        <f t="shared" si="35"/>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3"/>
        <v>0</v>
      </c>
      <c r="FZ33" s="634">
        <f t="shared" si="14"/>
        <v>0</v>
      </c>
      <c r="GA33">
        <f t="shared" si="15"/>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6"/>
        <v>0</v>
      </c>
      <c r="GL33">
        <f t="shared" si="17"/>
        <v>0</v>
      </c>
      <c r="GM33">
        <f t="shared" si="18"/>
        <v>0</v>
      </c>
      <c r="GN33" s="713">
        <f t="shared" si="19"/>
        <v>0</v>
      </c>
      <c r="GO33">
        <f t="shared" si="37"/>
        <v>0</v>
      </c>
      <c r="GP33" s="647">
        <f t="shared" si="38"/>
        <v>0</v>
      </c>
    </row>
    <row r="34" spans="1:198">
      <c r="A34" s="239">
        <f t="shared" si="20"/>
        <v>21</v>
      </c>
      <c r="B34" s="125" t="str">
        <f t="shared" si="0"/>
        <v>sø</v>
      </c>
      <c r="C34" s="126" t="s">
        <v>118</v>
      </c>
      <c r="D34" s="127" t="str">
        <f t="shared" si="1"/>
        <v/>
      </c>
      <c r="E34" s="1060"/>
      <c r="F34" s="1061"/>
      <c r="G34" s="1062"/>
      <c r="H34" s="292"/>
      <c r="I34" s="746" t="str">
        <f>IF(GO34=1,"X","")</f>
        <v/>
      </c>
      <c r="J34" s="746" t="str">
        <f t="shared" si="21"/>
        <v/>
      </c>
      <c r="K34" s="368"/>
      <c r="L34" s="368"/>
      <c r="M34" s="368"/>
      <c r="N34" s="311">
        <f t="shared" si="22"/>
        <v>0</v>
      </c>
      <c r="O34" s="311">
        <f t="shared" si="23"/>
        <v>0</v>
      </c>
      <c r="P34" s="311">
        <f>IF(Stamoplysninger!$H$34="JA",Februar!DG34,CX34)</f>
        <v>0</v>
      </c>
      <c r="Q34" s="311">
        <f t="shared" si="24"/>
        <v>0</v>
      </c>
      <c r="R34" s="751"/>
      <c r="S34" s="315"/>
      <c r="T34" s="316"/>
      <c r="U34" s="316"/>
      <c r="V34" s="422"/>
      <c r="W34" s="422"/>
      <c r="X34" s="621"/>
      <c r="Y34">
        <f t="shared" si="25"/>
        <v>0</v>
      </c>
      <c r="Z34" s="424">
        <f t="shared" si="26"/>
        <v>0</v>
      </c>
      <c r="AA34" s="1">
        <f t="shared" si="27"/>
        <v>0</v>
      </c>
      <c r="AB34" s="1">
        <f t="shared" si="2"/>
        <v>0</v>
      </c>
      <c r="AC34" s="1">
        <f t="shared" si="3"/>
        <v>0</v>
      </c>
      <c r="AD34" s="1">
        <f t="shared" si="4"/>
        <v>0</v>
      </c>
      <c r="AE34" s="1">
        <f t="shared" si="5"/>
        <v>0</v>
      </c>
      <c r="AF34" s="1">
        <f>IF(C34="Orlov",7.4*Stamoplysninger!$E$20,0)</f>
        <v>0</v>
      </c>
      <c r="AG34" t="str">
        <f>IF(AND(C34="Skema 1",B34="ma"),Arbejdstidsoversigt!$E$77,"")</f>
        <v/>
      </c>
      <c r="AH34" t="str">
        <f>IF(AND(C34="Skema 1",B34="ti"),Arbejdstidsoversigt!$E$78,"")</f>
        <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6"/>
        <v>0</v>
      </c>
      <c r="BC34" s="1">
        <f t="shared" si="29"/>
        <v>0</v>
      </c>
      <c r="BD34" s="1">
        <f t="shared" si="7"/>
        <v>0</v>
      </c>
      <c r="BE34" s="1">
        <f t="shared" si="8"/>
        <v>0</v>
      </c>
      <c r="BF34" s="1">
        <f t="shared" si="9"/>
        <v>0</v>
      </c>
      <c r="BG34" s="207" t="str">
        <f>IF(AND(C34="Skema 1",B34="ma"),Skemaoplysninger!$E$46,"")</f>
        <v/>
      </c>
      <c r="BH34" s="207" t="str">
        <f>IF(AND(C34="Skema 1",B34="ti"),Skemaoplysninger!$G$46,"")</f>
        <v/>
      </c>
      <c r="BI34" s="207" t="str">
        <f>IF(AND(C34="Skema 1",B34="on"),Skemaoplysninger!$I$46,"")</f>
        <v/>
      </c>
      <c r="BJ34" s="207" t="str">
        <f>IF(AND(C34="Skema 1",B34="to"),Skemaoplysninger!$K$46,"")</f>
        <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0</v>
      </c>
      <c r="CB34" s="1">
        <f t="shared" si="10"/>
        <v>0</v>
      </c>
      <c r="CC34" s="1">
        <f t="shared" si="11"/>
        <v>0</v>
      </c>
      <c r="CD34" s="207" t="str">
        <f>IF(AND(C34="Skema 1",B34="ma"),Skemaoplysninger!$E$47,"")</f>
        <v/>
      </c>
      <c r="CE34" s="207" t="str">
        <f>IF(AND(C34="Skema 1",B34="ti"),Skemaoplysninger!$G$47,"")</f>
        <v/>
      </c>
      <c r="CF34" s="207" t="str">
        <f>IF(AND(C34="Skema 1",B34="on"),Skemaoplysninger!$I$47,"")</f>
        <v/>
      </c>
      <c r="CG34" s="207" t="str">
        <f>IF(AND(C34="Skema 1",B34="to"),Skemaoplysninger!$K$47,"")</f>
        <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2"/>
        <v/>
      </c>
      <c r="DL34" t="str">
        <f t="shared" si="12"/>
        <v/>
      </c>
      <c r="DM34" t="str">
        <f t="shared" si="12"/>
        <v/>
      </c>
      <c r="DN34" t="str">
        <f t="shared" si="35"/>
        <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3"/>
        <v>0</v>
      </c>
      <c r="FZ34" s="634">
        <f t="shared" si="14"/>
        <v>0</v>
      </c>
      <c r="GA34">
        <f t="shared" si="15"/>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6"/>
        <v>0</v>
      </c>
      <c r="GL34">
        <f t="shared" si="17"/>
        <v>0</v>
      </c>
      <c r="GM34">
        <f t="shared" si="18"/>
        <v>0</v>
      </c>
      <c r="GN34" s="713">
        <f t="shared" si="19"/>
        <v>0</v>
      </c>
      <c r="GO34">
        <f t="shared" si="37"/>
        <v>0</v>
      </c>
      <c r="GP34" s="647">
        <f t="shared" si="38"/>
        <v>0</v>
      </c>
    </row>
    <row r="35" spans="1:198">
      <c r="A35" s="239">
        <f t="shared" si="20"/>
        <v>22</v>
      </c>
      <c r="B35" s="125" t="str">
        <f t="shared" si="0"/>
        <v>ma</v>
      </c>
      <c r="C35" s="126" t="s">
        <v>203</v>
      </c>
      <c r="D35" s="127">
        <f t="shared" si="1"/>
        <v>8.4285714285714288</v>
      </c>
      <c r="E35" s="1060"/>
      <c r="F35" s="1061"/>
      <c r="G35" s="1062"/>
      <c r="H35" s="292"/>
      <c r="I35" s="745"/>
      <c r="J35" s="746" t="str">
        <f t="shared" si="21"/>
        <v/>
      </c>
      <c r="K35" s="368"/>
      <c r="L35" s="368"/>
      <c r="M35" s="368"/>
      <c r="N35" s="311">
        <f t="shared" si="22"/>
        <v>8.11</v>
      </c>
      <c r="O35" s="311">
        <f t="shared" si="23"/>
        <v>4.5</v>
      </c>
      <c r="P35" s="311">
        <f>IF(Stamoplysninger!$H$34="JA",Februar!DG35,CX35)</f>
        <v>1.9166666666666665</v>
      </c>
      <c r="Q35" s="311">
        <f t="shared" si="24"/>
        <v>1.6933333333333329</v>
      </c>
      <c r="R35" s="751"/>
      <c r="S35" s="315"/>
      <c r="T35" s="316"/>
      <c r="U35" s="316"/>
      <c r="V35" s="422"/>
      <c r="W35" s="422"/>
      <c r="X35" s="621"/>
      <c r="Y35">
        <f t="shared" si="25"/>
        <v>0</v>
      </c>
      <c r="Z35" s="424">
        <f t="shared" si="26"/>
        <v>0</v>
      </c>
      <c r="AA35" s="1">
        <f t="shared" si="27"/>
        <v>0</v>
      </c>
      <c r="AB35" s="1">
        <f t="shared" si="2"/>
        <v>0</v>
      </c>
      <c r="AC35" s="1">
        <f t="shared" si="3"/>
        <v>0</v>
      </c>
      <c r="AD35" s="1">
        <f t="shared" si="4"/>
        <v>0</v>
      </c>
      <c r="AE35" s="1">
        <f t="shared" si="5"/>
        <v>0</v>
      </c>
      <c r="AF35" s="1">
        <f>IF(C35="Orlov",7.4*Stamoplysninger!$E$20,0)</f>
        <v>0</v>
      </c>
      <c r="AG35">
        <f>IF(AND(C35="Skema 1",B35="ma"),Arbejdstidsoversigt!$E$77,"")</f>
        <v>8.11</v>
      </c>
      <c r="AH35" t="str">
        <f>IF(AND(C35="Skema 1",B35="ti"),Arbejdstidsoversigt!$E$78,"")</f>
        <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8.11</v>
      </c>
      <c r="BB35" s="224">
        <f t="shared" si="6"/>
        <v>194.64</v>
      </c>
      <c r="BC35" s="1">
        <f t="shared" si="29"/>
        <v>0</v>
      </c>
      <c r="BD35" s="1">
        <f t="shared" si="7"/>
        <v>0</v>
      </c>
      <c r="BE35" s="1">
        <f t="shared" si="8"/>
        <v>0</v>
      </c>
      <c r="BF35" s="1">
        <f t="shared" si="9"/>
        <v>0</v>
      </c>
      <c r="BG35" s="207">
        <f>IF(AND(C35="Skema 1",B35="ma"),Skemaoplysninger!$E$46,"")</f>
        <v>0.1875</v>
      </c>
      <c r="BH35" s="207" t="str">
        <f>IF(AND(C35="Skema 1",B35="ti"),Skemaoplysninger!$G$46,"")</f>
        <v/>
      </c>
      <c r="BI35" s="207" t="str">
        <f>IF(AND(C35="Skema 1",B35="on"),Skemaoplysninger!$I$46,"")</f>
        <v/>
      </c>
      <c r="BJ35" s="207" t="str">
        <f>IF(AND(C35="Skema 1",B35="to"),Skemaoplysninger!$K$46,"")</f>
        <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4.5</v>
      </c>
      <c r="CB35" s="1">
        <f t="shared" si="10"/>
        <v>0</v>
      </c>
      <c r="CC35" s="1">
        <f t="shared" si="11"/>
        <v>0</v>
      </c>
      <c r="CD35" s="207">
        <f>IF(AND(C35="Skema 1",B35="ma"),Skemaoplysninger!$E$47,"")</f>
        <v>7.9861111111111105E-2</v>
      </c>
      <c r="CE35" s="207" t="str">
        <f>IF(AND(C35="Skema 1",B35="ti"),Skemaoplysninger!$G$47,"")</f>
        <v/>
      </c>
      <c r="CF35" s="207" t="str">
        <f>IF(AND(C35="Skema 1",B35="on"),Skemaoplysninger!$I$47,"")</f>
        <v/>
      </c>
      <c r="CG35" s="207" t="str">
        <f>IF(AND(C35="Skema 1",B35="to"),Skemaoplysninger!$K$47,"")</f>
        <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1.9166666666666665</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2"/>
        <v/>
      </c>
      <c r="DL35" t="str">
        <f t="shared" si="12"/>
        <v/>
      </c>
      <c r="DM35" t="str">
        <f t="shared" si="12"/>
        <v/>
      </c>
      <c r="DN35" t="str">
        <f t="shared" si="35"/>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3"/>
        <v>0</v>
      </c>
      <c r="FZ35" s="634">
        <f t="shared" si="14"/>
        <v>0</v>
      </c>
      <c r="GA35">
        <f t="shared" si="15"/>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6"/>
        <v>0</v>
      </c>
      <c r="GL35">
        <f t="shared" si="17"/>
        <v>0</v>
      </c>
      <c r="GM35">
        <f t="shared" si="18"/>
        <v>0</v>
      </c>
      <c r="GN35" s="713">
        <f t="shared" si="19"/>
        <v>0</v>
      </c>
      <c r="GO35">
        <f t="shared" si="37"/>
        <v>0</v>
      </c>
      <c r="GP35" s="647">
        <f t="shared" si="38"/>
        <v>0</v>
      </c>
    </row>
    <row r="36" spans="1:198">
      <c r="A36" s="239">
        <f t="shared" si="20"/>
        <v>23</v>
      </c>
      <c r="B36" s="125" t="str">
        <f t="shared" si="0"/>
        <v>ti</v>
      </c>
      <c r="C36" s="126" t="s">
        <v>203</v>
      </c>
      <c r="D36" s="127" t="str">
        <f t="shared" si="1"/>
        <v/>
      </c>
      <c r="E36" s="1060"/>
      <c r="F36" s="1061"/>
      <c r="G36" s="1062"/>
      <c r="H36" s="292"/>
      <c r="I36" s="745"/>
      <c r="J36" s="746" t="str">
        <f t="shared" si="21"/>
        <v/>
      </c>
      <c r="K36" s="368"/>
      <c r="L36" s="368"/>
      <c r="M36" s="368"/>
      <c r="N36" s="311">
        <f t="shared" si="22"/>
        <v>8.11</v>
      </c>
      <c r="O36" s="311">
        <f t="shared" si="23"/>
        <v>4.5</v>
      </c>
      <c r="P36" s="311">
        <f>IF(Stamoplysninger!$H$34="JA",Februar!DG36,CX36)</f>
        <v>1.9166666666666665</v>
      </c>
      <c r="Q36" s="311">
        <f t="shared" si="24"/>
        <v>1.6933333333333329</v>
      </c>
      <c r="R36" s="751"/>
      <c r="S36" s="315"/>
      <c r="T36" s="316"/>
      <c r="U36" s="316"/>
      <c r="V36" s="422"/>
      <c r="W36" s="422"/>
      <c r="X36" s="621"/>
      <c r="Y36">
        <f t="shared" si="25"/>
        <v>0</v>
      </c>
      <c r="Z36" s="424">
        <f t="shared" si="26"/>
        <v>0</v>
      </c>
      <c r="AA36" s="1">
        <f t="shared" si="27"/>
        <v>0</v>
      </c>
      <c r="AB36" s="1">
        <f t="shared" si="2"/>
        <v>0</v>
      </c>
      <c r="AC36" s="1">
        <f t="shared" si="3"/>
        <v>0</v>
      </c>
      <c r="AD36" s="1">
        <f t="shared" si="4"/>
        <v>0</v>
      </c>
      <c r="AE36" s="1">
        <f t="shared" si="5"/>
        <v>0</v>
      </c>
      <c r="AF36" s="1">
        <f>IF(C36="Orlov",7.4*Stamoplysninger!$E$20,0)</f>
        <v>0</v>
      </c>
      <c r="AG36" t="str">
        <f>IF(AND(C36="Skema 1",B36="ma"),Arbejdstidsoversigt!$E$77,"")</f>
        <v/>
      </c>
      <c r="AH36">
        <f>IF(AND(C36="Skema 1",B36="ti"),Arbejdstidsoversigt!$E$78,"")</f>
        <v>8.11</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8.11</v>
      </c>
      <c r="BB36" s="224">
        <f t="shared" si="6"/>
        <v>194.64</v>
      </c>
      <c r="BC36" s="1">
        <f t="shared" si="29"/>
        <v>0</v>
      </c>
      <c r="BD36" s="1">
        <f t="shared" si="7"/>
        <v>0</v>
      </c>
      <c r="BE36" s="1">
        <f t="shared" si="8"/>
        <v>0</v>
      </c>
      <c r="BF36" s="1">
        <f t="shared" si="9"/>
        <v>0</v>
      </c>
      <c r="BG36" s="207" t="str">
        <f>IF(AND(C36="Skema 1",B36="ma"),Skemaoplysninger!$E$46,"")</f>
        <v/>
      </c>
      <c r="BH36" s="207">
        <f>IF(AND(C36="Skema 1",B36="ti"),Skemaoplysninger!$G$46,"")</f>
        <v>0.1875</v>
      </c>
      <c r="BI36" s="207" t="str">
        <f>IF(AND(C36="Skema 1",B36="on"),Skemaoplysninger!$I$46,"")</f>
        <v/>
      </c>
      <c r="BJ36" s="207" t="str">
        <f>IF(AND(C36="Skema 1",B36="to"),Skemaoplysninger!$K$46,"")</f>
        <v/>
      </c>
      <c r="BK36" s="207" t="str">
        <f>IF(AND(C36="Skema 1",B36="fr"),Skemaoplysninger!$M$46,"")</f>
        <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4.5</v>
      </c>
      <c r="CB36" s="1">
        <f t="shared" si="10"/>
        <v>0</v>
      </c>
      <c r="CC36" s="1">
        <f t="shared" si="11"/>
        <v>0</v>
      </c>
      <c r="CD36" s="207" t="str">
        <f>IF(AND(C36="Skema 1",B36="ma"),Skemaoplysninger!$E$47,"")</f>
        <v/>
      </c>
      <c r="CE36" s="207">
        <f>IF(AND(C36="Skema 1",B36="ti"),Skemaoplysninger!$G$47,"")</f>
        <v>7.9861111111111105E-2</v>
      </c>
      <c r="CF36" s="207" t="str">
        <f>IF(AND(C36="Skema 1",B36="on"),Skemaoplysninger!$I$47,"")</f>
        <v/>
      </c>
      <c r="CG36" s="207" t="str">
        <f>IF(AND(C36="Skema 1",B36="to"),Skemaoplysninger!$K$47,"")</f>
        <v/>
      </c>
      <c r="CH36" s="207" t="str">
        <f>IF(AND(C36="Skema 1",B36="fr"),Skemaoplysninger!$M$47,"")</f>
        <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1.9166666666666665</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2"/>
        <v/>
      </c>
      <c r="DL36" t="str">
        <f t="shared" si="12"/>
        <v/>
      </c>
      <c r="DM36" t="str">
        <f t="shared" si="12"/>
        <v/>
      </c>
      <c r="DN36" t="str">
        <f t="shared" si="35"/>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3"/>
        <v>0</v>
      </c>
      <c r="FZ36" s="634">
        <f t="shared" si="14"/>
        <v>0</v>
      </c>
      <c r="GA36">
        <f t="shared" si="15"/>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6"/>
        <v>0</v>
      </c>
      <c r="GL36">
        <f t="shared" si="17"/>
        <v>0</v>
      </c>
      <c r="GM36">
        <f t="shared" si="18"/>
        <v>0</v>
      </c>
      <c r="GN36" s="713">
        <f t="shared" si="19"/>
        <v>0</v>
      </c>
      <c r="GO36">
        <f t="shared" si="37"/>
        <v>0</v>
      </c>
      <c r="GP36" s="647">
        <f t="shared" si="38"/>
        <v>0</v>
      </c>
    </row>
    <row r="37" spans="1:198">
      <c r="A37" s="239">
        <f t="shared" si="20"/>
        <v>24</v>
      </c>
      <c r="B37" s="125" t="str">
        <f t="shared" si="0"/>
        <v>on</v>
      </c>
      <c r="C37" s="126" t="s">
        <v>203</v>
      </c>
      <c r="D37" s="127" t="str">
        <f t="shared" si="1"/>
        <v/>
      </c>
      <c r="E37" s="1123"/>
      <c r="F37" s="1124"/>
      <c r="G37" s="1125"/>
      <c r="H37" s="292"/>
      <c r="I37" s="745"/>
      <c r="J37" s="746" t="str">
        <f t="shared" si="21"/>
        <v/>
      </c>
      <c r="K37" s="368"/>
      <c r="L37" s="368"/>
      <c r="M37" s="368"/>
      <c r="N37" s="311">
        <f t="shared" si="22"/>
        <v>8.11</v>
      </c>
      <c r="O37" s="311">
        <f t="shared" si="23"/>
        <v>2.75</v>
      </c>
      <c r="P37" s="311">
        <f>IF(Stamoplysninger!$H$34="JA",Februar!DG37,CX37)</f>
        <v>1.25</v>
      </c>
      <c r="Q37" s="311">
        <f t="shared" si="24"/>
        <v>4.1099999999999994</v>
      </c>
      <c r="R37" s="751"/>
      <c r="S37" s="315"/>
      <c r="T37" s="316"/>
      <c r="U37" s="316"/>
      <c r="V37" s="422"/>
      <c r="W37" s="422"/>
      <c r="X37" s="621"/>
      <c r="Y37">
        <f t="shared" si="25"/>
        <v>0</v>
      </c>
      <c r="Z37" s="424">
        <f t="shared" si="26"/>
        <v>0</v>
      </c>
      <c r="AA37" s="1">
        <f t="shared" si="27"/>
        <v>0</v>
      </c>
      <c r="AB37" s="1">
        <f t="shared" si="2"/>
        <v>0</v>
      </c>
      <c r="AC37" s="1">
        <f t="shared" si="3"/>
        <v>0</v>
      </c>
      <c r="AD37" s="1">
        <f t="shared" si="4"/>
        <v>0</v>
      </c>
      <c r="AE37" s="1">
        <f t="shared" si="5"/>
        <v>0</v>
      </c>
      <c r="AF37" s="1">
        <f>IF(C37="Orlov",7.4*Stamoplysninger!$E$20,0)</f>
        <v>0</v>
      </c>
      <c r="AG37" t="str">
        <f>IF(AND(C37="Skema 1",B37="ma"),Arbejdstidsoversigt!$E$77,"")</f>
        <v/>
      </c>
      <c r="AH37" t="str">
        <f>IF(AND(C37="Skema 1",B37="ti"),Arbejdstidsoversigt!$E$78,"")</f>
        <v/>
      </c>
      <c r="AI37">
        <f>IF(AND(C37="Skema 1",B37="on"),Arbejdstidsoversigt!$E$79,"")</f>
        <v>8.11</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8.11</v>
      </c>
      <c r="BB37" s="224">
        <f t="shared" si="6"/>
        <v>194.64</v>
      </c>
      <c r="BC37" s="1">
        <f t="shared" si="29"/>
        <v>0</v>
      </c>
      <c r="BD37" s="1">
        <f t="shared" si="7"/>
        <v>0</v>
      </c>
      <c r="BE37" s="1">
        <f t="shared" si="8"/>
        <v>0</v>
      </c>
      <c r="BF37" s="1">
        <f t="shared" si="9"/>
        <v>0</v>
      </c>
      <c r="BG37" s="207" t="str">
        <f>IF(AND(C37="Skema 1",B37="ma"),Skemaoplysninger!$E$46,"")</f>
        <v/>
      </c>
      <c r="BH37" s="207" t="str">
        <f>IF(AND(C37="Skema 1",B37="ti"),Skemaoplysninger!$G$46,"")</f>
        <v/>
      </c>
      <c r="BI37" s="207">
        <f>IF(AND(C37="Skema 1",B37="on"),Skemaoplysninger!$I$46,"")</f>
        <v>0.11458333333333333</v>
      </c>
      <c r="BJ37" s="207" t="str">
        <f>IF(AND(C37="Skema 1",B37="to"),Skemaoplysninger!$K$46,"")</f>
        <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2.75</v>
      </c>
      <c r="CB37" s="1">
        <f t="shared" si="10"/>
        <v>0</v>
      </c>
      <c r="CC37" s="1">
        <f t="shared" si="11"/>
        <v>0</v>
      </c>
      <c r="CD37" s="207" t="str">
        <f>IF(AND(C37="Skema 1",B37="ma"),Skemaoplysninger!$E$47,"")</f>
        <v/>
      </c>
      <c r="CE37" s="207" t="str">
        <f>IF(AND(C37="Skema 1",B37="ti"),Skemaoplysninger!$G$47,"")</f>
        <v/>
      </c>
      <c r="CF37" s="207">
        <f>IF(AND(C37="Skema 1",B37="on"),Skemaoplysninger!$I$47,"")</f>
        <v>5.2083333333333329E-2</v>
      </c>
      <c r="CG37" s="207" t="str">
        <f>IF(AND(C37="Skema 1",B37="to"),Skemaoplysninger!$K$47,"")</f>
        <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1.25</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2"/>
        <v/>
      </c>
      <c r="DL37" t="str">
        <f t="shared" si="12"/>
        <v/>
      </c>
      <c r="DM37" t="str">
        <f t="shared" si="12"/>
        <v/>
      </c>
      <c r="DN37" t="str">
        <f t="shared" si="35"/>
        <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3"/>
        <v>0</v>
      </c>
      <c r="FZ37" s="634">
        <f t="shared" si="14"/>
        <v>0</v>
      </c>
      <c r="GA37">
        <f t="shared" si="15"/>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6"/>
        <v>0</v>
      </c>
      <c r="GL37">
        <f t="shared" si="17"/>
        <v>0</v>
      </c>
      <c r="GM37">
        <f t="shared" si="18"/>
        <v>0</v>
      </c>
      <c r="GN37" s="713">
        <f t="shared" si="19"/>
        <v>0</v>
      </c>
      <c r="GO37">
        <f t="shared" si="37"/>
        <v>0</v>
      </c>
      <c r="GP37" s="647">
        <f t="shared" si="38"/>
        <v>0</v>
      </c>
    </row>
    <row r="38" spans="1:198">
      <c r="A38" s="239">
        <f t="shared" si="20"/>
        <v>25</v>
      </c>
      <c r="B38" s="125" t="str">
        <f t="shared" si="0"/>
        <v>to</v>
      </c>
      <c r="C38" s="126" t="s">
        <v>203</v>
      </c>
      <c r="D38" s="127" t="str">
        <f t="shared" si="1"/>
        <v/>
      </c>
      <c r="E38" s="1060" t="s">
        <v>769</v>
      </c>
      <c r="F38" s="1061"/>
      <c r="G38" s="1062"/>
      <c r="H38" s="292"/>
      <c r="I38" s="745"/>
      <c r="J38" s="746" t="str">
        <f t="shared" si="21"/>
        <v/>
      </c>
      <c r="K38" s="368"/>
      <c r="L38" s="368"/>
      <c r="M38" s="368"/>
      <c r="N38" s="311">
        <f t="shared" si="22"/>
        <v>9</v>
      </c>
      <c r="O38" s="311">
        <f t="shared" si="23"/>
        <v>3.75</v>
      </c>
      <c r="P38" s="311">
        <f>IF(Stamoplysninger!$H$34="JA",Februar!DG38,CX38)</f>
        <v>1</v>
      </c>
      <c r="Q38" s="311">
        <f t="shared" si="24"/>
        <v>4.25</v>
      </c>
      <c r="R38" s="751"/>
      <c r="S38" s="315"/>
      <c r="T38" s="316"/>
      <c r="U38" s="316"/>
      <c r="V38" s="422"/>
      <c r="W38" s="422"/>
      <c r="X38" s="621"/>
      <c r="Y38">
        <f t="shared" si="25"/>
        <v>0</v>
      </c>
      <c r="Z38" s="424">
        <f t="shared" si="26"/>
        <v>0</v>
      </c>
      <c r="AA38" s="1">
        <f t="shared" si="27"/>
        <v>0</v>
      </c>
      <c r="AB38" s="1">
        <f t="shared" si="2"/>
        <v>0</v>
      </c>
      <c r="AC38" s="1">
        <f t="shared" si="3"/>
        <v>0</v>
      </c>
      <c r="AD38" s="1">
        <f t="shared" si="4"/>
        <v>0</v>
      </c>
      <c r="AE38" s="1">
        <f t="shared" si="5"/>
        <v>0</v>
      </c>
      <c r="AF38" s="1">
        <f>IF(C38="Orlov",7.4*Stamoplysninger!$E$20,0)</f>
        <v>0</v>
      </c>
      <c r="AG38" t="str">
        <f>IF(AND(C38="Skema 1",B38="ma"),Arbejdstidsoversigt!$E$77,"")</f>
        <v/>
      </c>
      <c r="AH38" t="str">
        <f>IF(AND(C38="Skema 1",B38="ti"),Arbejdstidsoversigt!$E$78,"")</f>
        <v/>
      </c>
      <c r="AI38" t="str">
        <f>IF(AND(C38="Skema 1",B38="on"),Arbejdstidsoversigt!$E$79,"")</f>
        <v/>
      </c>
      <c r="AJ38">
        <f>IF(AND(C38="Skema 1",B38="to"),Arbejdstidsoversigt!$E$80,"")</f>
        <v>9</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9</v>
      </c>
      <c r="BB38" s="224">
        <f t="shared" si="6"/>
        <v>216</v>
      </c>
      <c r="BC38" s="1">
        <f t="shared" si="29"/>
        <v>0</v>
      </c>
      <c r="BD38" s="1">
        <f t="shared" si="7"/>
        <v>0</v>
      </c>
      <c r="BE38" s="1">
        <f t="shared" si="8"/>
        <v>0</v>
      </c>
      <c r="BF38" s="1">
        <f t="shared" si="9"/>
        <v>0</v>
      </c>
      <c r="BG38" s="207" t="str">
        <f>IF(AND(C38="Skema 1",B38="ma"),Skemaoplysninger!$E$46,"")</f>
        <v/>
      </c>
      <c r="BH38" s="207" t="str">
        <f>IF(AND(C38="Skema 1",B38="ti"),Skemaoplysninger!$G$46,"")</f>
        <v/>
      </c>
      <c r="BI38" s="207" t="str">
        <f>IF(AND(C38="Skema 1",B38="on"),Skemaoplysninger!$I$46,"")</f>
        <v/>
      </c>
      <c r="BJ38" s="207">
        <f>IF(AND(C38="Skema 1",B38="to"),Skemaoplysninger!$K$46,"")</f>
        <v>0.15625</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3.75</v>
      </c>
      <c r="CB38" s="1">
        <f t="shared" si="10"/>
        <v>0</v>
      </c>
      <c r="CC38" s="1">
        <f t="shared" si="11"/>
        <v>0</v>
      </c>
      <c r="CD38" s="207" t="str">
        <f>IF(AND(C38="Skema 1",B38="ma"),Skemaoplysninger!$E$47,"")</f>
        <v/>
      </c>
      <c r="CE38" s="207" t="str">
        <f>IF(AND(C38="Skema 1",B38="ti"),Skemaoplysninger!$G$47,"")</f>
        <v/>
      </c>
      <c r="CF38" s="207" t="str">
        <f>IF(AND(C38="Skema 1",B38="on"),Skemaoplysninger!$I$47,"")</f>
        <v/>
      </c>
      <c r="CG38" s="207">
        <f>IF(AND(C38="Skema 1",B38="to"),Skemaoplysninger!$K$47,"")</f>
        <v>4.1666666666666664E-2</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1</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t="str">
        <f t="shared" si="33"/>
        <v>Lærermøde</v>
      </c>
      <c r="DJ38" t="str">
        <f t="shared" si="34"/>
        <v/>
      </c>
      <c r="DK38" t="str">
        <f t="shared" si="12"/>
        <v/>
      </c>
      <c r="DL38" t="str">
        <f t="shared" si="12"/>
        <v>Lærermøde</v>
      </c>
      <c r="DM38" t="str">
        <f t="shared" si="12"/>
        <v/>
      </c>
      <c r="DN38" t="str">
        <f t="shared" si="35"/>
        <v>Lærermøde</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3"/>
        <v>0</v>
      </c>
      <c r="FZ38" s="634">
        <f t="shared" si="14"/>
        <v>0</v>
      </c>
      <c r="GA38">
        <f t="shared" si="15"/>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6"/>
        <v>0</v>
      </c>
      <c r="GL38">
        <f t="shared" si="17"/>
        <v>0</v>
      </c>
      <c r="GM38">
        <f t="shared" si="18"/>
        <v>0</v>
      </c>
      <c r="GN38" s="713">
        <f t="shared" si="19"/>
        <v>0</v>
      </c>
      <c r="GO38">
        <f t="shared" si="37"/>
        <v>0</v>
      </c>
      <c r="GP38" s="647">
        <f t="shared" si="38"/>
        <v>0</v>
      </c>
    </row>
    <row r="39" spans="1:198">
      <c r="A39" s="239">
        <f t="shared" si="20"/>
        <v>26</v>
      </c>
      <c r="B39" s="125" t="str">
        <f t="shared" si="0"/>
        <v>fr</v>
      </c>
      <c r="C39" s="126" t="s">
        <v>203</v>
      </c>
      <c r="D39" s="127" t="str">
        <f t="shared" si="1"/>
        <v/>
      </c>
      <c r="E39" s="1060"/>
      <c r="F39" s="1061"/>
      <c r="G39" s="1062"/>
      <c r="H39" s="292"/>
      <c r="I39" s="745"/>
      <c r="J39" s="746" t="str">
        <f t="shared" si="21"/>
        <v/>
      </c>
      <c r="K39" s="368"/>
      <c r="L39" s="368"/>
      <c r="M39" s="368"/>
      <c r="N39" s="311">
        <f t="shared" si="22"/>
        <v>7.1</v>
      </c>
      <c r="O39" s="311">
        <f t="shared" si="23"/>
        <v>3.75</v>
      </c>
      <c r="P39" s="311">
        <f>IF(Stamoplysninger!$H$34="JA",Februar!DG39,CX39)</f>
        <v>1</v>
      </c>
      <c r="Q39" s="311">
        <f t="shared" si="24"/>
        <v>2.3499999999999996</v>
      </c>
      <c r="R39" s="751"/>
      <c r="S39" s="315"/>
      <c r="T39" s="316"/>
      <c r="U39" s="316"/>
      <c r="V39" s="422"/>
      <c r="W39" s="422"/>
      <c r="X39" s="621"/>
      <c r="Y39">
        <f t="shared" si="25"/>
        <v>0</v>
      </c>
      <c r="Z39" s="424">
        <f t="shared" si="26"/>
        <v>0</v>
      </c>
      <c r="AA39" s="1">
        <f t="shared" si="27"/>
        <v>0</v>
      </c>
      <c r="AB39" s="1">
        <f t="shared" si="2"/>
        <v>0</v>
      </c>
      <c r="AC39" s="1">
        <f t="shared" si="3"/>
        <v>0</v>
      </c>
      <c r="AD39" s="1">
        <f t="shared" si="4"/>
        <v>0</v>
      </c>
      <c r="AE39" s="1">
        <f t="shared" si="5"/>
        <v>0</v>
      </c>
      <c r="AF39" s="1">
        <f>IF(C39="Orlov",7.4*Stamoplysninger!$E$20,0)</f>
        <v>0</v>
      </c>
      <c r="AG39" t="str">
        <f>IF(AND(C39="Skema 1",B39="ma"),Arbejdstidsoversigt!$E$77,"")</f>
        <v/>
      </c>
      <c r="AH39" t="str">
        <f>IF(AND(C39="Skema 1",B39="ti"),Arbejdstidsoversigt!$E$78,"")</f>
        <v/>
      </c>
      <c r="AI39" t="str">
        <f>IF(AND(C39="Skema 1",B39="on"),Arbejdstidsoversigt!$E$79,"")</f>
        <v/>
      </c>
      <c r="AJ39" t="str">
        <f>IF(AND(C39="Skema 1",B39="to"),Arbejdstidsoversigt!$E$80,"")</f>
        <v/>
      </c>
      <c r="AK39">
        <f>IF(AND(C39="Skema 1",B39="fr"),Arbejdstidsoversigt!$E$81,"")</f>
        <v>7.1</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7.1</v>
      </c>
      <c r="BB39" s="224">
        <f t="shared" si="6"/>
        <v>170.39999999999998</v>
      </c>
      <c r="BC39" s="1">
        <f t="shared" si="29"/>
        <v>0</v>
      </c>
      <c r="BD39" s="1">
        <f t="shared" si="7"/>
        <v>0</v>
      </c>
      <c r="BE39" s="1">
        <f t="shared" si="8"/>
        <v>0</v>
      </c>
      <c r="BF39" s="1">
        <f t="shared" si="9"/>
        <v>0</v>
      </c>
      <c r="BG39" s="207" t="str">
        <f>IF(AND(C39="Skema 1",B39="ma"),Skemaoplysninger!$E$46,"")</f>
        <v/>
      </c>
      <c r="BH39" s="207" t="str">
        <f>IF(AND(C39="Skema 1",B39="ti"),Skemaoplysninger!$G$46,"")</f>
        <v/>
      </c>
      <c r="BI39" s="207" t="str">
        <f>IF(AND(C39="Skema 1",B39="on"),Skemaoplysninger!$I$46,"")</f>
        <v/>
      </c>
      <c r="BJ39" s="207" t="str">
        <f>IF(AND(C39="Skema 1",B39="to"),Skemaoplysninger!$K$46,"")</f>
        <v/>
      </c>
      <c r="BK39" s="207">
        <f>IF(AND(C39="Skema 1",B39="fr"),Skemaoplysninger!$M$46,"")</f>
        <v>0.15625</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3.75</v>
      </c>
      <c r="CB39" s="1">
        <f t="shared" si="10"/>
        <v>0</v>
      </c>
      <c r="CC39" s="1">
        <f t="shared" si="11"/>
        <v>0</v>
      </c>
      <c r="CD39" s="207" t="str">
        <f>IF(AND(C39="Skema 1",B39="ma"),Skemaoplysninger!$E$47,"")</f>
        <v/>
      </c>
      <c r="CE39" s="207" t="str">
        <f>IF(AND(C39="Skema 1",B39="ti"),Skemaoplysninger!$G$47,"")</f>
        <v/>
      </c>
      <c r="CF39" s="207" t="str">
        <f>IF(AND(C39="Skema 1",B39="on"),Skemaoplysninger!$I$47,"")</f>
        <v/>
      </c>
      <c r="CG39" s="207" t="str">
        <f>IF(AND(C39="Skema 1",B39="to"),Skemaoplysninger!$K$47,"")</f>
        <v/>
      </c>
      <c r="CH39" s="207">
        <f>IF(AND(C39="Skema 1",B39="fr"),Skemaoplysninger!$M$47,"")</f>
        <v>4.1666666666666664E-2</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1</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2"/>
        <v/>
      </c>
      <c r="DL39" t="str">
        <f t="shared" si="12"/>
        <v/>
      </c>
      <c r="DM39" t="str">
        <f t="shared" si="12"/>
        <v/>
      </c>
      <c r="DN39" t="str">
        <f t="shared" si="35"/>
        <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3"/>
        <v>0</v>
      </c>
      <c r="FZ39" s="634">
        <f t="shared" si="14"/>
        <v>0</v>
      </c>
      <c r="GA39">
        <f t="shared" si="15"/>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6"/>
        <v>0</v>
      </c>
      <c r="GL39">
        <f t="shared" si="17"/>
        <v>0</v>
      </c>
      <c r="GM39">
        <f t="shared" si="18"/>
        <v>0</v>
      </c>
      <c r="GN39" s="713">
        <f t="shared" si="19"/>
        <v>0</v>
      </c>
      <c r="GO39">
        <f t="shared" si="37"/>
        <v>0</v>
      </c>
      <c r="GP39" s="647">
        <f t="shared" si="38"/>
        <v>0</v>
      </c>
    </row>
    <row r="40" spans="1:198">
      <c r="A40" s="239">
        <f t="shared" si="20"/>
        <v>27</v>
      </c>
      <c r="B40" s="125" t="str">
        <f t="shared" si="0"/>
        <v>lø</v>
      </c>
      <c r="C40" s="126" t="s">
        <v>118</v>
      </c>
      <c r="D40" s="127" t="str">
        <f t="shared" si="1"/>
        <v/>
      </c>
      <c r="E40" s="1060"/>
      <c r="F40" s="1061"/>
      <c r="G40" s="1062"/>
      <c r="H40" s="292"/>
      <c r="I40" s="746" t="str">
        <f>IF(GO40=1,"X","")</f>
        <v/>
      </c>
      <c r="J40" s="746" t="str">
        <f t="shared" si="21"/>
        <v/>
      </c>
      <c r="K40" s="368"/>
      <c r="L40" s="368"/>
      <c r="M40" s="368"/>
      <c r="N40" s="311">
        <f t="shared" si="22"/>
        <v>0</v>
      </c>
      <c r="O40" s="311">
        <f t="shared" si="23"/>
        <v>0</v>
      </c>
      <c r="P40" s="311">
        <f>IF(Stamoplysninger!$H$34="JA",Februar!DG40,CX40)</f>
        <v>0</v>
      </c>
      <c r="Q40" s="311">
        <f t="shared" si="24"/>
        <v>0</v>
      </c>
      <c r="R40" s="751"/>
      <c r="S40" s="315"/>
      <c r="T40" s="316"/>
      <c r="U40" s="316"/>
      <c r="V40" s="422"/>
      <c r="W40" s="422"/>
      <c r="X40" s="621"/>
      <c r="Y40">
        <f t="shared" si="25"/>
        <v>0</v>
      </c>
      <c r="Z40" s="424">
        <f t="shared" si="26"/>
        <v>0</v>
      </c>
      <c r="AA40" s="1">
        <f t="shared" si="27"/>
        <v>0</v>
      </c>
      <c r="AB40" s="1">
        <f t="shared" si="2"/>
        <v>0</v>
      </c>
      <c r="AC40" s="1">
        <f t="shared" si="3"/>
        <v>0</v>
      </c>
      <c r="AD40" s="1">
        <f t="shared" si="4"/>
        <v>0</v>
      </c>
      <c r="AE40" s="1">
        <f t="shared" si="5"/>
        <v>0</v>
      </c>
      <c r="AF40" s="1">
        <f>IF(C40="Orlov",7.4*Stamoplysninger!$E$20,0)</f>
        <v>0</v>
      </c>
      <c r="AG40" t="str">
        <f>IF(AND(C40="Skema 1",B40="ma"),Arbejdstidsoversigt!$E$77,"")</f>
        <v/>
      </c>
      <c r="AH40" t="str">
        <f>IF(AND(C40="Skema 1",B40="ti"),Arbejdstidsoversigt!$E$78,"")</f>
        <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SUM(AA40:AZ40)</f>
        <v>0</v>
      </c>
      <c r="BB40" s="224">
        <f>SUM(AG40:AK40)*24</f>
        <v>0</v>
      </c>
      <c r="BC40" s="1">
        <f>IF(C40="Lejrskole",L40,0)</f>
        <v>0</v>
      </c>
      <c r="BD40" s="1">
        <f>IF(C40="Ekskursion",L40,0)</f>
        <v>0</v>
      </c>
      <c r="BE40" s="1">
        <f>IF(C40="fagdag",L40,0)</f>
        <v>0</v>
      </c>
      <c r="BF40" s="1">
        <f>IF(C40="emnedag",L40,0)</f>
        <v>0</v>
      </c>
      <c r="BG40" s="207" t="str">
        <f>IF(AND(C40="Skema 1",B40="ma"),Skemaoplysninger!$E$46,"")</f>
        <v/>
      </c>
      <c r="BH40" s="207" t="str">
        <f>IF(AND(C40="Skema 1",B40="ti"),Skemaoplysninger!$G$46,"")</f>
        <v/>
      </c>
      <c r="BI40" s="207" t="str">
        <f>IF(AND(C40="Skema 1",B40="on"),Skemaoplysninger!$I$46,"")</f>
        <v/>
      </c>
      <c r="BJ40" s="207" t="str">
        <f>IF(AND(C40="Skema 1",B40="to"),Skemaoplysninger!$K$46,"")</f>
        <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SUM(BG40:BZ40)*24+SUM(BC40:BF40)</f>
        <v>0</v>
      </c>
      <c r="CB40" s="1">
        <f>IF(C40="fagdag",M40,0)</f>
        <v>0</v>
      </c>
      <c r="CC40" s="1">
        <f>IF(C40="emnedag",M40,0)</f>
        <v>0</v>
      </c>
      <c r="CD40" s="207" t="str">
        <f>IF(AND(C40="Skema 1",B40="ma"),Skemaoplysninger!$E$47,"")</f>
        <v/>
      </c>
      <c r="CE40" s="207" t="str">
        <f>IF(AND(C40="Skema 1",B40="ti"),Skemaoplysninger!$G$47,"")</f>
        <v/>
      </c>
      <c r="CF40" s="207" t="str">
        <f>IF(AND(C40="Skema 1",B40="on"),Skemaoplysninger!$I$47,"")</f>
        <v/>
      </c>
      <c r="CG40" s="207" t="str">
        <f>IF(AND(C40="Skema 1",B40="to"),Skemaoplysninger!$K$47,"")</f>
        <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SUM(CY40:DF40)</f>
        <v>0</v>
      </c>
      <c r="DH40" t="str">
        <f t="shared" si="32"/>
        <v/>
      </c>
      <c r="DI40">
        <f t="shared" si="33"/>
        <v>0</v>
      </c>
      <c r="DJ40">
        <f t="shared" si="34"/>
        <v>0</v>
      </c>
      <c r="DK40" t="str">
        <f t="shared" si="12"/>
        <v/>
      </c>
      <c r="DL40" t="str">
        <f t="shared" si="12"/>
        <v/>
      </c>
      <c r="DM40" t="str">
        <f t="shared" si="12"/>
        <v/>
      </c>
      <c r="DN40" t="str">
        <f t="shared" si="35"/>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3"/>
        <v>0</v>
      </c>
      <c r="FZ40" s="634">
        <f t="shared" si="14"/>
        <v>0</v>
      </c>
      <c r="GA40">
        <f t="shared" si="15"/>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6"/>
        <v>0</v>
      </c>
      <c r="GL40">
        <f t="shared" si="17"/>
        <v>0</v>
      </c>
      <c r="GM40">
        <f t="shared" si="18"/>
        <v>0</v>
      </c>
      <c r="GN40" s="713">
        <f t="shared" si="19"/>
        <v>0</v>
      </c>
      <c r="GO40">
        <f t="shared" si="37"/>
        <v>0</v>
      </c>
      <c r="GP40" s="647">
        <f t="shared" si="38"/>
        <v>0</v>
      </c>
    </row>
    <row r="41" spans="1:198">
      <c r="A41" s="239">
        <f t="shared" si="20"/>
        <v>28</v>
      </c>
      <c r="B41" s="125" t="str">
        <f t="shared" si="0"/>
        <v>sø</v>
      </c>
      <c r="C41" s="126" t="s">
        <v>118</v>
      </c>
      <c r="D41" s="127" t="str">
        <f t="shared" si="1"/>
        <v/>
      </c>
      <c r="E41" s="1060"/>
      <c r="F41" s="1061"/>
      <c r="G41" s="1062"/>
      <c r="H41" s="292"/>
      <c r="I41" s="746" t="str">
        <f>IF(GO41=1,"X","")</f>
        <v/>
      </c>
      <c r="J41" s="746" t="str">
        <f t="shared" si="21"/>
        <v/>
      </c>
      <c r="K41" s="368"/>
      <c r="L41" s="368"/>
      <c r="M41" s="368"/>
      <c r="N41" s="311">
        <f t="shared" si="22"/>
        <v>0</v>
      </c>
      <c r="O41" s="311">
        <f t="shared" si="23"/>
        <v>0</v>
      </c>
      <c r="P41" s="311">
        <f>IF(Stamoplysninger!$H$34="JA",Februar!DG41,CX41)</f>
        <v>0</v>
      </c>
      <c r="Q41" s="311">
        <f t="shared" si="24"/>
        <v>0</v>
      </c>
      <c r="R41" s="751"/>
      <c r="S41" s="315"/>
      <c r="T41" s="316"/>
      <c r="U41" s="316"/>
      <c r="V41" s="422"/>
      <c r="W41" s="422"/>
      <c r="X41" s="621"/>
      <c r="Y41">
        <f t="shared" si="25"/>
        <v>0</v>
      </c>
      <c r="Z41" s="424">
        <f>W41</f>
        <v>0</v>
      </c>
      <c r="AA41" s="1">
        <f>IF(C41="emnedag",K41,0)</f>
        <v>0</v>
      </c>
      <c r="AB41" s="1">
        <f>IF(C41="fagdag",K41,0)</f>
        <v>0</v>
      </c>
      <c r="AC41" s="1">
        <f>IF(C41="Pæd.dag",K41,0)</f>
        <v>0</v>
      </c>
      <c r="AD41" s="1">
        <f>IF(C41="Ekskursion",K41,0)</f>
        <v>0</v>
      </c>
      <c r="AE41" s="1">
        <f>IF(C41="Lejrskole",K41,0)</f>
        <v>0</v>
      </c>
      <c r="AF41" s="1">
        <f>IF(C41="Orlov",7.4*Stamoplysninger!$E$20,0)</f>
        <v>0</v>
      </c>
      <c r="AG41" t="str">
        <f>IF(AND(C41="Skema 1",B41="ma"),Arbejdstidsoversigt!$E$77,"")</f>
        <v/>
      </c>
      <c r="AH41" t="str">
        <f>IF(AND(C41="Skema 1",B41="ti"),Arbejdstidsoversigt!$E$78,"")</f>
        <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SUM(AA41:AZ41)</f>
        <v>0</v>
      </c>
      <c r="BB41" s="224">
        <f>SUM(AG41:AK41)*24</f>
        <v>0</v>
      </c>
      <c r="BC41" s="1">
        <f>IF(C41="Lejrskole",L41,0)</f>
        <v>0</v>
      </c>
      <c r="BD41" s="1">
        <f>IF(C41="Ekskursion",L41,0)</f>
        <v>0</v>
      </c>
      <c r="BE41" s="1">
        <f>IF(C41="fagdag",L41,0)</f>
        <v>0</v>
      </c>
      <c r="BF41" s="1">
        <f>IF(C41="emnedag",L41,0)</f>
        <v>0</v>
      </c>
      <c r="BG41" s="207" t="str">
        <f>IF(AND(C41="Skema 1",B41="ma"),Skemaoplysninger!$E$46,"")</f>
        <v/>
      </c>
      <c r="BH41" s="207" t="str">
        <f>IF(AND(C41="Skema 1",B41="ti"),Skemaoplysninger!$G$46,"")</f>
        <v/>
      </c>
      <c r="BI41" s="207" t="str">
        <f>IF(AND(C41="Skema 1",B41="on"),Skemaoplysninger!$I$46,"")</f>
        <v/>
      </c>
      <c r="BJ41" s="207" t="str">
        <f>IF(AND(C41="Skema 1",B41="to"),Skemaoplysninger!$K$46,"")</f>
        <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SUM(BG41:BZ41)*24+SUM(BC41:BF41)</f>
        <v>0</v>
      </c>
      <c r="CB41" s="1">
        <f>IF(C41="fagdag",M41,0)</f>
        <v>0</v>
      </c>
      <c r="CC41" s="1">
        <f>IF(C41="emnedag",M41,0)</f>
        <v>0</v>
      </c>
      <c r="CD41" s="207" t="str">
        <f>IF(AND(C41="Skema 1",B41="ma"),Skemaoplysninger!$E$47,"")</f>
        <v/>
      </c>
      <c r="CE41" s="207" t="str">
        <f>IF(AND(C41="Skema 1",B41="ti"),Skemaoplysninger!$G$47,"")</f>
        <v/>
      </c>
      <c r="CF41" s="207" t="str">
        <f>IF(AND(C41="Skema 1",B41="on"),Skemaoplysninger!$I$47,"")</f>
        <v/>
      </c>
      <c r="CG41" s="207" t="str">
        <f>IF(AND(C41="Skema 1",B41="to"),Skemaoplysninger!$K$47,"")</f>
        <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SUM(CY41:DF41)</f>
        <v>0</v>
      </c>
      <c r="DH41" t="str">
        <f t="shared" si="32"/>
        <v/>
      </c>
      <c r="DI41">
        <f>IF(H41="",E41,"")</f>
        <v>0</v>
      </c>
      <c r="DJ41">
        <f>IF(E41="",H41,"")</f>
        <v>0</v>
      </c>
      <c r="DK41" t="str">
        <f t="shared" ref="DK41:DM43" si="39">IF(DH41=0,"",DH41)</f>
        <v/>
      </c>
      <c r="DL41" t="str">
        <f t="shared" si="39"/>
        <v/>
      </c>
      <c r="DM41" t="str">
        <f t="shared" si="39"/>
        <v/>
      </c>
      <c r="DN41" t="str">
        <f>DK41&amp;""&amp;DL41&amp;""&amp;DM41</f>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3"/>
        <v>0</v>
      </c>
      <c r="FZ41" s="634">
        <f t="shared" si="14"/>
        <v>0</v>
      </c>
      <c r="GA41">
        <f t="shared" si="15"/>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6"/>
        <v>0</v>
      </c>
      <c r="GL41">
        <f t="shared" si="17"/>
        <v>0</v>
      </c>
      <c r="GM41">
        <f t="shared" si="18"/>
        <v>0</v>
      </c>
      <c r="GN41" s="713">
        <f t="shared" si="19"/>
        <v>0</v>
      </c>
      <c r="GO41">
        <f t="shared" si="37"/>
        <v>0</v>
      </c>
      <c r="GP41" s="647">
        <f t="shared" si="38"/>
        <v>0</v>
      </c>
    </row>
    <row r="42" spans="1:198" ht="16" hidden="1" customHeight="1">
      <c r="A42" s="239"/>
      <c r="B42" s="125"/>
      <c r="C42" s="126" t="s">
        <v>158</v>
      </c>
      <c r="D42" s="127" t="str">
        <f t="shared" si="1"/>
        <v/>
      </c>
      <c r="E42" s="1123"/>
      <c r="F42" s="1124"/>
      <c r="G42" s="1125"/>
      <c r="H42" s="292"/>
      <c r="I42" s="745"/>
      <c r="J42" s="746" t="str">
        <f t="shared" si="21"/>
        <v/>
      </c>
      <c r="K42" s="368"/>
      <c r="L42" s="368"/>
      <c r="M42" s="368"/>
      <c r="N42" s="311">
        <f>BA42</f>
        <v>0</v>
      </c>
      <c r="O42" s="311">
        <f>CA42</f>
        <v>0</v>
      </c>
      <c r="P42" s="311">
        <f>IF(Stamoplysninger!$H$34="JA",Februar!DG42,CX42)</f>
        <v>0</v>
      </c>
      <c r="Q42" s="311">
        <f>IF(OR(OR(C42="Lejrskole",C42="Ekskursion","pæd.dag")),0,N42-O42-P42)</f>
        <v>0</v>
      </c>
      <c r="R42" s="751"/>
      <c r="S42" s="315"/>
      <c r="T42" s="316"/>
      <c r="U42" s="316"/>
      <c r="V42" s="422"/>
      <c r="W42" s="312"/>
      <c r="X42" s="426"/>
      <c r="Y42">
        <f t="shared" si="25"/>
        <v>0</v>
      </c>
      <c r="Z42" s="424">
        <f>W42</f>
        <v>0</v>
      </c>
      <c r="AA42" s="1">
        <f>IF(C42="emnedag",K42,0)</f>
        <v>0</v>
      </c>
      <c r="AB42" s="1">
        <f>IF(C42="fagdag",K42,0)</f>
        <v>0</v>
      </c>
      <c r="AC42" s="1">
        <f>IF(C42="Pæd.dag",K42,0)</f>
        <v>0</v>
      </c>
      <c r="AD42" s="1">
        <f>IF(C42="Ekskursion",K42,0)</f>
        <v>0</v>
      </c>
      <c r="AE42" s="1">
        <f>IF(C42="Lejrskole",K42,0)</f>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SUM(AA42:AZ42)</f>
        <v>0</v>
      </c>
      <c r="BB42" s="224">
        <f>SUM(AG42:AK42)*24</f>
        <v>0</v>
      </c>
      <c r="BC42" s="1">
        <f>IF(C42="Lejrskole",L42,0)</f>
        <v>0</v>
      </c>
      <c r="BD42" s="1">
        <f>IF(C42="Ekskursion",L42,0)</f>
        <v>0</v>
      </c>
      <c r="BE42" s="1">
        <f>IF(C42="fagdag",L42,0)</f>
        <v>0</v>
      </c>
      <c r="BF42" s="1">
        <f>IF(C42="emnedag",L42,0)</f>
        <v>0</v>
      </c>
      <c r="BG42" s="207" t="str">
        <f>IF(AND(C42="Skema 1",B42="ma"),Skemaoplysninger!$E$46,"")</f>
        <v/>
      </c>
      <c r="BH42" s="207" t="str">
        <f>IF(AND(C42="Skema 1",B42="ti"),Skemaoplysninger!$G$46,"")</f>
        <v/>
      </c>
      <c r="BI42" s="207" t="str">
        <f>IF(AND(C42="Skema 1",B42="on"),Skemaoplysninger!$I$46,"")</f>
        <v/>
      </c>
      <c r="BJ42" s="207" t="str">
        <f>IF(AND(C42="Skema 1",B42="to"),Skemaoplysninger!$K$46,"")</f>
        <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SUM(BG42:BZ42)*24+SUM(BC42:BF42)</f>
        <v>0</v>
      </c>
      <c r="CB42" s="1">
        <f>IF(C42="fagdag",M42,0)</f>
        <v>0</v>
      </c>
      <c r="CC42" s="1">
        <f>IF(C42="emnedag",M42,0)</f>
        <v>0</v>
      </c>
      <c r="CD42" s="207" t="str">
        <f>IF(AND(C42="Skema 1",B42="ma"),Skemaoplysninger!$E$47,"")</f>
        <v/>
      </c>
      <c r="CE42" s="207" t="str">
        <f>IF(AND(C42="Skema 1",B42="ti"),Skemaoplysninger!$G$47,"")</f>
        <v/>
      </c>
      <c r="CF42" s="207" t="str">
        <f>IF(AND(C42="Skema 1",B42="on"),Skemaoplysninger!$I$47,"")</f>
        <v/>
      </c>
      <c r="CG42" s="207" t="str">
        <f>IF(AND(C42="Skema 1",B42="to"),Skemaoplysninger!$K$47,"")</f>
        <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IF(Stamoplysninger!$H$34="NEJ",SUM(CB42:CW42),0)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SUM(CY42:DF42)</f>
        <v>0</v>
      </c>
      <c r="DH42" t="str">
        <f t="shared" si="32"/>
        <v/>
      </c>
      <c r="DI42">
        <f>IF(H42="",E42,"")</f>
        <v>0</v>
      </c>
      <c r="DJ42">
        <f>IF(E42="",H42,"")</f>
        <v>0</v>
      </c>
      <c r="DK42" t="str">
        <f t="shared" si="39"/>
        <v/>
      </c>
      <c r="DL42" t="str">
        <f t="shared" si="39"/>
        <v/>
      </c>
      <c r="DM42" t="str">
        <f t="shared" si="39"/>
        <v/>
      </c>
      <c r="DN42" t="str">
        <f>DK42&amp;""&amp;DL42&amp;""&amp;DM42</f>
        <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3"/>
        <v>0</v>
      </c>
      <c r="FZ42" s="634">
        <f t="shared" si="14"/>
        <v>0</v>
      </c>
      <c r="GA42">
        <f t="shared" si="15"/>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6"/>
        <v>0</v>
      </c>
      <c r="GL42">
        <f t="shared" si="17"/>
        <v>0</v>
      </c>
      <c r="GM42">
        <f t="shared" si="18"/>
        <v>0</v>
      </c>
      <c r="GN42" s="713">
        <f t="shared" si="19"/>
        <v>0</v>
      </c>
      <c r="GO42">
        <f t="shared" si="37"/>
        <v>0</v>
      </c>
      <c r="GP42" s="647">
        <f t="shared" si="38"/>
        <v>0</v>
      </c>
    </row>
    <row r="43" spans="1:198" ht="17" thickBot="1">
      <c r="A43" s="1100" t="s">
        <v>257</v>
      </c>
      <c r="B43" s="1101"/>
      <c r="C43" s="1101"/>
      <c r="D43" s="1101"/>
      <c r="E43" s="1101"/>
      <c r="F43" s="1101"/>
      <c r="G43" s="1101"/>
      <c r="H43" s="1101"/>
      <c r="I43" s="1102"/>
      <c r="J43" s="306"/>
      <c r="K43" s="313"/>
      <c r="L43" s="313"/>
      <c r="M43" s="313"/>
      <c r="N43" s="314">
        <f>SUM(N14:N42)</f>
        <v>120.18999999999998</v>
      </c>
      <c r="O43" s="314">
        <f>SUM(O14:O42)</f>
        <v>57.75</v>
      </c>
      <c r="P43" s="314">
        <f>SUM(P14:P42)</f>
        <v>21.25</v>
      </c>
      <c r="Q43" s="314">
        <f>SUM(Q14:Q42)</f>
        <v>41.189999999999991</v>
      </c>
      <c r="R43" s="752">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f>
        <v>0</v>
      </c>
      <c r="S43" s="315"/>
      <c r="T43" s="316"/>
      <c r="U43" s="316"/>
      <c r="V43"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f>
        <v>0</v>
      </c>
      <c r="W43" s="420">
        <f>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f>
        <v>0</v>
      </c>
      <c r="X43" s="421">
        <f>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f>
        <v>0</v>
      </c>
      <c r="Y43" s="420">
        <f>Y14+Y15+Y16+Y17+Y18+Y19+Y20+Y21+Y22+Y23+Y24+Y25+Y26+Y27+Y28+Y29+Y30+Y31+Y32+Y33+Y34+Y35+Y36+Y37+Y38+Y39+Y40+Y41+Y42</f>
        <v>0</v>
      </c>
      <c r="Z43" s="420">
        <f>Z14+Z15+Z16+Z17+Z18+Z19+Z20+Z21+Z22+Z23+Z24+Z25+Z26+Z27+Z28+Z29+Z30+Z31+Z32+Z33+Z34+Z35+Z36+Z37+Z38+Z39+Z40+Z41+Z42</f>
        <v>0</v>
      </c>
      <c r="AA43" s="229">
        <f t="shared" ref="AA43:AF43" si="40">SUM(AA14:AA42)</f>
        <v>6</v>
      </c>
      <c r="AB43" s="229">
        <f t="shared" si="40"/>
        <v>0</v>
      </c>
      <c r="AC43" s="229">
        <f t="shared" si="40"/>
        <v>0</v>
      </c>
      <c r="AD43" s="229">
        <f t="shared" si="40"/>
        <v>0</v>
      </c>
      <c r="AE43" s="229">
        <f t="shared" si="40"/>
        <v>0</v>
      </c>
      <c r="AF43" s="229">
        <f t="shared" si="40"/>
        <v>0</v>
      </c>
      <c r="BA43" s="1">
        <f>SUM(BA14:BA42)</f>
        <v>120.18999999999998</v>
      </c>
      <c r="BB43" s="109"/>
      <c r="BC43" s="229">
        <f>SUM(BC14:BC42)</f>
        <v>0</v>
      </c>
      <c r="BD43" s="229">
        <f>SUM(BD14:BD42)</f>
        <v>0</v>
      </c>
      <c r="BE43" s="229">
        <f>SUM(BE14:BE42)</f>
        <v>0</v>
      </c>
      <c r="BF43" s="229">
        <f>SUM(BF14:BF42)</f>
        <v>3.75</v>
      </c>
      <c r="CA43" s="229">
        <f>SUM(CA14:CA42)</f>
        <v>57.75</v>
      </c>
      <c r="CB43" s="229">
        <f>SUM(CB14:CB42)</f>
        <v>0</v>
      </c>
      <c r="CC43" s="229">
        <f>SUM(CC14:CC42)</f>
        <v>1</v>
      </c>
      <c r="CD43" s="207" t="str">
        <f>IF(AND(C43="Skema 1",B43="ma"),Skemaoplysninger!$E$47,"")</f>
        <v/>
      </c>
      <c r="CE43" s="207" t="str">
        <f>IF(AND(C43="Skema 1",B43="ti"),Skemaoplysninger!$G$47,"")</f>
        <v/>
      </c>
      <c r="CF43" s="207" t="str">
        <f>IF(AND(C43="Skema 1",B43="on"),Skemaoplysninger!$I$47,"")</f>
        <v/>
      </c>
      <c r="CG43" s="207" t="str">
        <f>IF(AND(C43="Skema 1",B43="to"),Skemaoplysninger!$K$47,"")</f>
        <v/>
      </c>
      <c r="CH43" s="207" t="str">
        <f>IF(AND(C43="Skema 1",B43="fr"),Skemaoplysninger!$M$47,"")</f>
        <v/>
      </c>
      <c r="CI43" s="207" t="str">
        <f>IF(AND(C43="Skema 2",B43="ma"),Skemaoplysninger!$S$47,"")</f>
        <v/>
      </c>
      <c r="CJ43" s="207" t="str">
        <f>IF(AND(C43="Skema 2",B43="ti"),Skemaoplysninger!$U$47,"")</f>
        <v/>
      </c>
      <c r="CK43" s="207" t="str">
        <f>IF(AND(C43="Skema 2",B43="on"),Skemaoplysninger!$W$47,"")</f>
        <v/>
      </c>
      <c r="CL43" s="207" t="str">
        <f>IF(AND(C43="Skema 2",B43="to"),Skemaoplysninger!$T$47,"")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 t="shared" ref="CX43:DG43" si="41">SUM(CX14:CX42)</f>
        <v>21.25</v>
      </c>
      <c r="CY43" s="243">
        <f t="shared" si="41"/>
        <v>0</v>
      </c>
      <c r="CZ43" s="243">
        <f t="shared" si="41"/>
        <v>0</v>
      </c>
      <c r="DA43" s="243">
        <f t="shared" si="41"/>
        <v>0</v>
      </c>
      <c r="DB43" s="243">
        <f t="shared" si="41"/>
        <v>0</v>
      </c>
      <c r="DC43" s="243">
        <f t="shared" si="41"/>
        <v>0</v>
      </c>
      <c r="DD43" s="243">
        <f t="shared" si="41"/>
        <v>0</v>
      </c>
      <c r="DE43" s="243">
        <f t="shared" si="41"/>
        <v>0</v>
      </c>
      <c r="DF43" s="243">
        <f t="shared" si="41"/>
        <v>0</v>
      </c>
      <c r="DG43" s="243">
        <f t="shared" si="41"/>
        <v>0</v>
      </c>
      <c r="DH43" t="str">
        <f t="shared" si="32"/>
        <v/>
      </c>
      <c r="DI43">
        <f>IF(H43="",E43,"")</f>
        <v>0</v>
      </c>
      <c r="DJ43">
        <f>IF(E43="",H43,"")</f>
        <v>0</v>
      </c>
      <c r="DK43" t="str">
        <f t="shared" si="39"/>
        <v/>
      </c>
      <c r="DL43" t="str">
        <f t="shared" si="39"/>
        <v/>
      </c>
      <c r="DM43" t="str">
        <f t="shared" si="39"/>
        <v/>
      </c>
      <c r="DN43" t="str">
        <f>DK43&amp;""&amp;DL43&amp;""&amp;DM43</f>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3"/>
        <v>0</v>
      </c>
      <c r="FZ43" s="634">
        <f t="shared" si="14"/>
        <v>0</v>
      </c>
      <c r="GA43">
        <f t="shared" si="15"/>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6"/>
        <v>0</v>
      </c>
      <c r="GL43">
        <f t="shared" si="17"/>
        <v>0</v>
      </c>
      <c r="GM43">
        <f t="shared" si="18"/>
        <v>0</v>
      </c>
      <c r="GN43" s="713">
        <f t="shared" si="19"/>
        <v>0</v>
      </c>
      <c r="GO43">
        <f t="shared" si="37"/>
        <v>0</v>
      </c>
      <c r="GP43" s="647">
        <f t="shared" si="38"/>
        <v>0</v>
      </c>
    </row>
    <row r="44" spans="1:198" ht="26" thickBot="1">
      <c r="A44" s="227"/>
      <c r="B44" s="227"/>
      <c r="C44" s="227"/>
      <c r="D44" s="227"/>
      <c r="E44" s="227"/>
      <c r="F44" s="227"/>
      <c r="G44" s="227"/>
      <c r="H44" s="227"/>
      <c r="I44" s="227"/>
      <c r="J44" s="227"/>
      <c r="K44" s="233"/>
      <c r="L44" s="233"/>
      <c r="M44" s="211"/>
      <c r="N44" s="211"/>
      <c r="O44" s="211"/>
      <c r="P44" s="211"/>
      <c r="Q44" s="211"/>
      <c r="R44" s="211"/>
      <c r="S44" s="434"/>
      <c r="T44" s="434"/>
      <c r="U44" s="434"/>
      <c r="V44" s="434"/>
      <c r="W44" s="434"/>
      <c r="X44" s="434"/>
      <c r="Y44" s="434"/>
      <c r="Z44" s="434"/>
      <c r="AA44" s="435"/>
      <c r="AB44" s="208"/>
      <c r="AC44" s="208"/>
      <c r="AD44" s="229"/>
      <c r="AE44" s="229"/>
      <c r="AF44" s="229"/>
      <c r="AG44" s="229"/>
      <c r="BC44" s="229"/>
      <c r="BD44" s="229"/>
      <c r="BE44" s="229"/>
      <c r="BF44" s="229"/>
      <c r="BG44" s="109"/>
      <c r="CB44" s="229"/>
      <c r="CC44" s="229"/>
      <c r="CD44" s="109"/>
      <c r="CX44" s="242"/>
      <c r="CZ44"/>
      <c r="DH44" t="str">
        <f t="shared" si="32"/>
        <v/>
      </c>
      <c r="DK44" t="str">
        <f>IF(DH44=0,"",DH44)</f>
        <v/>
      </c>
      <c r="DL44" t="str">
        <f>IF(DI44=0,"",DI44)</f>
        <v/>
      </c>
      <c r="DM44" t="str">
        <f>IF(DJ44=0,"",DJ44)</f>
        <v/>
      </c>
      <c r="DN44" t="str">
        <f t="shared" si="35"/>
        <v/>
      </c>
      <c r="DO44" s="645">
        <f>SUM(DO14:DO42)</f>
        <v>0</v>
      </c>
      <c r="DP44" s="645">
        <f t="shared" ref="DP44:GA44" si="42">SUM(DP14:DP42)</f>
        <v>0</v>
      </c>
      <c r="DQ44" s="645">
        <f t="shared" si="42"/>
        <v>0</v>
      </c>
      <c r="DR44" s="645">
        <f t="shared" si="42"/>
        <v>0</v>
      </c>
      <c r="DS44" s="645">
        <f t="shared" si="42"/>
        <v>0</v>
      </c>
      <c r="DT44" s="645">
        <f t="shared" si="42"/>
        <v>0</v>
      </c>
      <c r="DU44" s="645">
        <f t="shared" si="42"/>
        <v>0</v>
      </c>
      <c r="DV44" s="645">
        <f t="shared" si="42"/>
        <v>0</v>
      </c>
      <c r="DW44" s="645">
        <f t="shared" si="42"/>
        <v>0</v>
      </c>
      <c r="DX44" s="645">
        <f t="shared" si="42"/>
        <v>0</v>
      </c>
      <c r="DY44" s="645">
        <f t="shared" si="42"/>
        <v>0</v>
      </c>
      <c r="DZ44" s="645">
        <f t="shared" si="42"/>
        <v>0</v>
      </c>
      <c r="EA44" s="645">
        <f t="shared" si="42"/>
        <v>0</v>
      </c>
      <c r="EB44" s="645">
        <f t="shared" si="42"/>
        <v>0</v>
      </c>
      <c r="EC44" s="645">
        <f t="shared" si="42"/>
        <v>0</v>
      </c>
      <c r="ED44" s="645">
        <f t="shared" si="42"/>
        <v>0</v>
      </c>
      <c r="EE44" s="645">
        <f t="shared" si="42"/>
        <v>0</v>
      </c>
      <c r="EF44" s="645">
        <f t="shared" si="42"/>
        <v>0</v>
      </c>
      <c r="EG44" s="645">
        <f t="shared" si="42"/>
        <v>0</v>
      </c>
      <c r="EH44" s="645">
        <f t="shared" si="42"/>
        <v>0</v>
      </c>
      <c r="EI44" s="645">
        <f t="shared" si="42"/>
        <v>0</v>
      </c>
      <c r="EJ44" s="645">
        <f t="shared" si="42"/>
        <v>0</v>
      </c>
      <c r="EK44" s="645">
        <f t="shared" si="42"/>
        <v>0</v>
      </c>
      <c r="EL44" s="645">
        <f t="shared" si="42"/>
        <v>0</v>
      </c>
      <c r="EM44" s="645">
        <f t="shared" si="42"/>
        <v>0</v>
      </c>
      <c r="EN44" s="645">
        <f t="shared" si="42"/>
        <v>0</v>
      </c>
      <c r="EO44" s="645">
        <f t="shared" si="42"/>
        <v>0</v>
      </c>
      <c r="EP44" s="645">
        <f t="shared" si="42"/>
        <v>0</v>
      </c>
      <c r="EQ44" s="645">
        <f t="shared" si="42"/>
        <v>0</v>
      </c>
      <c r="ER44" s="645">
        <f t="shared" si="42"/>
        <v>0</v>
      </c>
      <c r="ES44" s="645">
        <f t="shared" si="42"/>
        <v>0</v>
      </c>
      <c r="ET44" s="645">
        <f t="shared" si="42"/>
        <v>0</v>
      </c>
      <c r="EU44" s="645">
        <f t="shared" si="42"/>
        <v>0</v>
      </c>
      <c r="EV44" s="645">
        <f t="shared" si="42"/>
        <v>0</v>
      </c>
      <c r="EW44" s="645">
        <f t="shared" si="42"/>
        <v>0</v>
      </c>
      <c r="EX44" s="645">
        <f t="shared" si="42"/>
        <v>0</v>
      </c>
      <c r="EY44" s="645">
        <f t="shared" si="42"/>
        <v>0</v>
      </c>
      <c r="EZ44" s="645">
        <f t="shared" si="42"/>
        <v>0</v>
      </c>
      <c r="FA44" s="645">
        <f t="shared" si="42"/>
        <v>0</v>
      </c>
      <c r="FB44" s="645">
        <f t="shared" si="42"/>
        <v>0</v>
      </c>
      <c r="FC44" s="645">
        <f t="shared" si="42"/>
        <v>0</v>
      </c>
      <c r="FD44" s="645">
        <f t="shared" si="42"/>
        <v>0</v>
      </c>
      <c r="FE44" s="645">
        <f t="shared" si="42"/>
        <v>0</v>
      </c>
      <c r="FF44" s="645">
        <f t="shared" si="42"/>
        <v>0</v>
      </c>
      <c r="FG44" s="645">
        <f t="shared" si="42"/>
        <v>0</v>
      </c>
      <c r="FH44" s="645">
        <f t="shared" si="42"/>
        <v>0</v>
      </c>
      <c r="FI44" s="645">
        <f t="shared" si="42"/>
        <v>0</v>
      </c>
      <c r="FJ44" s="645">
        <f t="shared" si="42"/>
        <v>0</v>
      </c>
      <c r="FK44" s="645">
        <f t="shared" si="42"/>
        <v>0</v>
      </c>
      <c r="FL44" s="645">
        <f t="shared" si="42"/>
        <v>0</v>
      </c>
      <c r="FM44" s="645">
        <f t="shared" si="42"/>
        <v>0</v>
      </c>
      <c r="FN44" s="645">
        <f t="shared" si="42"/>
        <v>0</v>
      </c>
      <c r="FO44" s="645">
        <f t="shared" si="42"/>
        <v>0</v>
      </c>
      <c r="FP44" s="645">
        <f t="shared" si="42"/>
        <v>0</v>
      </c>
      <c r="FQ44" s="645">
        <f t="shared" si="42"/>
        <v>0</v>
      </c>
      <c r="FR44" s="645">
        <f t="shared" si="42"/>
        <v>0</v>
      </c>
      <c r="FS44" s="645">
        <f t="shared" si="42"/>
        <v>0</v>
      </c>
      <c r="FT44" s="645">
        <f t="shared" si="42"/>
        <v>0</v>
      </c>
      <c r="FU44" s="645">
        <f t="shared" si="42"/>
        <v>0</v>
      </c>
      <c r="FV44" s="645">
        <f t="shared" si="42"/>
        <v>0</v>
      </c>
      <c r="FW44" s="645">
        <f t="shared" si="42"/>
        <v>0</v>
      </c>
      <c r="FX44" s="645">
        <f t="shared" si="42"/>
        <v>0</v>
      </c>
      <c r="FY44" s="645">
        <f t="shared" si="42"/>
        <v>0</v>
      </c>
      <c r="FZ44" s="645">
        <f t="shared" si="42"/>
        <v>0</v>
      </c>
      <c r="GA44" s="645">
        <f t="shared" si="42"/>
        <v>0</v>
      </c>
      <c r="GB44" s="645">
        <f t="shared" ref="GB44:GH44" si="43">SUM(GB14:GB42)</f>
        <v>0</v>
      </c>
      <c r="GC44" s="645">
        <f t="shared" si="43"/>
        <v>0</v>
      </c>
      <c r="GD44" s="645">
        <f t="shared" si="43"/>
        <v>0</v>
      </c>
      <c r="GE44" s="645">
        <f t="shared" si="43"/>
        <v>0</v>
      </c>
      <c r="GF44" s="645">
        <f t="shared" si="43"/>
        <v>0</v>
      </c>
      <c r="GG44" s="645">
        <f t="shared" si="43"/>
        <v>0</v>
      </c>
      <c r="GH44" s="645">
        <f t="shared" si="43"/>
        <v>0</v>
      </c>
      <c r="GI44" s="645">
        <f>SUM(GI14:GI42)</f>
        <v>0</v>
      </c>
      <c r="GP44" s="647">
        <f>SUM(GP14:GP43)</f>
        <v>0</v>
      </c>
    </row>
    <row r="45" spans="1:198" ht="70" customHeight="1">
      <c r="A45" s="1086" t="str">
        <f>"Arbejdstid for "&amp;A12&amp;" måned:"</f>
        <v>Arbejdstid for Februar måned:</v>
      </c>
      <c r="B45" s="1087"/>
      <c r="C45" s="1087"/>
      <c r="D45" s="1087"/>
      <c r="E45" s="1087"/>
      <c r="F45" s="1087"/>
      <c r="G45" s="1087"/>
      <c r="H45" s="321" t="s">
        <v>252</v>
      </c>
      <c r="I45" s="1087" t="s">
        <v>218</v>
      </c>
      <c r="J45" s="1088"/>
      <c r="K45" s="1089"/>
      <c r="L45" s="256"/>
      <c r="M45" s="1134" t="str">
        <f>"Ulempetimer og weekendtimer i "&amp;A10&amp;""</f>
        <v>Ulempetimer og weekendtimer i Februar måneds kalender for: Beate Simonsen. Måneden vedr. normperioden:  - .</v>
      </c>
      <c r="N45" s="1117"/>
      <c r="O45" s="1117"/>
      <c r="P45" s="1117"/>
      <c r="Q45" s="1117"/>
      <c r="R45" s="1117"/>
      <c r="S45" s="1117"/>
      <c r="T45" s="1117"/>
      <c r="U45" s="1117"/>
      <c r="V45" s="1117"/>
      <c r="W45" s="1117"/>
      <c r="X45" s="1118"/>
      <c r="Y45" s="233"/>
      <c r="Z45"/>
      <c r="AC45" s="87"/>
      <c r="AD45" s="87"/>
      <c r="BL45" s="1"/>
      <c r="CI45" s="1"/>
      <c r="CT45" s="242"/>
      <c r="CU45" s="242"/>
      <c r="CY45"/>
      <c r="CZ45"/>
      <c r="DO45" s="728"/>
      <c r="DP45" s="728"/>
      <c r="DQ45" s="728"/>
      <c r="DR45" s="728"/>
      <c r="DS45" s="728"/>
      <c r="DT45" s="728"/>
      <c r="DU45" s="728"/>
      <c r="DV45" s="728"/>
      <c r="DW45" s="729"/>
      <c r="DX45" s="729"/>
      <c r="DY45" s="729"/>
      <c r="DZ45" s="729"/>
      <c r="EA45" s="729"/>
      <c r="EB45" s="729"/>
      <c r="EC45" s="729"/>
      <c r="ED45" s="729"/>
      <c r="EE45" s="732"/>
      <c r="EF45" s="732"/>
      <c r="EG45" s="732"/>
      <c r="EH45" s="732"/>
      <c r="EI45" s="732"/>
      <c r="EJ45" s="732"/>
      <c r="EM45" s="734"/>
      <c r="EN45" s="734"/>
      <c r="EO45" s="734"/>
      <c r="EP45" s="734"/>
      <c r="EQ45" s="734"/>
      <c r="ER45" s="734"/>
      <c r="EU45" s="736"/>
      <c r="EV45" s="736"/>
      <c r="EW45" s="736"/>
      <c r="EX45" s="736"/>
      <c r="EY45" s="738"/>
      <c r="EZ45" s="738"/>
      <c r="FA45" s="738"/>
      <c r="FB45" s="738"/>
      <c r="FC45" s="740"/>
      <c r="FD45" s="740"/>
      <c r="FE45" s="740"/>
      <c r="FF45" s="740"/>
      <c r="FG45" s="742"/>
      <c r="FH45" s="742"/>
      <c r="FI45" s="742"/>
      <c r="FJ45" s="742"/>
      <c r="FK45" s="726"/>
      <c r="FM45" s="744"/>
      <c r="FO45" s="726"/>
      <c r="FS45" s="726"/>
      <c r="FT45" s="744"/>
      <c r="FU45" s="726"/>
      <c r="FW45" s="744"/>
      <c r="GA45" s="744"/>
      <c r="GB45" s="726"/>
      <c r="GC45" s="744"/>
      <c r="GD45" s="726"/>
      <c r="GE45" s="744"/>
      <c r="GF45" s="726"/>
      <c r="GG45" s="744"/>
      <c r="GH45" s="726"/>
      <c r="GI45" s="744"/>
      <c r="GP45" s="743" t="s">
        <v>663</v>
      </c>
    </row>
    <row r="46" spans="1:198">
      <c r="A46" s="1090" t="str">
        <f>August!A49</f>
        <v>Arbejdstid eks. lørdage og søndage</v>
      </c>
      <c r="B46" s="1091"/>
      <c r="C46" s="1091"/>
      <c r="D46" s="1091"/>
      <c r="E46" s="1091"/>
      <c r="F46" s="1091"/>
      <c r="G46" s="1091"/>
      <c r="H46" s="250">
        <f>D81</f>
        <v>20</v>
      </c>
      <c r="I46" s="1103">
        <f>IF(Stamoplysninger!$E$17="Ja",1924/Arbejdstidsoversigt!$K$14*Stamoplysninger!$E$20*H46,H46*7.4*Stamoplysninger!$E$20)</f>
        <v>148</v>
      </c>
      <c r="J46" s="1104"/>
      <c r="K46" s="1105"/>
      <c r="L46" s="252"/>
      <c r="M46" s="1135" t="s">
        <v>308</v>
      </c>
      <c r="N46" s="1136"/>
      <c r="O46" s="1136"/>
      <c r="P46" s="1136"/>
      <c r="Q46" s="1136"/>
      <c r="R46" s="1136"/>
      <c r="S46" s="1136"/>
      <c r="T46" s="1136"/>
      <c r="U46" s="1137"/>
      <c r="V46" s="1138">
        <f>P68+P72+P75+P77</f>
        <v>0</v>
      </c>
      <c r="W46" s="1139"/>
      <c r="X46" s="1140"/>
      <c r="Y46" s="233"/>
      <c r="Z46"/>
      <c r="AC46" s="87"/>
      <c r="AD46" s="87"/>
      <c r="BL46" s="1"/>
      <c r="CI46" s="1"/>
      <c r="CT46" s="242"/>
      <c r="CU46" s="242"/>
      <c r="CY46"/>
      <c r="CZ46"/>
    </row>
    <row r="47" spans="1:198">
      <c r="A47" s="1090" t="str">
        <f>"Ferie "&amp;A12&amp;" måned"</f>
        <v>Ferie Februar måned</v>
      </c>
      <c r="B47" s="1091"/>
      <c r="C47" s="1091"/>
      <c r="D47" s="1091"/>
      <c r="E47" s="1091"/>
      <c r="F47" s="1091"/>
      <c r="G47" s="1091"/>
      <c r="H47" s="251" t="str">
        <f>IF(D76&gt;0,$D$76,"0")</f>
        <v>0</v>
      </c>
      <c r="I47" s="1092">
        <f>H47*7.4*Stamoplysninger!$E$20</f>
        <v>0</v>
      </c>
      <c r="J47" s="1093"/>
      <c r="K47" s="1094"/>
      <c r="L47" s="252"/>
      <c r="M47" s="1141" t="s">
        <v>256</v>
      </c>
      <c r="N47" s="1142"/>
      <c r="O47" s="1142"/>
      <c r="P47" s="1142"/>
      <c r="Q47" s="1142"/>
      <c r="R47" s="1142"/>
      <c r="S47" s="1142"/>
      <c r="T47" s="1142"/>
      <c r="U47" s="1143"/>
      <c r="V47" s="1144">
        <f>Q69+Q71+Q74+Q76</f>
        <v>0</v>
      </c>
      <c r="W47" s="1145"/>
      <c r="X47" s="1146"/>
      <c r="Y47" s="233"/>
      <c r="Z47"/>
      <c r="AC47" s="87"/>
      <c r="AD47" s="87"/>
      <c r="BL47" s="1"/>
      <c r="CI47" s="1"/>
      <c r="CT47" s="242"/>
      <c r="CU47" s="242"/>
      <c r="CY47"/>
      <c r="CZ47"/>
    </row>
    <row r="48" spans="1:198">
      <c r="A48" s="1090" t="str">
        <f>"Søgnehelligdage i "&amp;A12&amp;" måned"</f>
        <v>Søgnehelligdage i Februar måned</v>
      </c>
      <c r="B48" s="1091"/>
      <c r="C48" s="1091"/>
      <c r="D48" s="1091"/>
      <c r="E48" s="1091"/>
      <c r="F48" s="1091"/>
      <c r="G48" s="1091"/>
      <c r="H48" s="251">
        <f>IF(D75&gt;0,D75,0)</f>
        <v>0</v>
      </c>
      <c r="I48" s="1092">
        <f>H48*7.4*Stamoplysninger!$E$20</f>
        <v>0</v>
      </c>
      <c r="J48" s="1093"/>
      <c r="K48" s="1094"/>
      <c r="L48" s="253"/>
      <c r="M48" s="1286" t="s">
        <v>292</v>
      </c>
      <c r="N48" s="1287"/>
      <c r="O48" s="1287"/>
      <c r="P48" s="1287"/>
      <c r="Q48" s="1287"/>
      <c r="R48" s="1287"/>
      <c r="S48" s="1287"/>
      <c r="T48" s="1287"/>
      <c r="U48" s="1288"/>
      <c r="V48" s="1291">
        <f>Januar!V58</f>
        <v>0</v>
      </c>
      <c r="W48" s="1292"/>
      <c r="X48" s="1293"/>
      <c r="Y48" s="233"/>
      <c r="Z48"/>
      <c r="AC48" s="87"/>
      <c r="AD48" s="87"/>
      <c r="BL48" s="1"/>
      <c r="CI48" s="1"/>
      <c r="CT48" s="242"/>
      <c r="CU48" s="242"/>
      <c r="CY48"/>
      <c r="CZ48"/>
    </row>
    <row r="49" spans="1:110">
      <c r="A49" s="1090" t="str">
        <f>"Nettoarbejdstid ialt i "&amp;A12&amp;" måned"</f>
        <v>Nettoarbejdstid ialt i Februar måned</v>
      </c>
      <c r="B49" s="1091"/>
      <c r="C49" s="1091"/>
      <c r="D49" s="1091"/>
      <c r="E49" s="1091"/>
      <c r="F49" s="1091"/>
      <c r="G49" s="1091"/>
      <c r="H49" s="254">
        <f>H46-H47-H48</f>
        <v>20</v>
      </c>
      <c r="I49" s="1092">
        <f>I46-I47-I48</f>
        <v>148</v>
      </c>
      <c r="J49" s="1093"/>
      <c r="K49" s="1094"/>
      <c r="L49" s="253"/>
      <c r="M49" s="1149" t="s">
        <v>298</v>
      </c>
      <c r="N49" s="1150"/>
      <c r="O49" s="1150"/>
      <c r="P49" s="1150"/>
      <c r="Q49" s="1150"/>
      <c r="R49" s="1150"/>
      <c r="S49" s="1150"/>
      <c r="T49" s="1150"/>
      <c r="U49" s="1151"/>
      <c r="V49" s="1152">
        <f>V47+V48</f>
        <v>0</v>
      </c>
      <c r="W49" s="1153"/>
      <c r="X49" s="1294"/>
      <c r="Y49" s="233"/>
      <c r="Z49"/>
      <c r="AC49" s="87"/>
      <c r="AD49" s="87"/>
      <c r="BL49" s="1"/>
      <c r="CI49" s="1"/>
      <c r="CT49" s="242"/>
      <c r="CU49" s="242"/>
      <c r="CY49"/>
      <c r="CZ49"/>
    </row>
    <row r="50" spans="1:110">
      <c r="A50" s="1106" t="str">
        <f>"Planlagt arbejdstid efter ovennstående "&amp;A12&amp;" måned kalender"</f>
        <v>Planlagt arbejdstid efter ovennstående Februar måned kalender</v>
      </c>
      <c r="B50" s="1107"/>
      <c r="C50" s="1107"/>
      <c r="D50" s="1107"/>
      <c r="E50" s="1107"/>
      <c r="F50" s="1107"/>
      <c r="G50" s="1107"/>
      <c r="H50" s="461">
        <f>D67+D68+D69+D70+D71+D72+D73</f>
        <v>15</v>
      </c>
      <c r="I50" s="1108">
        <f>N43+R43+V108</f>
        <v>120.18999999999998</v>
      </c>
      <c r="J50" s="1109"/>
      <c r="K50" s="1110"/>
      <c r="L50" s="375"/>
      <c r="M50" s="1161" t="s">
        <v>290</v>
      </c>
      <c r="N50" s="1162"/>
      <c r="O50" s="1162"/>
      <c r="P50" s="1162"/>
      <c r="Q50" s="1162"/>
      <c r="R50" s="1162"/>
      <c r="S50" s="1162"/>
      <c r="T50" s="1162"/>
      <c r="U50" s="1162"/>
      <c r="V50" s="1162"/>
      <c r="W50" s="1162"/>
      <c r="X50" s="1289"/>
      <c r="Y50" s="233"/>
      <c r="Z50"/>
      <c r="AC50" s="87"/>
      <c r="AD50" s="87"/>
      <c r="BL50" s="1"/>
      <c r="CI50" s="1"/>
      <c r="CT50" s="242"/>
      <c r="CU50" s="242"/>
      <c r="CY50"/>
      <c r="CZ50"/>
    </row>
    <row r="51" spans="1:110">
      <c r="A51" s="1268" t="s">
        <v>440</v>
      </c>
      <c r="B51" s="1269"/>
      <c r="C51" s="1269"/>
      <c r="D51" s="1269"/>
      <c r="E51" s="1269"/>
      <c r="F51" s="1269"/>
      <c r="G51" s="1269"/>
      <c r="H51" s="1270"/>
      <c r="I51" s="1111">
        <f>(FK44+FO44+FS44+FU44+GB44+GD44+GF44+GH44)*-1+FM44+FT44+FW44+GC44+GE44+GG44+GI44+GA44</f>
        <v>0</v>
      </c>
      <c r="J51" s="1112"/>
      <c r="K51" s="1113"/>
      <c r="L51" s="376"/>
      <c r="M51" s="1164" t="s">
        <v>450</v>
      </c>
      <c r="N51" s="1165"/>
      <c r="O51" s="1165"/>
      <c r="P51" s="1165"/>
      <c r="Q51" s="1165"/>
      <c r="R51" s="1165"/>
      <c r="S51" s="1165"/>
      <c r="T51" s="1165"/>
      <c r="U51" s="1166"/>
      <c r="V51" s="1167" t="s">
        <v>218</v>
      </c>
      <c r="W51" s="1168"/>
      <c r="X51" s="1290"/>
      <c r="Y51" s="233"/>
      <c r="Z51"/>
      <c r="AC51" s="87"/>
      <c r="AD51" s="87"/>
      <c r="BL51" s="1"/>
      <c r="CI51" s="1"/>
      <c r="CT51" s="242"/>
      <c r="CU51" s="242"/>
      <c r="CY51"/>
      <c r="CZ51"/>
    </row>
    <row r="52" spans="1:110">
      <c r="A52" s="1128" t="str">
        <f>"Arbejde særligt planlagt for "&amp;A12&amp;" måned efter fanen skemaoplysninger"</f>
        <v>Arbejde særligt planlagt for Februar måned efter fanen skemaoplysninger</v>
      </c>
      <c r="B52" s="1129"/>
      <c r="C52" s="1129"/>
      <c r="D52" s="1129"/>
      <c r="E52" s="1129"/>
      <c r="F52" s="1129"/>
      <c r="G52" s="1129"/>
      <c r="H52" s="1130"/>
      <c r="I52" s="1109">
        <f>IF(I50&gt;0,Skemaoplysninger!Q107,0)</f>
        <v>0</v>
      </c>
      <c r="J52" s="1126"/>
      <c r="K52" s="1127"/>
      <c r="L52" s="235"/>
      <c r="M52" s="1036"/>
      <c r="N52" s="1037"/>
      <c r="O52" s="1037"/>
      <c r="P52" s="1037"/>
      <c r="Q52" s="1037"/>
      <c r="R52" s="1037"/>
      <c r="S52" s="1037"/>
      <c r="T52" s="1037"/>
      <c r="U52" s="1038"/>
      <c r="V52" s="1170"/>
      <c r="W52" s="1170"/>
      <c r="X52" s="1171"/>
      <c r="Y52" s="233"/>
      <c r="Z52" s="233"/>
      <c r="AE52" s="87"/>
      <c r="AG52" s="87"/>
      <c r="AZ52" s="233"/>
      <c r="BN52" s="1"/>
      <c r="CK52" s="1"/>
      <c r="CU52" s="242"/>
      <c r="CV52" s="242"/>
      <c r="CY52"/>
      <c r="CZ52"/>
    </row>
    <row r="53" spans="1:110">
      <c r="A53" s="1095" t="s">
        <v>288</v>
      </c>
      <c r="B53" s="1096"/>
      <c r="C53" s="1096"/>
      <c r="D53" s="1096"/>
      <c r="E53" s="1096"/>
      <c r="F53" s="1096"/>
      <c r="G53" s="1096"/>
      <c r="H53" s="1096"/>
      <c r="I53" s="1097">
        <f>V43+X43+R108-GP44+T108</f>
        <v>0</v>
      </c>
      <c r="J53" s="1098"/>
      <c r="K53" s="1099"/>
      <c r="L53" s="235"/>
      <c r="M53" s="1036"/>
      <c r="N53" s="1037"/>
      <c r="O53" s="1037"/>
      <c r="P53" s="1037"/>
      <c r="Q53" s="1037"/>
      <c r="R53" s="1037"/>
      <c r="S53" s="1037"/>
      <c r="T53" s="1037"/>
      <c r="U53" s="1038"/>
      <c r="V53" s="1039"/>
      <c r="W53" s="1040"/>
      <c r="X53" s="1041"/>
      <c r="Y53" s="233"/>
      <c r="Z53" s="233"/>
      <c r="AD53" s="87"/>
      <c r="AE53" s="87"/>
      <c r="BM53" s="1"/>
      <c r="CJ53" s="1"/>
      <c r="CU53" s="242"/>
      <c r="CV53" s="242"/>
      <c r="CY53"/>
      <c r="CZ53"/>
    </row>
    <row r="54" spans="1:110" ht="17" thickBot="1">
      <c r="A54" s="255" t="str">
        <f>"Faktisk arbejdstid ialt i "&amp;A12&amp;" måned"</f>
        <v>Faktisk arbejdstid ialt i Februar måned</v>
      </c>
      <c r="B54" s="307"/>
      <c r="C54" s="308"/>
      <c r="D54" s="308"/>
      <c r="E54" s="308"/>
      <c r="F54" s="308"/>
      <c r="G54" s="308"/>
      <c r="H54" s="309"/>
      <c r="I54" s="1131">
        <f>I50+I53+I52+I51</f>
        <v>120.18999999999998</v>
      </c>
      <c r="J54" s="1132"/>
      <c r="K54" s="1133"/>
      <c r="L54" s="235"/>
      <c r="M54" s="1036"/>
      <c r="N54" s="1037"/>
      <c r="O54" s="1037"/>
      <c r="P54" s="1037"/>
      <c r="Q54" s="1037"/>
      <c r="R54" s="1037"/>
      <c r="S54" s="1037"/>
      <c r="T54" s="1037"/>
      <c r="U54" s="1038"/>
      <c r="V54" s="1039"/>
      <c r="W54" s="1040"/>
      <c r="X54" s="1041"/>
      <c r="Y54" s="233"/>
      <c r="Z54" s="211"/>
      <c r="AA54" s="241"/>
      <c r="AB54" s="241"/>
      <c r="AC54" s="241"/>
      <c r="AD54" s="233"/>
      <c r="AF54" s="241"/>
      <c r="AG54" s="233"/>
      <c r="AH54" s="233"/>
      <c r="AL54" s="87"/>
      <c r="AM54" s="87"/>
      <c r="BT54" s="1"/>
      <c r="CQ54" s="1"/>
      <c r="CY54"/>
      <c r="CZ54"/>
      <c r="DB54" s="242"/>
      <c r="DC54" s="242"/>
    </row>
    <row r="55" spans="1:110" ht="17" thickBot="1">
      <c r="A55" s="249"/>
      <c r="B55" s="249"/>
      <c r="C55" s="249"/>
      <c r="D55" s="249"/>
      <c r="E55" s="249"/>
      <c r="F55" s="249"/>
      <c r="G55" s="249"/>
      <c r="H55" s="249"/>
      <c r="I55" s="507"/>
      <c r="J55" s="507"/>
      <c r="K55" s="507"/>
      <c r="L55" s="485"/>
      <c r="M55" s="1036"/>
      <c r="N55" s="1037"/>
      <c r="O55" s="1037"/>
      <c r="P55" s="1037"/>
      <c r="Q55" s="1037"/>
      <c r="R55" s="1037"/>
      <c r="S55" s="1037"/>
      <c r="T55" s="1037"/>
      <c r="U55" s="1038"/>
      <c r="V55" s="1039"/>
      <c r="W55" s="1040"/>
      <c r="X55" s="1041"/>
      <c r="Y55" s="233"/>
      <c r="Z55" s="233"/>
      <c r="AA55" s="233"/>
      <c r="AB55" s="233"/>
      <c r="AC55" s="211"/>
      <c r="AD55" s="241"/>
      <c r="AE55" s="241"/>
      <c r="AF55" s="241"/>
      <c r="AG55" s="241"/>
      <c r="AH55" s="233"/>
      <c r="AJ55" s="233"/>
      <c r="AK55" s="233"/>
      <c r="AO55" s="87"/>
      <c r="AP55" s="87"/>
      <c r="BW55" s="1"/>
      <c r="CT55" s="1"/>
      <c r="CY55"/>
      <c r="CZ55"/>
      <c r="DE55" s="242"/>
      <c r="DF55" s="242"/>
    </row>
    <row r="56" spans="1:110" ht="25" thickBot="1">
      <c r="A56" s="1086" t="s">
        <v>463</v>
      </c>
      <c r="B56" s="1087"/>
      <c r="C56" s="1087"/>
      <c r="D56" s="1087"/>
      <c r="E56" s="1087"/>
      <c r="F56" s="1087"/>
      <c r="G56" s="1087"/>
      <c r="H56" s="681" t="s">
        <v>608</v>
      </c>
      <c r="I56" s="1276" t="s">
        <v>462</v>
      </c>
      <c r="J56" s="1276"/>
      <c r="K56" s="1277"/>
      <c r="L56" s="485"/>
      <c r="M56" s="1155" t="s">
        <v>291</v>
      </c>
      <c r="N56" s="1156"/>
      <c r="O56" s="1156"/>
      <c r="P56" s="1156"/>
      <c r="Q56" s="1156"/>
      <c r="R56" s="1156"/>
      <c r="S56" s="1156"/>
      <c r="T56" s="1156"/>
      <c r="U56" s="1157"/>
      <c r="V56" s="1247">
        <f>V49-SUM(V52:X55)</f>
        <v>0</v>
      </c>
      <c r="W56" s="1248"/>
      <c r="X56" s="1249"/>
      <c r="Y56" s="233"/>
      <c r="Z56" s="233"/>
      <c r="AA56" s="233"/>
      <c r="AB56" s="233"/>
      <c r="AC56" s="211"/>
      <c r="AD56" s="241"/>
      <c r="AE56" s="241"/>
      <c r="AF56" s="241"/>
      <c r="AG56" s="241"/>
      <c r="AH56" s="233"/>
      <c r="AJ56" s="233"/>
      <c r="AK56" s="233"/>
      <c r="AO56" s="87"/>
      <c r="AP56" s="87"/>
      <c r="BW56" s="1"/>
      <c r="CT56" s="1"/>
      <c r="CY56"/>
      <c r="CZ56"/>
      <c r="DE56" s="242"/>
      <c r="DF56" s="242"/>
    </row>
    <row r="57" spans="1:110" ht="16" customHeight="1">
      <c r="A57" s="1121"/>
      <c r="B57" s="1122"/>
      <c r="C57" s="1122"/>
      <c r="D57" s="1122"/>
      <c r="E57" s="1122"/>
      <c r="F57" s="1122"/>
      <c r="G57" s="1122"/>
      <c r="H57" s="589">
        <f>Januar!H67</f>
        <v>0</v>
      </c>
      <c r="I57" s="1250">
        <f>Januar!I67</f>
        <v>0</v>
      </c>
      <c r="J57" s="1250"/>
      <c r="K57" s="1251"/>
      <c r="L57" s="485"/>
      <c r="M57" s="508"/>
      <c r="N57" s="508"/>
      <c r="O57" s="508"/>
      <c r="P57" s="508"/>
      <c r="Q57" s="509"/>
      <c r="R57" s="510"/>
      <c r="S57" s="510"/>
      <c r="T57" s="510"/>
      <c r="U57" s="510"/>
      <c r="V57" s="508"/>
      <c r="W57" s="511"/>
      <c r="X57" s="508"/>
      <c r="Y57" s="233"/>
      <c r="Z57" s="233"/>
      <c r="AA57" s="233"/>
      <c r="AB57" s="233"/>
      <c r="AC57" s="211"/>
      <c r="AD57" s="241"/>
      <c r="AE57" s="241"/>
      <c r="AF57" s="241"/>
      <c r="AG57" s="241"/>
      <c r="AH57" s="233"/>
      <c r="AJ57" s="233"/>
      <c r="AK57" s="233"/>
      <c r="AO57" s="87"/>
      <c r="AP57" s="87"/>
      <c r="BW57" s="1"/>
      <c r="CT57" s="1"/>
      <c r="CY57"/>
      <c r="CZ57"/>
      <c r="DE57" s="242"/>
      <c r="DF57" s="242"/>
    </row>
    <row r="58" spans="1:110" ht="16" customHeight="1">
      <c r="A58" s="1235" t="s">
        <v>466</v>
      </c>
      <c r="B58" s="1236"/>
      <c r="C58" s="1236"/>
      <c r="D58" s="1236"/>
      <c r="E58" s="1236"/>
      <c r="F58" s="1236"/>
      <c r="G58" s="1237"/>
      <c r="H58" s="587"/>
      <c r="I58" s="1238"/>
      <c r="J58" s="1239"/>
      <c r="K58" s="1240"/>
      <c r="L58" s="485"/>
      <c r="M58" s="508"/>
      <c r="N58" s="508"/>
      <c r="O58" s="508"/>
      <c r="P58" s="508"/>
      <c r="Q58" s="509"/>
      <c r="R58" s="510"/>
      <c r="S58" s="510"/>
      <c r="T58" s="510"/>
      <c r="U58" s="510"/>
      <c r="V58" s="508"/>
      <c r="W58" s="511"/>
      <c r="X58" s="508"/>
      <c r="Y58" s="233"/>
      <c r="Z58" s="233"/>
      <c r="AA58" s="233"/>
      <c r="AB58" s="233"/>
      <c r="AC58" s="211"/>
      <c r="AD58" s="241"/>
      <c r="AE58" s="241"/>
      <c r="AF58" s="241"/>
      <c r="AG58" s="241"/>
      <c r="AH58" s="233"/>
      <c r="AJ58" s="233"/>
      <c r="AK58" s="233"/>
      <c r="AO58" s="87"/>
      <c r="AP58" s="87"/>
      <c r="BW58" s="1"/>
      <c r="CT58" s="1"/>
      <c r="CY58"/>
      <c r="CZ58"/>
      <c r="DE58" s="242"/>
      <c r="DF58" s="242"/>
    </row>
    <row r="59" spans="1:110" ht="37" customHeight="1">
      <c r="A59" s="1033" t="s">
        <v>609</v>
      </c>
      <c r="B59" s="1034"/>
      <c r="C59" s="1034"/>
      <c r="D59" s="1034"/>
      <c r="E59" s="1034"/>
      <c r="F59" s="1034"/>
      <c r="G59" s="1034"/>
      <c r="H59" s="1034"/>
      <c r="I59" s="1034"/>
      <c r="J59" s="1034"/>
      <c r="K59" s="1035"/>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35" customHeight="1">
      <c r="A60" s="1079" t="s">
        <v>610</v>
      </c>
      <c r="B60" s="1080"/>
      <c r="C60" s="1052" t="s">
        <v>492</v>
      </c>
      <c r="D60" s="1053"/>
      <c r="E60" s="1081" t="s">
        <v>493</v>
      </c>
      <c r="F60" s="1034"/>
      <c r="G60" s="1082"/>
      <c r="H60" s="1083" t="s">
        <v>464</v>
      </c>
      <c r="I60" s="1083"/>
      <c r="J60" s="1083"/>
      <c r="K60" s="1084"/>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c r="A61" s="1050"/>
      <c r="B61" s="1051"/>
      <c r="C61" s="1026"/>
      <c r="D61" s="1025"/>
      <c r="E61" s="1021"/>
      <c r="F61" s="1022"/>
      <c r="G61" s="1023"/>
      <c r="H61" s="588"/>
      <c r="I61" s="1019"/>
      <c r="J61" s="1019"/>
      <c r="K61" s="1020"/>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c r="A62" s="1024"/>
      <c r="B62" s="1025"/>
      <c r="C62" s="1026"/>
      <c r="D62" s="1025"/>
      <c r="E62" s="1021"/>
      <c r="F62" s="1022"/>
      <c r="G62" s="1023"/>
      <c r="H62" s="588"/>
      <c r="I62" s="1019"/>
      <c r="J62" s="1019"/>
      <c r="K62" s="1020"/>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024"/>
      <c r="B63" s="1025"/>
      <c r="C63" s="1026"/>
      <c r="D63" s="1025"/>
      <c r="E63" s="1021"/>
      <c r="F63" s="1022"/>
      <c r="G63" s="1023"/>
      <c r="H63" s="588"/>
      <c r="I63" s="1019"/>
      <c r="J63" s="1019"/>
      <c r="K63" s="1020"/>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1024"/>
      <c r="B64" s="1025"/>
      <c r="C64" s="1026"/>
      <c r="D64" s="1025"/>
      <c r="E64" s="1021"/>
      <c r="F64" s="1022"/>
      <c r="G64" s="1023"/>
      <c r="H64" s="588"/>
      <c r="I64" s="1019"/>
      <c r="J64" s="1019"/>
      <c r="K64" s="1020"/>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ht="17" thickBot="1">
      <c r="A65" s="1054" t="s">
        <v>465</v>
      </c>
      <c r="B65" s="1055"/>
      <c r="C65" s="1056"/>
      <c r="D65" s="1056"/>
      <c r="E65" s="1056"/>
      <c r="F65" s="1056"/>
      <c r="G65" s="1056"/>
      <c r="H65" s="590">
        <f>H58+H57-SUM(H61:H64)</f>
        <v>0</v>
      </c>
      <c r="I65" s="1063">
        <f>I57+I58-SUM(I61:K64)</f>
        <v>0</v>
      </c>
      <c r="J65" s="1064"/>
      <c r="K65" s="1065"/>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hidden="1">
      <c r="A66" s="481"/>
      <c r="B66" s="481"/>
      <c r="C66" s="481"/>
      <c r="D66" s="481"/>
      <c r="E66" s="481"/>
      <c r="F66" s="481"/>
      <c r="G66" s="481"/>
      <c r="H66" s="437"/>
      <c r="I66" s="491"/>
      <c r="J66" s="491"/>
      <c r="K66" s="481"/>
      <c r="L66" s="635"/>
      <c r="M66" s="635"/>
      <c r="N66" s="635"/>
      <c r="O66" s="635"/>
      <c r="P66" s="635"/>
      <c r="Q66" s="509"/>
      <c r="R66" s="510"/>
      <c r="S66" s="510"/>
      <c r="T66" s="510"/>
      <c r="U66" s="510"/>
      <c r="V66" s="508" t="s">
        <v>538</v>
      </c>
      <c r="W66" s="511"/>
      <c r="X66" s="508"/>
      <c r="Y66"/>
      <c r="Z66" s="87"/>
      <c r="AA66" s="87"/>
      <c r="BH66" s="1"/>
      <c r="CE66" s="1"/>
      <c r="CP66" s="242"/>
      <c r="CQ66" s="242"/>
      <c r="CY66"/>
      <c r="CZ66"/>
    </row>
    <row r="67" spans="1:110" hidden="1">
      <c r="A67" s="483" t="s">
        <v>203</v>
      </c>
      <c r="B67" s="483"/>
      <c r="C67" s="483"/>
      <c r="D67" s="483">
        <f>COUNTIF([0]!Februar,"Skema 1")</f>
        <v>14</v>
      </c>
      <c r="E67" s="484"/>
      <c r="F67" s="483" t="s">
        <v>183</v>
      </c>
      <c r="G67" s="483">
        <f>COUNTIFS($B$14:$B$42,"ma",[0]!Februar,"Skema 1")</f>
        <v>3</v>
      </c>
      <c r="H67" s="120"/>
      <c r="I67" s="496"/>
      <c r="J67" s="635"/>
      <c r="K67" s="635"/>
      <c r="L67" s="496"/>
      <c r="M67" s="636"/>
      <c r="N67" s="635"/>
      <c r="O67" s="636"/>
      <c r="P67" s="654" t="s">
        <v>551</v>
      </c>
      <c r="Q67" s="656" t="s">
        <v>562</v>
      </c>
      <c r="R67" s="225"/>
      <c r="S67" s="225"/>
      <c r="T67" s="225"/>
      <c r="U67" s="225"/>
      <c r="V67" s="225"/>
      <c r="W67" s="115"/>
      <c r="X67" s="115"/>
      <c r="Y67"/>
      <c r="Z67" s="87"/>
      <c r="AA67" s="87"/>
      <c r="BH67" s="1"/>
      <c r="CE67" s="1"/>
      <c r="CP67" s="242"/>
      <c r="CQ67" s="242"/>
      <c r="CY67"/>
      <c r="CZ67"/>
    </row>
    <row r="68" spans="1:110" hidden="1">
      <c r="A68" s="1271" t="s">
        <v>204</v>
      </c>
      <c r="B68" s="1271"/>
      <c r="C68" s="1271"/>
      <c r="D68" s="483">
        <f>COUNTIF([0]!Februar,"Skema 2")</f>
        <v>0</v>
      </c>
      <c r="E68" s="484"/>
      <c r="F68" s="483" t="s">
        <v>184</v>
      </c>
      <c r="G68" s="483">
        <f>COUNTIFS($B$14:$B$42,"ti",[0]!Februar,"Skema 1")</f>
        <v>3</v>
      </c>
      <c r="H68" s="120"/>
      <c r="I68" s="496" t="s">
        <v>552</v>
      </c>
      <c r="J68" s="635"/>
      <c r="K68" s="496"/>
      <c r="L68" s="638"/>
      <c r="M68" s="636"/>
      <c r="N68" s="636"/>
      <c r="O68" s="639"/>
      <c r="P68" s="654">
        <f>IF(Stamoplysninger!$B$27="Ulempetillæg udbetales med 25% af nettotimelønnen.",SUM(DO44:DR44)-SUM(DS44:DV44),0)</f>
        <v>0</v>
      </c>
      <c r="Q68" s="656"/>
      <c r="R68" s="730"/>
      <c r="S68" s="225"/>
      <c r="T68" s="225"/>
      <c r="U68" s="225"/>
      <c r="V68" s="225"/>
      <c r="W68" s="115"/>
      <c r="X68" s="115"/>
      <c r="Y68"/>
      <c r="Z68" s="87"/>
      <c r="AA68" s="87"/>
      <c r="BH68" s="1"/>
      <c r="CE68" s="1"/>
      <c r="CP68" s="242"/>
      <c r="CQ68" s="242"/>
      <c r="CY68"/>
      <c r="CZ68"/>
    </row>
    <row r="69" spans="1:110" hidden="1">
      <c r="A69" s="1271" t="s">
        <v>205</v>
      </c>
      <c r="B69" s="1271"/>
      <c r="C69" s="1271"/>
      <c r="D69" s="483">
        <f>COUNTIF([0]!Februar,"Skema 3")</f>
        <v>0</v>
      </c>
      <c r="E69" s="484"/>
      <c r="F69" s="483" t="s">
        <v>185</v>
      </c>
      <c r="G69" s="483">
        <f>COUNTIFS($B$14:$B$42,"on",[0]!Februar,"Skema 1")</f>
        <v>3</v>
      </c>
      <c r="H69" s="483"/>
      <c r="I69" s="653" t="s">
        <v>553</v>
      </c>
      <c r="J69" s="635"/>
      <c r="K69" s="496"/>
      <c r="L69" s="638"/>
      <c r="M69" s="636"/>
      <c r="N69" s="636"/>
      <c r="O69" s="636"/>
      <c r="P69" s="654"/>
      <c r="Q69" s="656">
        <f>IF(Stamoplysninger!$B$27="Ulempetillæg afspadseres med 25%(Kræver en aftale imellem ledelsen og den ansatte)",DW44+DX44+DY44+DZ44-EA44-EB44-EC44-ED44,0)</f>
        <v>0</v>
      </c>
      <c r="R69" s="731"/>
      <c r="S69" s="225"/>
      <c r="T69" s="225"/>
      <c r="U69" s="225"/>
      <c r="V69" s="225"/>
      <c r="W69" s="115"/>
      <c r="X69" s="115"/>
      <c r="Y69"/>
      <c r="Z69" s="87"/>
      <c r="AA69" s="87"/>
      <c r="BH69" s="1"/>
      <c r="CE69" s="1"/>
      <c r="CP69" s="242"/>
      <c r="CQ69" s="242"/>
      <c r="CY69"/>
      <c r="CZ69"/>
    </row>
    <row r="70" spans="1:110" hidden="1">
      <c r="A70" s="1271" t="s">
        <v>206</v>
      </c>
      <c r="B70" s="1271"/>
      <c r="C70" s="1271"/>
      <c r="D70" s="483">
        <f>COUNTIF([0]!Februar,"Skema 4")</f>
        <v>0</v>
      </c>
      <c r="E70" s="484"/>
      <c r="F70" s="483" t="s">
        <v>187</v>
      </c>
      <c r="G70" s="483">
        <f>COUNTIFS($B$14:$B$42,"to",[0]!Februar,"Skema 1")</f>
        <v>3</v>
      </c>
      <c r="H70" s="483"/>
      <c r="I70" s="653" t="s">
        <v>554</v>
      </c>
      <c r="J70" s="635"/>
      <c r="K70" s="496"/>
      <c r="L70" s="638"/>
      <c r="M70" s="641"/>
      <c r="N70" s="641"/>
      <c r="O70" s="4"/>
      <c r="P70" s="654"/>
      <c r="Q70" s="656"/>
      <c r="R70" s="225"/>
      <c r="S70" s="225"/>
      <c r="T70" s="225"/>
      <c r="U70" s="225"/>
      <c r="V70" s="225"/>
      <c r="W70" s="115"/>
      <c r="X70" s="115"/>
      <c r="Y70" s="233"/>
      <c r="Z70" s="233"/>
      <c r="AA70" s="211"/>
      <c r="AB70" s="241"/>
      <c r="AC70" s="241"/>
      <c r="AD70" s="241"/>
      <c r="AE70" s="233"/>
      <c r="AF70" s="241"/>
      <c r="AH70" s="233"/>
      <c r="AI70" s="233"/>
      <c r="AM70" s="87"/>
      <c r="AN70" s="87"/>
      <c r="BU70" s="1"/>
      <c r="CR70" s="1"/>
      <c r="CY70"/>
      <c r="CZ70"/>
      <c r="DC70" s="242"/>
      <c r="DD70" s="242"/>
    </row>
    <row r="71" spans="1:110" hidden="1">
      <c r="A71" s="483" t="s">
        <v>111</v>
      </c>
      <c r="B71" s="483"/>
      <c r="C71" s="483"/>
      <c r="D71" s="483">
        <f>COUNTIF([0]!Februar,"Fagdag")+COUNTIF([0]!Februar,"emnedag")</f>
        <v>1</v>
      </c>
      <c r="E71" s="484"/>
      <c r="F71" s="483" t="s">
        <v>186</v>
      </c>
      <c r="G71" s="483">
        <f>COUNTIFS($B$14:$B$42,"fr",[0]!Februar,"Skema 1")</f>
        <v>2</v>
      </c>
      <c r="H71" s="483"/>
      <c r="I71" s="638" t="s">
        <v>555</v>
      </c>
      <c r="J71" s="635"/>
      <c r="K71" s="496"/>
      <c r="L71" s="638"/>
      <c r="M71" s="641"/>
      <c r="N71" s="641"/>
      <c r="O71" s="4"/>
      <c r="P71" s="654"/>
      <c r="Q71" s="656">
        <f>IF(Stamoplysninger!$B$31="Weekendtimer og weekendtillæg afspadseres.",EE44+EF44-EG44-EH44+EI44+EJ44,0)</f>
        <v>0</v>
      </c>
      <c r="R71" s="733"/>
      <c r="S71" s="225"/>
      <c r="T71" s="225"/>
      <c r="U71" s="225"/>
      <c r="V71" s="225"/>
      <c r="W71" s="115"/>
      <c r="X71" s="115"/>
      <c r="Y71" s="233"/>
      <c r="Z71" s="233"/>
      <c r="AA71" s="211"/>
      <c r="AB71" s="241"/>
      <c r="AC71" s="241"/>
      <c r="AD71" s="241"/>
      <c r="AE71" s="233"/>
      <c r="AF71" s="211"/>
      <c r="AH71" s="233"/>
      <c r="AI71" s="233"/>
      <c r="AM71" s="87"/>
      <c r="AN71" s="87"/>
      <c r="BU71" s="1"/>
      <c r="CR71" s="1"/>
      <c r="CY71"/>
      <c r="CZ71"/>
      <c r="DC71" s="242"/>
      <c r="DD71" s="242"/>
    </row>
    <row r="72" spans="1:110" hidden="1">
      <c r="A72" s="487" t="s">
        <v>110</v>
      </c>
      <c r="B72" s="483"/>
      <c r="C72" s="483"/>
      <c r="D72" s="483">
        <f>COUNTIF([0]!Februar,"Lejrskole")+COUNTIF([0]!Februar,"Ekskursion")</f>
        <v>0</v>
      </c>
      <c r="E72" s="484"/>
      <c r="F72" s="483"/>
      <c r="G72" s="483"/>
      <c r="H72" s="483"/>
      <c r="I72" s="638" t="s">
        <v>556</v>
      </c>
      <c r="J72" s="638"/>
      <c r="K72" s="638"/>
      <c r="L72" s="638"/>
      <c r="M72" s="642"/>
      <c r="N72" s="642"/>
      <c r="O72" s="4"/>
      <c r="P72" s="655">
        <f>IF(Stamoplysninger!$B$31="Weekendtimer og weekendtillæg udbetales.",EM44+EN44-EO44-EP44+EQ44+ER44,0)</f>
        <v>0</v>
      </c>
      <c r="Q72" s="656"/>
      <c r="R72" s="735"/>
      <c r="S72" s="225"/>
      <c r="T72" s="225"/>
      <c r="U72" s="225"/>
      <c r="V72" s="225"/>
      <c r="W72" s="115"/>
      <c r="X72" s="115"/>
      <c r="Y72" s="233"/>
      <c r="Z72" s="233"/>
      <c r="AA72" s="211"/>
      <c r="AB72" s="241"/>
      <c r="AC72" s="241"/>
      <c r="AD72" s="241"/>
      <c r="AE72" s="233"/>
      <c r="AF72" s="211"/>
      <c r="AH72" s="233"/>
      <c r="AI72" s="233"/>
      <c r="AM72" s="87"/>
      <c r="AN72" s="87"/>
      <c r="BU72" s="1"/>
      <c r="CR72" s="1"/>
      <c r="CY72"/>
      <c r="CZ72"/>
      <c r="DC72" s="242"/>
      <c r="DD72" s="242"/>
    </row>
    <row r="73" spans="1:110" hidden="1">
      <c r="A73" s="483" t="s">
        <v>109</v>
      </c>
      <c r="B73" s="483"/>
      <c r="C73" s="483"/>
      <c r="D73" s="483">
        <f>COUNTIF([0]!Februar,"Pæd.dag")</f>
        <v>0</v>
      </c>
      <c r="E73" s="484"/>
      <c r="F73" s="483" t="s">
        <v>188</v>
      </c>
      <c r="G73" s="483">
        <f>COUNTIFS($B$14:$B$42,"ma",[0]!Februar,"Skema 2")</f>
        <v>0</v>
      </c>
      <c r="H73" s="483"/>
      <c r="I73" s="638" t="s">
        <v>557</v>
      </c>
      <c r="J73" s="638"/>
      <c r="K73" s="638"/>
      <c r="L73" s="638"/>
      <c r="M73" s="642"/>
      <c r="N73" s="642"/>
      <c r="O73" s="4"/>
      <c r="P73" s="654"/>
      <c r="Q73" s="656"/>
      <c r="R73" s="225"/>
      <c r="S73" s="225"/>
      <c r="T73" s="225"/>
      <c r="U73" s="225"/>
      <c r="V73" s="225"/>
      <c r="W73" s="115"/>
      <c r="X73" s="115"/>
      <c r="Y73" s="233"/>
      <c r="Z73" s="233"/>
      <c r="AA73" s="211"/>
      <c r="AB73" s="241"/>
      <c r="AC73" s="241"/>
      <c r="AD73" s="241"/>
      <c r="AE73" s="233"/>
      <c r="AF73" s="211"/>
      <c r="AH73" s="233"/>
      <c r="AI73" s="233"/>
      <c r="AM73" s="87"/>
      <c r="AN73" s="87"/>
      <c r="BU73" s="1"/>
      <c r="CR73" s="1"/>
      <c r="CY73"/>
      <c r="CZ73"/>
      <c r="DC73" s="242"/>
      <c r="DD73" s="242"/>
    </row>
    <row r="74" spans="1:110" hidden="1">
      <c r="A74" s="483" t="s">
        <v>118</v>
      </c>
      <c r="B74" s="483"/>
      <c r="C74" s="483"/>
      <c r="D74" s="483">
        <f>COUNTIF([0]!Februar,"Weekend")</f>
        <v>8</v>
      </c>
      <c r="E74" s="484"/>
      <c r="F74" s="483" t="s">
        <v>189</v>
      </c>
      <c r="G74" s="483">
        <f>COUNTIFS($B$14:$B$42,"ti",[0]!Februar,"Skema 2")</f>
        <v>0</v>
      </c>
      <c r="H74" s="483"/>
      <c r="I74" s="638" t="s">
        <v>558</v>
      </c>
      <c r="J74" s="638"/>
      <c r="K74" s="638"/>
      <c r="L74" s="638"/>
      <c r="M74" s="643"/>
      <c r="N74" s="643"/>
      <c r="O74" s="4"/>
      <c r="P74" s="654"/>
      <c r="Q74" s="657">
        <f>IF(Stamoplysninger!$B$31="Der er indgået lokalaftale omkring weekendtimer.(Kræver aftale med TR/FSL) Weekendtillæg afspadseres.",EU44+EV44-EW44-EX44,0)</f>
        <v>0</v>
      </c>
      <c r="R74" s="737"/>
      <c r="S74" s="225"/>
      <c r="T74" s="225"/>
      <c r="U74" s="225"/>
      <c r="V74" s="225"/>
      <c r="W74" s="115"/>
      <c r="X74" s="115"/>
      <c r="Y74"/>
      <c r="Z74"/>
      <c r="AL74" s="1"/>
      <c r="BI74" s="1"/>
      <c r="BT74" s="242"/>
      <c r="BU74" s="242"/>
      <c r="CY74"/>
      <c r="CZ74"/>
    </row>
    <row r="75" spans="1:110" hidden="1">
      <c r="A75" s="483" t="s">
        <v>125</v>
      </c>
      <c r="B75" s="483"/>
      <c r="C75" s="483"/>
      <c r="D75" s="483">
        <f>COUNTIF([0]!Februar,"SH-dag")</f>
        <v>0</v>
      </c>
      <c r="E75" s="484"/>
      <c r="F75" s="483" t="s">
        <v>190</v>
      </c>
      <c r="G75" s="483">
        <f>COUNTIFS($B$14:$B$42,"on",[0]!Februar,"Skema 2")</f>
        <v>0</v>
      </c>
      <c r="H75" s="483"/>
      <c r="I75" s="638" t="s">
        <v>559</v>
      </c>
      <c r="J75" s="638"/>
      <c r="K75" s="638"/>
      <c r="L75" s="638"/>
      <c r="M75" s="643"/>
      <c r="N75" s="643"/>
      <c r="O75" s="4"/>
      <c r="P75" s="654">
        <f>IF(Stamoplysninger!$B$31="Der er indgået lokalaftale omkring weekendtimer(Kræver aftale med TR/FSL). Weekendtillæg udbetales.",EY44+EZ44-FA44-FB44,0)</f>
        <v>0</v>
      </c>
      <c r="Q75" s="656"/>
      <c r="R75" s="739"/>
      <c r="S75" s="225"/>
      <c r="T75" s="225"/>
      <c r="U75" s="225"/>
      <c r="V75" s="225"/>
      <c r="W75" s="115"/>
      <c r="X75" s="115"/>
      <c r="Y75"/>
      <c r="Z75"/>
      <c r="AL75" s="1"/>
      <c r="BI75" s="1"/>
      <c r="BT75" s="242"/>
      <c r="BU75" s="242"/>
      <c r="CY75"/>
      <c r="CZ75"/>
    </row>
    <row r="76" spans="1:110" hidden="1">
      <c r="A76" s="483" t="s">
        <v>108</v>
      </c>
      <c r="B76" s="483"/>
      <c r="C76" s="483"/>
      <c r="D76" s="483">
        <f>COUNTIF([0]!Februar,"Feriedag")</f>
        <v>0</v>
      </c>
      <c r="E76" s="484"/>
      <c r="F76" s="483" t="s">
        <v>191</v>
      </c>
      <c r="G76" s="483">
        <f>COUNTIFS($B$14:$B$42,"to",[0]!Februar,"Skema 2")</f>
        <v>0</v>
      </c>
      <c r="H76" s="483"/>
      <c r="I76" s="638" t="s">
        <v>560</v>
      </c>
      <c r="J76" s="638"/>
      <c r="K76" s="638"/>
      <c r="L76" s="638"/>
      <c r="M76" s="643"/>
      <c r="N76" s="643"/>
      <c r="O76" s="4"/>
      <c r="P76" s="654"/>
      <c r="Q76" s="610">
        <f>IF(Stamoplysninger!$B$31="Der er indgået lokalaftale omkring weekendtillæg(Kræver aftale med TR/FSL). Weekendtimerne afspadseres.",FC44+FD44-FE44-FF44,0)</f>
        <v>0</v>
      </c>
      <c r="R76" s="741"/>
      <c r="S76" s="38"/>
      <c r="T76" s="38"/>
      <c r="Y76"/>
      <c r="Z76"/>
      <c r="AL76" s="1"/>
      <c r="BI76" s="1"/>
      <c r="BT76" s="242"/>
      <c r="BU76" s="242"/>
      <c r="CY76"/>
      <c r="CZ76"/>
    </row>
    <row r="77" spans="1:110" hidden="1">
      <c r="A77" s="483" t="s">
        <v>175</v>
      </c>
      <c r="B77" s="483"/>
      <c r="C77" s="483"/>
      <c r="D77" s="483">
        <f>COUNTIF([0]!Februar,"Nul-dag")</f>
        <v>5</v>
      </c>
      <c r="E77" s="484"/>
      <c r="F77" s="483" t="s">
        <v>192</v>
      </c>
      <c r="G77" s="483">
        <f>COUNTIFS($B$14:$B$42,"fr",[0]!Februar,"Skema 2")</f>
        <v>0</v>
      </c>
      <c r="H77" s="483"/>
      <c r="I77" s="638" t="s">
        <v>561</v>
      </c>
      <c r="J77" s="638"/>
      <c r="K77" s="638"/>
      <c r="L77" s="638"/>
      <c r="M77" s="643"/>
      <c r="N77" s="643"/>
      <c r="O77" s="4"/>
      <c r="P77" s="654">
        <f>IF(Stamoplysninger!$B$31="Der er indgået lokalaftale omkring weekendtillæg(Kræver aftale med TR/FSL). Weekendtimerne udbetales.",FG44+FH44-FI44-FJ44,0)</f>
        <v>0</v>
      </c>
      <c r="Q77" s="610"/>
      <c r="R77" s="742"/>
      <c r="V77" t="s">
        <v>612</v>
      </c>
      <c r="Y77"/>
      <c r="Z77"/>
      <c r="AL77" s="1"/>
      <c r="BI77" s="1"/>
      <c r="BT77" s="242"/>
      <c r="BU77" s="242"/>
      <c r="CY77"/>
      <c r="CZ77"/>
    </row>
    <row r="78" spans="1:110" hidden="1">
      <c r="A78" s="488" t="s">
        <v>406</v>
      </c>
      <c r="B78" s="483"/>
      <c r="C78" s="483"/>
      <c r="D78" s="483">
        <f>COUNTIF([0]!Februar,"Orlov")</f>
        <v>0</v>
      </c>
      <c r="E78" s="484"/>
      <c r="F78" s="489"/>
      <c r="G78" s="489"/>
      <c r="H78" s="489"/>
      <c r="I78" s="638" t="s">
        <v>567</v>
      </c>
      <c r="J78" s="638"/>
      <c r="K78" s="638"/>
      <c r="L78" s="638"/>
      <c r="M78" s="644"/>
      <c r="N78" s="644"/>
      <c r="O78" s="4"/>
      <c r="P78" s="637"/>
      <c r="R78" s="727">
        <f>IF(AND(C14="ikke relevant",S14="X"),V14*-1,0)</f>
        <v>0</v>
      </c>
      <c r="T78" s="727">
        <f>IF(AND(C14="ikke relevant",U14="X"),X14*-1,0)</f>
        <v>0</v>
      </c>
      <c r="V78">
        <f>IF(AND(C14="ikke relevant",H14&gt;""),R14*-1,0)</f>
        <v>0</v>
      </c>
      <c r="Y78"/>
      <c r="Z78"/>
      <c r="AL78" s="1"/>
      <c r="BI78" s="1"/>
      <c r="BT78" s="242"/>
      <c r="BU78" s="242"/>
      <c r="CY78"/>
      <c r="CZ78"/>
    </row>
    <row r="79" spans="1:110" hidden="1">
      <c r="A79" s="483" t="s">
        <v>158</v>
      </c>
      <c r="B79" s="483"/>
      <c r="C79" s="483"/>
      <c r="D79" s="483">
        <f>COUNTIF(C14:C41,"Ikke relevant")</f>
        <v>0</v>
      </c>
      <c r="E79" s="484"/>
      <c r="F79" s="483" t="s">
        <v>193</v>
      </c>
      <c r="G79" s="483">
        <f>COUNTIFS($B$14:$B$42,"ma",[0]!Februar,"Skema 3")</f>
        <v>0</v>
      </c>
      <c r="H79" s="483"/>
      <c r="I79" s="638"/>
      <c r="J79" s="638"/>
      <c r="K79" s="638"/>
      <c r="L79" s="496"/>
      <c r="M79" s="644"/>
      <c r="N79" s="644"/>
      <c r="O79" s="4"/>
      <c r="P79" s="637"/>
      <c r="R79" s="727">
        <f t="shared" ref="R79:R105" si="44">IF(AND(C15="ikke relevant",S15="X"),V15*-1,0)</f>
        <v>0</v>
      </c>
      <c r="T79" s="727">
        <f t="shared" ref="T79:T105" si="45">IF(AND(C15="ikke relevant",U15="X"),X15*-1,0)</f>
        <v>0</v>
      </c>
      <c r="V79">
        <f t="shared" ref="V79:V105" si="46">IF(AND(C15="ikke relevant",H15&gt;""),R15*-1,0)</f>
        <v>0</v>
      </c>
      <c r="Y79"/>
      <c r="Z79"/>
      <c r="AL79" s="1"/>
      <c r="BI79" s="1"/>
      <c r="BT79" s="242"/>
      <c r="BU79" s="242"/>
      <c r="CY79"/>
      <c r="CZ79"/>
    </row>
    <row r="80" spans="1:110" hidden="1">
      <c r="A80" s="483" t="s">
        <v>107</v>
      </c>
      <c r="B80" s="483"/>
      <c r="C80" s="483"/>
      <c r="D80" s="483">
        <f>SUM(D67:D79)</f>
        <v>28</v>
      </c>
      <c r="E80" s="483"/>
      <c r="F80" s="483" t="s">
        <v>194</v>
      </c>
      <c r="G80" s="483">
        <f>COUNTIFS($B$14:$B$42,"ti",[0]!Februar,"Skema 3")</f>
        <v>0</v>
      </c>
      <c r="H80" s="483"/>
      <c r="I80" s="638"/>
      <c r="J80" s="638"/>
      <c r="K80" s="638"/>
      <c r="L80" s="496"/>
      <c r="M80" s="644"/>
      <c r="N80" s="644"/>
      <c r="O80" s="4"/>
      <c r="P80" s="637"/>
      <c r="R80" s="727">
        <f t="shared" si="44"/>
        <v>0</v>
      </c>
      <c r="T80" s="727">
        <f t="shared" si="45"/>
        <v>0</v>
      </c>
      <c r="V80">
        <f t="shared" si="46"/>
        <v>0</v>
      </c>
      <c r="Y80" s="1"/>
      <c r="Z80"/>
      <c r="AW80" s="1"/>
      <c r="BH80" s="242"/>
      <c r="BI80" s="242"/>
      <c r="CY80"/>
      <c r="CZ80"/>
    </row>
    <row r="81" spans="1:104" hidden="1">
      <c r="A81" s="483" t="s">
        <v>236</v>
      </c>
      <c r="B81" s="483"/>
      <c r="C81" s="483"/>
      <c r="D81" s="483">
        <f>D80-D74-A90-D79</f>
        <v>20</v>
      </c>
      <c r="E81" s="490"/>
      <c r="F81" s="483" t="s">
        <v>195</v>
      </c>
      <c r="G81" s="483">
        <f>COUNTIFS($B$14:$B$42,"on",[0]!Februar,"Skema 3")</f>
        <v>0</v>
      </c>
      <c r="H81" s="483"/>
      <c r="I81" s="638"/>
      <c r="J81" s="638"/>
      <c r="K81" s="638"/>
      <c r="L81" s="496"/>
      <c r="M81" s="644"/>
      <c r="N81" s="644"/>
      <c r="O81" s="4"/>
      <c r="P81" s="637"/>
      <c r="R81" s="727">
        <f t="shared" si="44"/>
        <v>0</v>
      </c>
      <c r="T81" s="727">
        <f t="shared" si="45"/>
        <v>0</v>
      </c>
      <c r="V81">
        <f t="shared" si="46"/>
        <v>0</v>
      </c>
      <c r="Y81" s="1"/>
      <c r="Z81"/>
      <c r="AW81" s="1"/>
      <c r="BH81" s="242"/>
      <c r="BI81" s="242"/>
      <c r="CY81"/>
      <c r="CZ81"/>
    </row>
    <row r="82" spans="1:104" hidden="1">
      <c r="A82" s="483"/>
      <c r="B82" s="483"/>
      <c r="C82" s="483"/>
      <c r="D82" s="483"/>
      <c r="E82" s="483"/>
      <c r="F82" s="483" t="s">
        <v>196</v>
      </c>
      <c r="G82" s="483">
        <f>COUNTIFS($B$14:$B$42,"to",[0]!Februar,"Skema 3")</f>
        <v>0</v>
      </c>
      <c r="H82" s="483"/>
      <c r="I82" s="640"/>
      <c r="J82" s="638"/>
      <c r="K82" s="638"/>
      <c r="L82" s="496"/>
      <c r="M82" s="636"/>
      <c r="N82" s="636"/>
      <c r="O82" s="4"/>
      <c r="P82" s="637"/>
      <c r="R82" s="727">
        <f t="shared" si="44"/>
        <v>0</v>
      </c>
      <c r="T82" s="727">
        <f t="shared" si="45"/>
        <v>0</v>
      </c>
      <c r="V82">
        <f t="shared" si="46"/>
        <v>0</v>
      </c>
      <c r="Y82" s="1"/>
      <c r="Z82"/>
      <c r="AW82" s="1"/>
      <c r="BH82" s="242"/>
      <c r="BI82" s="242"/>
      <c r="CY82"/>
      <c r="CZ82"/>
    </row>
    <row r="83" spans="1:104" hidden="1">
      <c r="A83" s="483"/>
      <c r="B83" s="483"/>
      <c r="C83" s="483"/>
      <c r="D83" s="483"/>
      <c r="E83" s="483"/>
      <c r="F83" s="483" t="s">
        <v>197</v>
      </c>
      <c r="G83" s="483">
        <f>COUNTIFS($B$14:$B$42,"fr",[0]!Februar,"Skema 3")</f>
        <v>0</v>
      </c>
      <c r="H83" s="483"/>
      <c r="I83" s="491"/>
      <c r="J83" s="496"/>
      <c r="K83" s="496"/>
      <c r="L83" s="496"/>
      <c r="M83" s="4"/>
      <c r="N83" s="4"/>
      <c r="O83" s="4"/>
      <c r="P83" s="4"/>
      <c r="R83" s="727">
        <f t="shared" si="44"/>
        <v>0</v>
      </c>
      <c r="T83" s="727">
        <f t="shared" si="45"/>
        <v>0</v>
      </c>
      <c r="V83">
        <f t="shared" si="46"/>
        <v>0</v>
      </c>
      <c r="Y83" s="1"/>
      <c r="Z83"/>
      <c r="AW83" s="1"/>
      <c r="BH83" s="242"/>
      <c r="BI83" s="242"/>
      <c r="CY83"/>
      <c r="CZ83"/>
    </row>
    <row r="84" spans="1:104" hidden="1">
      <c r="A84" s="483" t="s">
        <v>289</v>
      </c>
      <c r="B84" s="483"/>
      <c r="C84" s="483"/>
      <c r="D84" s="483"/>
      <c r="E84" s="483"/>
      <c r="F84" s="483"/>
      <c r="G84" s="483"/>
      <c r="H84" s="483"/>
      <c r="I84" s="491"/>
      <c r="J84" s="496"/>
      <c r="K84" s="496"/>
      <c r="L84" s="496"/>
      <c r="M84" s="4"/>
      <c r="N84" s="4"/>
      <c r="O84" s="4"/>
      <c r="P84" s="4"/>
      <c r="R84" s="727">
        <f t="shared" si="44"/>
        <v>0</v>
      </c>
      <c r="T84" s="727">
        <f t="shared" si="45"/>
        <v>0</v>
      </c>
      <c r="V84">
        <f t="shared" si="46"/>
        <v>0</v>
      </c>
      <c r="Y84" s="1"/>
      <c r="Z84"/>
      <c r="AW84" s="1"/>
      <c r="BH84" s="242"/>
      <c r="BI84" s="242"/>
      <c r="CY84"/>
      <c r="CZ84"/>
    </row>
    <row r="85" spans="1:104" hidden="1">
      <c r="A85" s="483">
        <f>COUNTIF(C19:C20,"Skema 1")+COUNTIF(C19:C20,"Skema 2")+COUNTIF(C19:C20,"Skema 3")+COUNTIF(C19:C20,"Skema 4")+COUNTIF(C19:C20,"Fagdag")+COUNTIF(C19:C20,"Emnedag")+COUNTIF(C19:C20,"Lejrskole")+COUNTIF(C19:C20,"Ekskursion")+COUNTIF(C19:C20,"Pæd.dag")</f>
        <v>0</v>
      </c>
      <c r="B85" s="483"/>
      <c r="C85" s="483"/>
      <c r="D85" s="483"/>
      <c r="E85" s="483"/>
      <c r="F85" s="483" t="s">
        <v>198</v>
      </c>
      <c r="G85" s="483">
        <f>COUNTIFS($B$14:$B$42,"ma",[0]!Februar,"Skema 4")</f>
        <v>0</v>
      </c>
      <c r="H85" s="483"/>
      <c r="I85" s="491"/>
      <c r="J85" s="496"/>
      <c r="K85" s="496"/>
      <c r="L85" s="496"/>
      <c r="M85" s="4"/>
      <c r="N85" s="4"/>
      <c r="O85" s="4"/>
      <c r="P85" s="4"/>
      <c r="R85" s="727">
        <f t="shared" si="44"/>
        <v>0</v>
      </c>
      <c r="T85" s="727">
        <f t="shared" si="45"/>
        <v>0</v>
      </c>
      <c r="V85">
        <f t="shared" si="46"/>
        <v>0</v>
      </c>
      <c r="Y85"/>
      <c r="Z85"/>
      <c r="AO85" s="1"/>
      <c r="BL85" s="1"/>
      <c r="BW85" s="242"/>
      <c r="BX85" s="242"/>
      <c r="CY85"/>
      <c r="CZ85"/>
    </row>
    <row r="86" spans="1:104" hidden="1">
      <c r="A86" s="483">
        <f>COUNTIF(C26:C27,"Skema 1")+COUNTIF(C26:C27,"Skema 2")+COUNTIF(C26:C27,"Skema 3")+COUNTIF(C26:C27,"Skema 4")+COUNTIF(C26:C27,"Fagdag")+COUNTIF(C26:C27,"Emnedag")+COUNTIF(C26:C27,"Lejrskole")+COUNTIF(C26:C27,"Ekskursion")+COUNTIF(C26:C27,"Pæd.dag")</f>
        <v>0</v>
      </c>
      <c r="B86" s="483"/>
      <c r="C86" s="483"/>
      <c r="D86" s="483"/>
      <c r="E86" s="483"/>
      <c r="F86" s="483" t="s">
        <v>199</v>
      </c>
      <c r="G86" s="483">
        <f>COUNTIFS($B$14:$B$42,"ti",[0]!Februar,"Skema 4")</f>
        <v>0</v>
      </c>
      <c r="H86" s="483"/>
      <c r="I86" s="491"/>
      <c r="J86" s="496"/>
      <c r="K86" s="496"/>
      <c r="L86" s="496"/>
      <c r="M86" s="4"/>
      <c r="N86" s="4"/>
      <c r="O86" s="4"/>
      <c r="P86" s="4"/>
      <c r="R86" s="727">
        <f t="shared" si="44"/>
        <v>0</v>
      </c>
      <c r="T86" s="727">
        <f t="shared" si="45"/>
        <v>0</v>
      </c>
      <c r="V86">
        <f t="shared" si="46"/>
        <v>0</v>
      </c>
      <c r="Y86"/>
      <c r="Z86"/>
      <c r="AO86" s="1"/>
      <c r="BL86" s="1"/>
      <c r="BW86" s="242"/>
      <c r="BX86" s="242"/>
      <c r="CY86"/>
      <c r="CZ86"/>
    </row>
    <row r="87" spans="1:104" hidden="1">
      <c r="A87" s="483">
        <f>COUNTIF(C33:C34,"Skema 1")+COUNTIF(C33:C34,"Skema 2")+COUNTIF(C33:C34,"Skema 3")+COUNTIF(C33:C34,"Skema 4")+COUNTIF(C33:C34,"Fagdag")+COUNTIF(C33:C34,"Emnedag")+COUNTIF(C33:C34,"Lejrskole")+COUNTIF(C33:C34,"Ekskursion")+COUNTIF(C33:C34,"Pæd.dag")</f>
        <v>0</v>
      </c>
      <c r="B87" s="483"/>
      <c r="C87" s="483"/>
      <c r="D87" s="483"/>
      <c r="E87" s="483"/>
      <c r="F87" s="483" t="s">
        <v>200</v>
      </c>
      <c r="G87" s="483">
        <f>COUNTIFS($B$14:$B$42,"on",[0]!Februar,"Skema 4")</f>
        <v>0</v>
      </c>
      <c r="H87" s="483"/>
      <c r="I87" s="491"/>
      <c r="J87" s="496"/>
      <c r="K87" s="496"/>
      <c r="L87" s="496"/>
      <c r="M87" s="4"/>
      <c r="N87" s="4"/>
      <c r="O87" s="4"/>
      <c r="P87" s="4"/>
      <c r="R87" s="727">
        <f t="shared" si="44"/>
        <v>0</v>
      </c>
      <c r="T87" s="727">
        <f t="shared" si="45"/>
        <v>0</v>
      </c>
      <c r="V87">
        <f t="shared" si="46"/>
        <v>0</v>
      </c>
      <c r="Y87"/>
      <c r="Z87"/>
      <c r="AO87" s="1"/>
      <c r="BL87" s="1"/>
      <c r="BW87" s="242"/>
      <c r="BX87" s="242"/>
      <c r="CY87"/>
      <c r="CZ87"/>
    </row>
    <row r="88" spans="1:104" hidden="1">
      <c r="A88" s="483">
        <f>COUNTIF(C40:C41,"Skema 1")+COUNTIF(C40:C41,"Skema 2")+COUNTIF(C40:C41,"Skema 3")+COUNTIF(C40:C41,"Skema 4")+COUNTIF(C40:C41,"Fagdag")+COUNTIF(C40:C41,"Emnedag")+COUNTIF(C40:C41,"Lejrskole")+COUNTIF(C40:C41,"Ekskursion")+COUNTIF(C40:C41,"Pæd.dag")</f>
        <v>0</v>
      </c>
      <c r="B88" s="483"/>
      <c r="C88" s="483"/>
      <c r="D88" s="483"/>
      <c r="E88" s="483"/>
      <c r="F88" s="483" t="s">
        <v>201</v>
      </c>
      <c r="G88" s="483">
        <f>COUNTIFS($B$14:$B$42,"to",[0]!Februar,"Skema 4")</f>
        <v>0</v>
      </c>
      <c r="H88" s="483"/>
      <c r="I88" s="491"/>
      <c r="J88" s="496"/>
      <c r="K88" s="496"/>
      <c r="L88" s="496"/>
      <c r="M88" s="4"/>
      <c r="N88" s="4"/>
      <c r="O88" s="4"/>
      <c r="P88" s="4"/>
      <c r="R88" s="727">
        <f t="shared" si="44"/>
        <v>0</v>
      </c>
      <c r="T88" s="727">
        <f t="shared" si="45"/>
        <v>0</v>
      </c>
      <c r="V88">
        <f t="shared" si="46"/>
        <v>0</v>
      </c>
      <c r="Y88"/>
      <c r="Z88"/>
      <c r="AO88" s="1">
        <f>SUM(N88:AN88)</f>
        <v>0</v>
      </c>
      <c r="BL88" s="1">
        <f>SUM(AI88:BK88)</f>
        <v>0</v>
      </c>
      <c r="BW88" s="242"/>
      <c r="BX88" s="242"/>
      <c r="CY88"/>
      <c r="CZ88"/>
    </row>
    <row r="89" spans="1:104" hidden="1">
      <c r="A89" s="483"/>
      <c r="B89" s="483"/>
      <c r="C89" s="483"/>
      <c r="D89" s="483"/>
      <c r="E89" s="483"/>
      <c r="F89" s="483" t="s">
        <v>202</v>
      </c>
      <c r="G89" s="483">
        <f>COUNTIFS($B$14:$B$42,"fr",[0]!Februar,"Skema 4")</f>
        <v>0</v>
      </c>
      <c r="H89" s="483"/>
      <c r="I89" s="483"/>
      <c r="J89" s="486"/>
      <c r="K89" s="486"/>
      <c r="L89" s="38"/>
      <c r="R89" s="727">
        <f t="shared" si="44"/>
        <v>0</v>
      </c>
      <c r="T89" s="727">
        <f t="shared" si="45"/>
        <v>0</v>
      </c>
      <c r="V89">
        <f t="shared" si="46"/>
        <v>0</v>
      </c>
      <c r="Y89"/>
      <c r="Z89"/>
      <c r="AO89" s="1">
        <f>SUM(N89:AN89)</f>
        <v>0</v>
      </c>
      <c r="BL89" s="1">
        <f>SUM(AI89:BK89)</f>
        <v>0</v>
      </c>
      <c r="BW89" s="242"/>
      <c r="BX89" s="242"/>
      <c r="CY89"/>
      <c r="CZ89"/>
    </row>
    <row r="90" spans="1:104" hidden="1">
      <c r="A90" s="483">
        <f>SUM(A85:A89)</f>
        <v>0</v>
      </c>
      <c r="B90" s="483"/>
      <c r="C90" s="483"/>
      <c r="D90" s="483"/>
      <c r="E90" s="483"/>
      <c r="F90" s="483"/>
      <c r="G90" s="488">
        <f>SUM(G67:G89)</f>
        <v>14</v>
      </c>
      <c r="H90" s="486"/>
      <c r="I90" s="483"/>
      <c r="J90" s="486"/>
      <c r="K90" s="486"/>
      <c r="L90" s="38"/>
      <c r="R90" s="727">
        <f t="shared" si="44"/>
        <v>0</v>
      </c>
      <c r="T90" s="727">
        <f t="shared" si="45"/>
        <v>0</v>
      </c>
      <c r="V90">
        <f t="shared" si="46"/>
        <v>0</v>
      </c>
      <c r="Y90"/>
      <c r="Z90"/>
      <c r="AO90" s="1">
        <f>SUM(N90:AN90)</f>
        <v>0</v>
      </c>
      <c r="BL90" s="1">
        <f>SUM(AI90:BK90)</f>
        <v>0</v>
      </c>
      <c r="BW90" s="242"/>
      <c r="BX90" s="242"/>
      <c r="CY90"/>
      <c r="CZ90"/>
    </row>
    <row r="91" spans="1:104" hidden="1">
      <c r="A91" s="486"/>
      <c r="B91" s="486"/>
      <c r="C91" s="486"/>
      <c r="D91" s="486"/>
      <c r="E91" s="483"/>
      <c r="F91" s="483"/>
      <c r="G91" s="483"/>
      <c r="H91" s="38"/>
      <c r="I91" s="486"/>
      <c r="J91" s="486"/>
      <c r="K91" s="486"/>
      <c r="L91" s="38"/>
      <c r="R91" s="727">
        <f t="shared" si="44"/>
        <v>0</v>
      </c>
      <c r="T91" s="727">
        <f t="shared" si="45"/>
        <v>0</v>
      </c>
      <c r="V91">
        <f t="shared" si="46"/>
        <v>0</v>
      </c>
      <c r="Y91"/>
      <c r="Z91"/>
      <c r="AO91" s="1">
        <f>SUM(N91:AN91)</f>
        <v>0</v>
      </c>
      <c r="BL91" s="1">
        <f>SUM(AI91:BK91)</f>
        <v>0</v>
      </c>
      <c r="BW91" s="242"/>
      <c r="BX91" s="242"/>
      <c r="CY91"/>
      <c r="CZ91"/>
    </row>
    <row r="92" spans="1:104" hidden="1">
      <c r="A92" s="486"/>
      <c r="B92" s="486"/>
      <c r="C92" s="486"/>
      <c r="D92" s="486"/>
      <c r="E92" s="483"/>
      <c r="F92" s="483"/>
      <c r="G92" s="483"/>
      <c r="H92" s="38"/>
      <c r="I92" s="38"/>
      <c r="J92" s="486"/>
      <c r="K92" s="486"/>
      <c r="L92" s="38"/>
      <c r="R92" s="727">
        <f t="shared" si="44"/>
        <v>0</v>
      </c>
      <c r="T92" s="727">
        <f t="shared" si="45"/>
        <v>0</v>
      </c>
      <c r="V92">
        <f t="shared" si="46"/>
        <v>0</v>
      </c>
      <c r="Y92"/>
      <c r="Z92"/>
      <c r="BW92" s="242"/>
      <c r="BX92" s="242"/>
      <c r="CY92"/>
      <c r="CZ92"/>
    </row>
    <row r="93" spans="1:104" hidden="1">
      <c r="A93" s="486"/>
      <c r="B93" s="486"/>
      <c r="C93" s="486"/>
      <c r="D93" s="486"/>
      <c r="E93" s="483"/>
      <c r="F93" s="483"/>
      <c r="G93" s="483"/>
      <c r="H93" s="38"/>
      <c r="I93" s="38"/>
      <c r="J93" s="38"/>
      <c r="K93" s="38"/>
      <c r="L93" s="38"/>
      <c r="R93" s="727">
        <f t="shared" si="44"/>
        <v>0</v>
      </c>
      <c r="T93" s="727">
        <f t="shared" si="45"/>
        <v>0</v>
      </c>
      <c r="V93">
        <f t="shared" si="46"/>
        <v>0</v>
      </c>
      <c r="Y93"/>
      <c r="Z93"/>
      <c r="BW93" s="242"/>
      <c r="BX93" s="242"/>
      <c r="CY93"/>
      <c r="CZ93"/>
    </row>
    <row r="94" spans="1:104" hidden="1">
      <c r="A94" s="486"/>
      <c r="B94" s="486"/>
      <c r="C94" s="486"/>
      <c r="D94" s="486"/>
      <c r="E94" s="483"/>
      <c r="F94" s="483"/>
      <c r="G94" s="483"/>
      <c r="H94" s="38"/>
      <c r="I94" s="38"/>
      <c r="J94" s="38"/>
      <c r="K94" s="38"/>
      <c r="L94" s="38"/>
      <c r="R94" s="727">
        <f t="shared" si="44"/>
        <v>0</v>
      </c>
      <c r="T94" s="727">
        <f t="shared" si="45"/>
        <v>0</v>
      </c>
      <c r="V94">
        <f t="shared" si="46"/>
        <v>0</v>
      </c>
      <c r="Y94"/>
      <c r="Z94"/>
      <c r="BW94" s="242"/>
      <c r="BX94" s="242"/>
      <c r="CY94"/>
      <c r="CZ94"/>
    </row>
    <row r="95" spans="1:104" hidden="1">
      <c r="A95" s="486"/>
      <c r="B95" s="486"/>
      <c r="C95" s="486"/>
      <c r="D95" s="486"/>
      <c r="E95" s="483"/>
      <c r="F95" s="483"/>
      <c r="G95" s="483"/>
      <c r="I95" s="38"/>
      <c r="J95" s="38"/>
      <c r="K95" s="38"/>
      <c r="L95" s="38"/>
      <c r="R95" s="727">
        <f t="shared" si="44"/>
        <v>0</v>
      </c>
      <c r="T95" s="727">
        <f t="shared" si="45"/>
        <v>0</v>
      </c>
      <c r="V95">
        <f t="shared" si="46"/>
        <v>0</v>
      </c>
      <c r="Y95"/>
      <c r="Z95"/>
      <c r="BW95" s="242"/>
      <c r="BX95" s="242"/>
      <c r="CY95"/>
      <c r="CZ95"/>
    </row>
    <row r="96" spans="1:104" hidden="1">
      <c r="A96" s="486"/>
      <c r="B96" s="486"/>
      <c r="C96" s="486"/>
      <c r="D96" s="486"/>
      <c r="E96" s="483"/>
      <c r="F96" s="483"/>
      <c r="G96" s="483"/>
      <c r="I96" s="38"/>
      <c r="J96" s="38"/>
      <c r="K96" s="38"/>
      <c r="L96" s="38"/>
      <c r="R96" s="727">
        <f t="shared" si="44"/>
        <v>0</v>
      </c>
      <c r="T96" s="727">
        <f t="shared" si="45"/>
        <v>0</v>
      </c>
      <c r="V96">
        <f t="shared" si="46"/>
        <v>0</v>
      </c>
      <c r="Y96"/>
      <c r="Z96"/>
      <c r="BW96" s="242"/>
      <c r="BX96" s="242"/>
      <c r="CY96"/>
      <c r="CZ96"/>
    </row>
    <row r="97" spans="1:111" hidden="1">
      <c r="A97" s="486"/>
      <c r="B97" s="486"/>
      <c r="C97" s="486"/>
      <c r="D97" s="486"/>
      <c r="E97" s="483"/>
      <c r="F97" s="483"/>
      <c r="G97" s="483"/>
      <c r="I97" s="38"/>
      <c r="J97" s="38"/>
      <c r="K97" s="38"/>
      <c r="L97" s="38"/>
      <c r="R97" s="727">
        <f t="shared" si="44"/>
        <v>0</v>
      </c>
      <c r="T97" s="727">
        <f t="shared" si="45"/>
        <v>0</v>
      </c>
      <c r="V97">
        <f t="shared" si="46"/>
        <v>0</v>
      </c>
      <c r="Y97"/>
      <c r="Z97"/>
      <c r="AD97" s="4"/>
      <c r="AE97" s="226"/>
      <c r="AF97" s="226"/>
      <c r="AG97" s="226"/>
      <c r="AH97" s="226"/>
      <c r="CY97"/>
      <c r="CZ97"/>
      <c r="DF97" s="242"/>
      <c r="DG97" s="242"/>
    </row>
    <row r="98" spans="1:111" hidden="1">
      <c r="A98" s="486"/>
      <c r="B98" s="486"/>
      <c r="C98" s="486"/>
      <c r="D98" s="486"/>
      <c r="E98" s="483"/>
      <c r="F98" s="483"/>
      <c r="G98" s="483"/>
      <c r="I98" s="38"/>
      <c r="J98" s="38"/>
      <c r="K98" s="38"/>
      <c r="L98" s="38"/>
      <c r="R98" s="727">
        <f t="shared" si="44"/>
        <v>0</v>
      </c>
      <c r="T98" s="727">
        <f t="shared" si="45"/>
        <v>0</v>
      </c>
      <c r="V98">
        <f t="shared" si="46"/>
        <v>0</v>
      </c>
      <c r="Y98"/>
      <c r="Z98"/>
      <c r="AD98" s="4"/>
      <c r="AE98" s="226"/>
      <c r="AF98" s="226"/>
      <c r="AG98" s="226"/>
      <c r="AH98" s="226"/>
      <c r="CY98"/>
      <c r="CZ98"/>
      <c r="DF98" s="242"/>
      <c r="DG98" s="242"/>
    </row>
    <row r="99" spans="1:111" hidden="1">
      <c r="A99" s="486"/>
      <c r="B99" s="486"/>
      <c r="C99" s="486"/>
      <c r="D99" s="486"/>
      <c r="E99" s="483"/>
      <c r="F99" s="483"/>
      <c r="G99" s="483"/>
      <c r="I99" s="38"/>
      <c r="J99" s="38"/>
      <c r="K99" s="38"/>
      <c r="L99" s="38"/>
      <c r="R99" s="727">
        <f t="shared" si="44"/>
        <v>0</v>
      </c>
      <c r="T99" s="727">
        <f t="shared" si="45"/>
        <v>0</v>
      </c>
      <c r="V99">
        <f t="shared" si="46"/>
        <v>0</v>
      </c>
      <c r="Y99"/>
      <c r="Z99"/>
    </row>
    <row r="100" spans="1:111" hidden="1">
      <c r="A100" s="486"/>
      <c r="B100" s="486"/>
      <c r="C100" s="486"/>
      <c r="D100" s="486"/>
      <c r="E100" s="483"/>
      <c r="F100" s="483"/>
      <c r="G100" s="483"/>
      <c r="I100" s="38"/>
      <c r="J100" s="38"/>
      <c r="K100" s="38"/>
      <c r="L100" s="38"/>
      <c r="R100" s="727">
        <f t="shared" si="44"/>
        <v>0</v>
      </c>
      <c r="T100" s="727">
        <f t="shared" si="45"/>
        <v>0</v>
      </c>
      <c r="V100">
        <f t="shared" si="46"/>
        <v>0</v>
      </c>
    </row>
    <row r="101" spans="1:111" hidden="1">
      <c r="A101" s="486"/>
      <c r="B101" s="486"/>
      <c r="C101" s="486"/>
      <c r="D101" s="486"/>
      <c r="E101" s="486"/>
      <c r="F101" s="486"/>
      <c r="G101" s="486"/>
      <c r="I101" s="38"/>
      <c r="J101" s="38"/>
      <c r="K101" s="38"/>
      <c r="L101" s="38"/>
      <c r="R101" s="727">
        <f t="shared" si="44"/>
        <v>0</v>
      </c>
      <c r="T101" s="727">
        <f t="shared" si="45"/>
        <v>0</v>
      </c>
      <c r="V101">
        <f t="shared" si="46"/>
        <v>0</v>
      </c>
    </row>
    <row r="102" spans="1:111" hidden="1">
      <c r="I102" s="38"/>
      <c r="J102" s="38"/>
      <c r="K102" s="38"/>
      <c r="L102" s="38"/>
      <c r="R102" s="727">
        <f t="shared" si="44"/>
        <v>0</v>
      </c>
      <c r="T102" s="727">
        <f t="shared" si="45"/>
        <v>0</v>
      </c>
      <c r="V102">
        <f t="shared" si="46"/>
        <v>0</v>
      </c>
    </row>
    <row r="103" spans="1:111" hidden="1">
      <c r="I103" s="38"/>
      <c r="J103" s="38"/>
      <c r="K103" s="38"/>
      <c r="L103" s="432"/>
      <c r="R103" s="727">
        <f t="shared" si="44"/>
        <v>0</v>
      </c>
      <c r="T103" s="727">
        <f t="shared" si="45"/>
        <v>0</v>
      </c>
      <c r="V103">
        <f t="shared" si="46"/>
        <v>0</v>
      </c>
    </row>
    <row r="104" spans="1:111" hidden="1">
      <c r="I104" s="38"/>
      <c r="J104" s="38"/>
      <c r="K104" s="38"/>
      <c r="L104" s="432"/>
      <c r="R104" s="727">
        <f t="shared" si="44"/>
        <v>0</v>
      </c>
      <c r="T104" s="727">
        <f t="shared" si="45"/>
        <v>0</v>
      </c>
      <c r="V104">
        <f t="shared" si="46"/>
        <v>0</v>
      </c>
    </row>
    <row r="105" spans="1:111" hidden="1">
      <c r="I105" s="38"/>
      <c r="J105" s="38"/>
      <c r="K105" s="38"/>
      <c r="L105" s="432"/>
      <c r="R105" s="727">
        <f t="shared" si="44"/>
        <v>0</v>
      </c>
      <c r="T105" s="727">
        <f t="shared" si="45"/>
        <v>0</v>
      </c>
      <c r="V105">
        <f t="shared" si="46"/>
        <v>0</v>
      </c>
    </row>
    <row r="106" spans="1:111" hidden="1">
      <c r="I106" s="432"/>
      <c r="J106" s="38"/>
      <c r="K106" s="38"/>
      <c r="L106" s="432"/>
      <c r="R106" s="727"/>
      <c r="T106" s="727"/>
    </row>
    <row r="107" spans="1:111" ht="17" hidden="1" thickBot="1">
      <c r="I107" s="432"/>
      <c r="J107" s="432"/>
      <c r="K107" s="432"/>
      <c r="L107" s="432"/>
      <c r="R107" s="727"/>
      <c r="T107" s="727"/>
    </row>
    <row r="108" spans="1:111" ht="17" hidden="1" thickBot="1">
      <c r="I108" s="432"/>
      <c r="J108" s="432"/>
      <c r="K108" s="432"/>
      <c r="L108" s="432"/>
      <c r="P108" t="s">
        <v>664</v>
      </c>
      <c r="R108" s="669">
        <f>SUM(R78:R107)</f>
        <v>0</v>
      </c>
      <c r="S108" s="669">
        <f>SUM(S78:S107)</f>
        <v>0</v>
      </c>
      <c r="T108" s="669">
        <f>SUM(T78:T107)</f>
        <v>0</v>
      </c>
      <c r="V108" s="669">
        <f>SUM(V78:V107)</f>
        <v>0</v>
      </c>
    </row>
    <row r="109" spans="1:111" hidden="1">
      <c r="I109" s="432"/>
      <c r="J109" s="432"/>
      <c r="K109" s="432"/>
      <c r="L109" s="432"/>
      <c r="R109" s="1030" t="s">
        <v>666</v>
      </c>
      <c r="T109" s="1030" t="s">
        <v>667</v>
      </c>
    </row>
    <row r="110" spans="1:111" hidden="1">
      <c r="I110" s="432"/>
      <c r="J110" s="432"/>
      <c r="K110" s="432"/>
      <c r="L110" s="432"/>
      <c r="R110" s="884"/>
      <c r="T110" s="884"/>
    </row>
    <row r="111" spans="1:111" hidden="1">
      <c r="R111" s="884"/>
      <c r="T111" s="884"/>
    </row>
    <row r="112" spans="1:111" hidden="1">
      <c r="R112" s="884"/>
      <c r="T112" s="884"/>
    </row>
    <row r="113" hidden="1"/>
    <row r="114" hidden="1"/>
    <row r="115" hidden="1"/>
    <row r="116" hidden="1"/>
    <row r="117" hidden="1"/>
    <row r="118" hidden="1"/>
    <row r="119" hidden="1"/>
  </sheetData>
  <sheetProtection sheet="1" objects="1" scenarios="1"/>
  <mergeCells count="197">
    <mergeCell ref="I57:K57"/>
    <mergeCell ref="A58:G58"/>
    <mergeCell ref="I58:K58"/>
    <mergeCell ref="A53:H53"/>
    <mergeCell ref="M45:X45"/>
    <mergeCell ref="M46:U46"/>
    <mergeCell ref="V46:X46"/>
    <mergeCell ref="M47:U47"/>
    <mergeCell ref="V47:X47"/>
    <mergeCell ref="M48:U48"/>
    <mergeCell ref="V48:X48"/>
    <mergeCell ref="M49:U49"/>
    <mergeCell ref="V49:X49"/>
    <mergeCell ref="A48:G48"/>
    <mergeCell ref="I48:K48"/>
    <mergeCell ref="A49:G49"/>
    <mergeCell ref="I49:K49"/>
    <mergeCell ref="A46:G46"/>
    <mergeCell ref="I46:K46"/>
    <mergeCell ref="A47:G47"/>
    <mergeCell ref="I47:K47"/>
    <mergeCell ref="I50:K50"/>
    <mergeCell ref="A70:C70"/>
    <mergeCell ref="A68:C68"/>
    <mergeCell ref="A59:K59"/>
    <mergeCell ref="A60:B60"/>
    <mergeCell ref="C60:D60"/>
    <mergeCell ref="E60:G60"/>
    <mergeCell ref="H60:K60"/>
    <mergeCell ref="A61:B61"/>
    <mergeCell ref="C61:D61"/>
    <mergeCell ref="E61:G61"/>
    <mergeCell ref="I61:K61"/>
    <mergeCell ref="A62:B62"/>
    <mergeCell ref="C62:D62"/>
    <mergeCell ref="E62:G62"/>
    <mergeCell ref="I62:K62"/>
    <mergeCell ref="A63:B63"/>
    <mergeCell ref="A69:C69"/>
    <mergeCell ref="C63:D63"/>
    <mergeCell ref="E63:G63"/>
    <mergeCell ref="I63:K63"/>
    <mergeCell ref="A65:G65"/>
    <mergeCell ref="I65:K65"/>
    <mergeCell ref="A64:B64"/>
    <mergeCell ref="C64:D64"/>
    <mergeCell ref="E64:G64"/>
    <mergeCell ref="I64:K64"/>
    <mergeCell ref="I52:K52"/>
    <mergeCell ref="M55:U55"/>
    <mergeCell ref="M50:X50"/>
    <mergeCell ref="M51:U51"/>
    <mergeCell ref="V51:X51"/>
    <mergeCell ref="M52:U52"/>
    <mergeCell ref="V52:X52"/>
    <mergeCell ref="M53:U53"/>
    <mergeCell ref="V53:X53"/>
    <mergeCell ref="M54:U54"/>
    <mergeCell ref="V54:X54"/>
    <mergeCell ref="I53:K53"/>
    <mergeCell ref="I54:K54"/>
    <mergeCell ref="A50:G50"/>
    <mergeCell ref="A52:H52"/>
    <mergeCell ref="V55:X55"/>
    <mergeCell ref="A56:G57"/>
    <mergeCell ref="I56:K56"/>
    <mergeCell ref="M56:U56"/>
    <mergeCell ref="V56:X56"/>
    <mergeCell ref="A51:H51"/>
    <mergeCell ref="I51:K51"/>
    <mergeCell ref="E41:G41"/>
    <mergeCell ref="A43:I43"/>
    <mergeCell ref="A45:G45"/>
    <mergeCell ref="I45:K45"/>
    <mergeCell ref="E34:G34"/>
    <mergeCell ref="E35:G35"/>
    <mergeCell ref="E36:G36"/>
    <mergeCell ref="E38:G38"/>
    <mergeCell ref="E39:G39"/>
    <mergeCell ref="E40:G40"/>
    <mergeCell ref="E37:G37"/>
    <mergeCell ref="E42:G42"/>
    <mergeCell ref="E28:G28"/>
    <mergeCell ref="E29:G29"/>
    <mergeCell ref="E30:G30"/>
    <mergeCell ref="E31:G31"/>
    <mergeCell ref="E32:G32"/>
    <mergeCell ref="E33:G33"/>
    <mergeCell ref="E22:G22"/>
    <mergeCell ref="E23:G23"/>
    <mergeCell ref="E24:G24"/>
    <mergeCell ref="E25:G25"/>
    <mergeCell ref="E26:G26"/>
    <mergeCell ref="E27:G27"/>
    <mergeCell ref="E19:G19"/>
    <mergeCell ref="E20:G20"/>
    <mergeCell ref="E21:G21"/>
    <mergeCell ref="DA11:DE11"/>
    <mergeCell ref="A12:D13"/>
    <mergeCell ref="H12:H13"/>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P11:P12"/>
    <mergeCell ref="V13:X13"/>
    <mergeCell ref="E16:G16"/>
    <mergeCell ref="E17:G17"/>
    <mergeCell ref="E18:G18"/>
    <mergeCell ref="I11:I13"/>
    <mergeCell ref="J11:J13"/>
    <mergeCell ref="EE11:EH11"/>
    <mergeCell ref="EI11:EL11"/>
    <mergeCell ref="EM11:EP11"/>
    <mergeCell ref="EQ11:ET11"/>
    <mergeCell ref="S10:X10"/>
    <mergeCell ref="S11:X11"/>
    <mergeCell ref="S13:U13"/>
    <mergeCell ref="DS13:DV13"/>
    <mergeCell ref="K13:R13"/>
    <mergeCell ref="B2:E2"/>
    <mergeCell ref="E9:G9"/>
    <mergeCell ref="K9:L9"/>
    <mergeCell ref="A10:R10"/>
    <mergeCell ref="A9:D9"/>
    <mergeCell ref="E11:G13"/>
    <mergeCell ref="K11:L11"/>
    <mergeCell ref="N11:N12"/>
    <mergeCell ref="O11:O12"/>
    <mergeCell ref="A3:H3"/>
    <mergeCell ref="A4:B4"/>
    <mergeCell ref="C4:D4"/>
    <mergeCell ref="E4:F4"/>
    <mergeCell ref="G4:H4"/>
    <mergeCell ref="I4:J4"/>
    <mergeCell ref="A5:B5"/>
    <mergeCell ref="C5:D5"/>
    <mergeCell ref="E5:F5"/>
    <mergeCell ref="G5:H5"/>
    <mergeCell ref="A7:B7"/>
    <mergeCell ref="C7:D7"/>
    <mergeCell ref="E7:F7"/>
    <mergeCell ref="G7:H7"/>
    <mergeCell ref="A6:B6"/>
    <mergeCell ref="C6:D6"/>
    <mergeCell ref="E6:F6"/>
    <mergeCell ref="G6:H6"/>
    <mergeCell ref="FI8:GC8"/>
    <mergeCell ref="FI9:FL9"/>
    <mergeCell ref="FO9:FR9"/>
    <mergeCell ref="DO11:DV11"/>
    <mergeCell ref="FO11:FR11"/>
    <mergeCell ref="FS11:FT11"/>
    <mergeCell ref="GB11:GC11"/>
    <mergeCell ref="FC10:FF10"/>
    <mergeCell ref="FG10:FJ10"/>
    <mergeCell ref="FK10:FX10"/>
    <mergeCell ref="DW11:ED11"/>
    <mergeCell ref="A8:X8"/>
    <mergeCell ref="Q11:Q12"/>
    <mergeCell ref="R11:R12"/>
    <mergeCell ref="AA11:AE11"/>
    <mergeCell ref="AG11:AK11"/>
    <mergeCell ref="R109:R112"/>
    <mergeCell ref="T109:T112"/>
    <mergeCell ref="GH11:GI11"/>
    <mergeCell ref="EA13:EC13"/>
    <mergeCell ref="EG13:EH13"/>
    <mergeCell ref="EK13:EL13"/>
    <mergeCell ref="EO13:EP13"/>
    <mergeCell ref="ES13:ET13"/>
    <mergeCell ref="EW13:EX13"/>
    <mergeCell ref="FA13:FB13"/>
    <mergeCell ref="FE13:FF13"/>
    <mergeCell ref="FI13:FJ13"/>
    <mergeCell ref="FM13:FN13"/>
    <mergeCell ref="FW13:FX13"/>
    <mergeCell ref="EU11:EX11"/>
    <mergeCell ref="EY11:FB11"/>
    <mergeCell ref="FC11:FF11"/>
    <mergeCell ref="FG11:FJ11"/>
    <mergeCell ref="FK11:FN11"/>
    <mergeCell ref="FU11:FX11"/>
    <mergeCell ref="FY11:FZ11"/>
    <mergeCell ref="GD11:GE11"/>
    <mergeCell ref="GF11:GG11"/>
    <mergeCell ref="FQ13:FR13"/>
  </mergeCells>
  <phoneticPr fontId="5" type="noConversion"/>
  <conditionalFormatting sqref="A14:H14 D15:H36 A15:C42 D37:E37 H37 D38:H42">
    <cfRule type="expression" dxfId="631" priority="47" stopIfTrue="1">
      <formula>OR($C14="Orlov")</formula>
    </cfRule>
    <cfRule type="expression" dxfId="630" priority="41">
      <formula>OR($C14="ekskursion")</formula>
    </cfRule>
    <cfRule type="expression" dxfId="629" priority="34">
      <formula>OR($C14="skema 2")</formula>
    </cfRule>
    <cfRule type="expression" dxfId="628" priority="35">
      <formula>OR($C14="Skema 3")</formula>
    </cfRule>
    <cfRule type="expression" dxfId="627" priority="36">
      <formula>OR($C14="Skema 4")</formula>
    </cfRule>
    <cfRule type="expression" dxfId="626" priority="37">
      <formula>OR($C14="Ikke relevant")</formula>
    </cfRule>
    <cfRule type="expression" dxfId="625" priority="38">
      <formula>OR($C14="pæd.dag")</formula>
    </cfRule>
    <cfRule type="expression" dxfId="624" priority="39">
      <formula>OR($C14="nul-dag")</formula>
    </cfRule>
    <cfRule type="expression" dxfId="623" priority="40">
      <formula>OR($C14="SH-dag")</formula>
    </cfRule>
    <cfRule type="expression" dxfId="622" priority="46">
      <formula>OR($C14="weekend")</formula>
    </cfRule>
    <cfRule type="expression" dxfId="621" priority="45">
      <formula>OR($C14="feriedag")</formula>
    </cfRule>
    <cfRule type="expression" dxfId="620" priority="44">
      <formula>OR($C14="fagdag")</formula>
    </cfRule>
    <cfRule type="expression" dxfId="619" priority="43">
      <formula>OR($C14="emnedag")</formula>
    </cfRule>
    <cfRule type="expression" dxfId="618" priority="33">
      <formula>OR($C14="Skema 1")</formula>
    </cfRule>
    <cfRule type="expression" dxfId="617" priority="42">
      <formula>OR($C14="lejrskole")</formula>
    </cfRule>
  </conditionalFormatting>
  <conditionalFormatting sqref="E25">
    <cfRule type="expression" dxfId="616" priority="54">
      <formula>OR($D24="fagdag")</formula>
    </cfRule>
    <cfRule type="expression" dxfId="615" priority="51">
      <formula>OR($D24="ekskursion")</formula>
    </cfRule>
    <cfRule type="expression" dxfId="614" priority="50">
      <formula>OR($D24="SH-dag")</formula>
    </cfRule>
    <cfRule type="expression" dxfId="613" priority="49">
      <formula>OR($D24="nul-dag")</formula>
    </cfRule>
    <cfRule type="expression" dxfId="612" priority="52">
      <formula>OR($D24="lejrskole")</formula>
    </cfRule>
    <cfRule type="expression" dxfId="611" priority="53">
      <formula>OR($D24="emnedag")</formula>
    </cfRule>
    <cfRule type="expression" dxfId="610" priority="55">
      <formula>OR($D24="feriedag")</formula>
    </cfRule>
    <cfRule type="expression" dxfId="609" priority="56">
      <formula>OR($D24="weekend")</formula>
    </cfRule>
    <cfRule type="expression" dxfId="608" priority="57" stopIfTrue="1">
      <formula>OR($D24="skoledag")</formula>
    </cfRule>
    <cfRule type="expression" dxfId="607" priority="58">
      <formula>OR($D24="Ikke relevant")</formula>
    </cfRule>
    <cfRule type="expression" dxfId="606" priority="48">
      <formula>OR($D24="pæd.dag")</formula>
    </cfRule>
  </conditionalFormatting>
  <conditionalFormatting sqref="H61:H64">
    <cfRule type="expression" dxfId="605" priority="1">
      <formula>OR($A61&gt;0,)</formula>
    </cfRule>
  </conditionalFormatting>
  <conditionalFormatting sqref="I61:I64">
    <cfRule type="expression" dxfId="604" priority="2">
      <formula>OR($C61&gt;0,)</formula>
    </cfRule>
  </conditionalFormatting>
  <conditionalFormatting sqref="K14:K42">
    <cfRule type="expression" dxfId="603" priority="30">
      <formula>OR($C14="Pæd.dag",)</formula>
    </cfRule>
  </conditionalFormatting>
  <conditionalFormatting sqref="K14:L42">
    <cfRule type="expression" dxfId="602" priority="32">
      <formula>OR($C14="Ekskursion",)</formula>
    </cfRule>
    <cfRule type="expression" dxfId="601" priority="31">
      <formula>OR($C14="Lejrskole",)</formula>
    </cfRule>
  </conditionalFormatting>
  <conditionalFormatting sqref="K14:M42">
    <cfRule type="expression" dxfId="600" priority="29">
      <formula>OR($C14="emnedag",)</formula>
    </cfRule>
    <cfRule type="expression" dxfId="599" priority="28">
      <formula>OR($C14="fagdag",)</formula>
    </cfRule>
  </conditionalFormatting>
  <conditionalFormatting sqref="R14:R42">
    <cfRule type="expression" dxfId="598" priority="59">
      <formula>OR($H14&gt;"0",)</formula>
    </cfRule>
  </conditionalFormatting>
  <conditionalFormatting sqref="V14:V42">
    <cfRule type="expression" dxfId="597" priority="10">
      <formula>OR($S14="X",)</formula>
    </cfRule>
  </conditionalFormatting>
  <conditionalFormatting sqref="V52:X55">
    <cfRule type="expression" dxfId="596" priority="3">
      <formula>OR($M52&gt;0,)</formula>
    </cfRule>
  </conditionalFormatting>
  <conditionalFormatting sqref="W14:W42">
    <cfRule type="expression" dxfId="595" priority="8">
      <formula>OR($T14="x",)</formula>
    </cfRule>
  </conditionalFormatting>
  <conditionalFormatting sqref="X14:X42">
    <cfRule type="expression" dxfId="594" priority="9">
      <formula>OR($U14="X",)</formula>
    </cfRule>
  </conditionalFormatting>
  <dataValidations count="2">
    <dataValidation type="list" allowBlank="1" showInputMessage="1" showErrorMessage="1" sqref="S14:U43 A61:D64" xr:uid="{CCDC5417-EBBC-2A45-8AED-7B140D5306A6}">
      <formula1>$W$1:$W$2</formula1>
    </dataValidation>
    <dataValidation type="list" allowBlank="1" showInputMessage="1" showErrorMessage="1" promptTitle="OBS:" prompt="Ved arrangementer med overnatning ydes istedet for ulempe- og weekendgodtgørelse på hhv. 25% og 50% faste tillæg pr. påbegyndt dag. " sqref="J42" xr:uid="{DC11B7B6-EE68-8E49-8E02-43780E361383}">
      <formula1>$W$1:$W$2</formula1>
    </dataValidation>
  </dataValidations>
  <hyperlinks>
    <hyperlink ref="E4:F4" location="Arbejdstidsoversigt!A19" display="Arbejdstids-oversigt" xr:uid="{C063D2FC-B9B8-D34F-9C8E-18983D4EE070}"/>
    <hyperlink ref="G4:H4" location="Opgørelse!B12" display="Opgørelse" xr:uid="{AE9AFD33-BF22-BD43-B462-418E728BD933}"/>
    <hyperlink ref="A5:B5" location="August!A12" display="August" xr:uid="{2B64235E-010C-6D48-A83E-0FEB9522202B}"/>
    <hyperlink ref="C5:D5" location="September!A8" display="September" xr:uid="{7D065EE2-01DD-2249-BAAA-972C3464572B}"/>
    <hyperlink ref="E5:F5" location="Oktober!A8" display="Oktober" xr:uid="{19CA09B3-C15B-774F-9E0D-C580C8C041D1}"/>
    <hyperlink ref="G5:H5" location="November!A8" display="November" xr:uid="{FD692A6D-BEFA-E641-9F90-3B302B40CD2D}"/>
    <hyperlink ref="A6:B6" location="December!A8" display="December" xr:uid="{EF05A6EC-7326-444E-A75A-D11CC94FA751}"/>
    <hyperlink ref="C6:D6" location="Januar!A8" display="Januar" xr:uid="{C23B5610-C9A1-C64E-A1A9-D23D3D286299}"/>
    <hyperlink ref="E6:F6" location="Februar!A8" display="Februar" xr:uid="{474AFA2C-5103-1245-94B2-835A925818F8}"/>
    <hyperlink ref="A7:B7" location="April!A8" display="April" xr:uid="{45B33A79-60C4-714C-922C-3A12679457F7}"/>
    <hyperlink ref="C7:D7" location="Maj!A8" display="Maj" xr:uid="{F3D73420-C7EF-EA43-9597-EBE0FEF8CC87}"/>
    <hyperlink ref="E7:F7" location="Juni!A8" display="Juni" xr:uid="{D31A1822-FC50-5849-BD5F-F9FB325B158C}"/>
    <hyperlink ref="G7:H7" location="Juli!A8" display="Juli" xr:uid="{2353E176-B3DF-3D40-9EFD-67EC265B8A18}"/>
    <hyperlink ref="G6:H6" location="Marts!A8" display="Marts" xr:uid="{F0175B73-4352-BD46-BED2-5C64EF14E8FB}"/>
    <hyperlink ref="I4:J4" location="Stamoplysninger!E18" display="Stamoplysninger" xr:uid="{4844F98D-3876-5B43-A717-FFA29304FD70}"/>
    <hyperlink ref="C4:D4" location="Opgaver!A8" display="Opgaver" xr:uid="{7635D984-28FF-C64F-A460-213F3204FD58}"/>
    <hyperlink ref="A4:B4" location="Skemaoplysninger!A20" display="Skemaoplysninger" xr:uid="{C219AC2B-3C50-0A4E-842A-58ED829EE46D}"/>
  </hyperlinks>
  <pageMargins left="0.7" right="0.7" top="0.75" bottom="0.75" header="0.3" footer="0.3"/>
  <pageSetup paperSize="9" scale="59" orientation="landscape" horizontalDpi="0" verticalDpi="0"/>
  <drawing r:id="rId1"/>
  <legacyDrawing r:id="rId2"/>
  <extLst>
    <ext xmlns:x14="http://schemas.microsoft.com/office/spreadsheetml/2009/9/main" uri="{CCE6A557-97BC-4b89-ADB6-D9C93CAAB3DF}">
      <x14:dataValidations xmlns:xm="http://schemas.microsoft.com/office/excel/2006/main" count="1">
        <x14:dataValidation type="list" allowBlank="1" showInputMessage="1" xr:uid="{0F761ACF-C47A-7941-B1E3-D6106BAB2CE1}">
          <x14:formula1>
            <xm:f>August!$A$94:$A$108</xm:f>
          </x14:formula1>
          <xm:sqref>C14:C42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9E450-DFF4-1A4A-81A3-EBD61589D042}">
  <sheetPr>
    <tabColor theme="4" tint="-0.249977111117893"/>
    <pageSetUpPr fitToPage="1"/>
  </sheetPr>
  <dimension ref="A1:GP121"/>
  <sheetViews>
    <sheetView topLeftCell="A12" zoomScale="87" workbookViewId="0">
      <selection activeCell="E28" sqref="E28:G28"/>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5" width="10.83203125" hidden="1" customWidth="1"/>
    <col min="186" max="260"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38"/>
      <c r="Y1" s="240"/>
      <c r="Z1" s="87"/>
      <c r="AB1" s="87"/>
      <c r="AC1" s="87"/>
      <c r="AH1" s="87"/>
      <c r="AI1" s="87"/>
      <c r="CX1" s="242"/>
      <c r="CZ1"/>
    </row>
    <row r="2" spans="1:198" ht="20">
      <c r="A2" s="89">
        <v>3</v>
      </c>
      <c r="B2" s="1252"/>
      <c r="C2" s="1252"/>
      <c r="D2" s="1252"/>
      <c r="E2" s="1252"/>
      <c r="F2" s="87"/>
      <c r="G2" s="87"/>
      <c r="H2" s="273"/>
      <c r="I2" s="272"/>
      <c r="J2" s="225"/>
      <c r="K2" s="225"/>
      <c r="L2" s="225"/>
      <c r="M2" s="225"/>
      <c r="N2" s="225"/>
      <c r="O2" s="225"/>
      <c r="P2" s="87"/>
      <c r="Q2" s="87"/>
      <c r="R2" s="87"/>
      <c r="S2" s="87"/>
      <c r="T2" s="87"/>
      <c r="U2" s="87"/>
      <c r="V2" s="87"/>
      <c r="W2" s="120" t="s">
        <v>31</v>
      </c>
      <c r="X2" s="120" t="s">
        <v>31</v>
      </c>
      <c r="Y2"/>
      <c r="Z2" s="87"/>
      <c r="AB2" s="87"/>
      <c r="AC2" s="87"/>
      <c r="AH2" s="87"/>
      <c r="AI2" s="87"/>
      <c r="CX2" s="242"/>
      <c r="CZ2"/>
    </row>
    <row r="3" spans="1:198" ht="24" customHeight="1" thickBot="1">
      <c r="A3" s="864" t="s">
        <v>689</v>
      </c>
      <c r="B3" s="864"/>
      <c r="C3" s="864"/>
      <c r="D3" s="864"/>
      <c r="E3" s="864"/>
      <c r="F3" s="864"/>
      <c r="G3" s="864"/>
      <c r="H3" s="864"/>
      <c r="I3" s="723"/>
      <c r="J3" s="723"/>
      <c r="K3" s="723"/>
      <c r="L3" s="723"/>
      <c r="M3" s="723"/>
      <c r="N3" s="723"/>
      <c r="O3" s="723"/>
      <c r="P3" s="723"/>
      <c r="Q3" s="723"/>
      <c r="R3" s="723"/>
      <c r="S3" s="723"/>
      <c r="T3" s="723"/>
      <c r="Y3"/>
      <c r="Z3"/>
      <c r="AP3" s="38"/>
      <c r="CY3"/>
      <c r="CZ3"/>
    </row>
    <row r="4" spans="1:198" ht="50" customHeight="1" thickBot="1">
      <c r="A4" s="1226" t="s">
        <v>691</v>
      </c>
      <c r="B4" s="1227"/>
      <c r="C4" s="867" t="s">
        <v>495</v>
      </c>
      <c r="D4" s="868"/>
      <c r="E4" s="869" t="s">
        <v>688</v>
      </c>
      <c r="F4" s="870"/>
      <c r="G4" s="965" t="s">
        <v>367</v>
      </c>
      <c r="H4" s="966"/>
      <c r="I4" s="871" t="s">
        <v>687</v>
      </c>
      <c r="J4" s="1018"/>
      <c r="K4" s="628"/>
      <c r="Y4"/>
      <c r="Z4"/>
      <c r="CY4"/>
      <c r="CZ4"/>
    </row>
    <row r="5" spans="1:198" ht="50" customHeight="1" thickBot="1">
      <c r="A5" s="873" t="s">
        <v>231</v>
      </c>
      <c r="B5" s="873"/>
      <c r="C5" s="1228" t="s">
        <v>233</v>
      </c>
      <c r="D5" s="1228"/>
      <c r="E5" s="873" t="s">
        <v>234</v>
      </c>
      <c r="F5" s="873"/>
      <c r="G5" s="873" t="s">
        <v>235</v>
      </c>
      <c r="H5" s="873"/>
      <c r="Y5"/>
      <c r="Z5"/>
      <c r="CY5"/>
      <c r="CZ5"/>
    </row>
    <row r="6" spans="1:198" ht="50" customHeight="1" thickBot="1">
      <c r="A6" s="873" t="s">
        <v>279</v>
      </c>
      <c r="B6" s="873"/>
      <c r="C6" s="873" t="s">
        <v>280</v>
      </c>
      <c r="D6" s="873"/>
      <c r="E6" s="873" t="s">
        <v>281</v>
      </c>
      <c r="F6" s="873"/>
      <c r="G6" s="873" t="s">
        <v>282</v>
      </c>
      <c r="H6" s="873"/>
      <c r="Y6"/>
      <c r="Z6"/>
      <c r="CY6"/>
      <c r="CZ6"/>
    </row>
    <row r="7" spans="1:198" ht="50" customHeight="1" thickBot="1">
      <c r="A7" s="873" t="s">
        <v>283</v>
      </c>
      <c r="B7" s="873"/>
      <c r="C7" s="873" t="s">
        <v>284</v>
      </c>
      <c r="D7" s="873"/>
      <c r="E7" s="873" t="s">
        <v>285</v>
      </c>
      <c r="F7" s="873"/>
      <c r="G7" s="873" t="s">
        <v>286</v>
      </c>
      <c r="H7" s="873"/>
      <c r="Y7"/>
      <c r="Z7"/>
      <c r="CY7"/>
      <c r="CZ7"/>
    </row>
    <row r="8" spans="1:198" ht="17" thickBot="1">
      <c r="A8" s="1273" t="s">
        <v>306</v>
      </c>
      <c r="B8" s="1274"/>
      <c r="C8" s="1274"/>
      <c r="D8" s="1274"/>
      <c r="E8" s="1274"/>
      <c r="F8" s="1274"/>
      <c r="G8" s="1274"/>
      <c r="H8" s="1274"/>
      <c r="I8" s="1274"/>
      <c r="J8" s="1274"/>
      <c r="K8" s="1274"/>
      <c r="L8" s="1274"/>
      <c r="M8" s="1274"/>
      <c r="N8" s="1274"/>
      <c r="O8" s="1274"/>
      <c r="P8" s="1274"/>
      <c r="Q8" s="1274"/>
      <c r="R8" s="1274"/>
      <c r="S8" s="1274"/>
      <c r="T8" s="1274"/>
      <c r="U8" s="1274"/>
      <c r="V8" s="1274"/>
      <c r="W8" s="1274"/>
      <c r="X8" s="1275"/>
      <c r="Y8"/>
      <c r="Z8"/>
      <c r="AB8" s="87"/>
      <c r="AC8" s="87"/>
      <c r="AF8" s="87"/>
      <c r="CS8" s="242"/>
      <c r="CT8" s="242"/>
      <c r="CY8"/>
      <c r="CZ8"/>
      <c r="FI8" s="1179" t="s">
        <v>584</v>
      </c>
      <c r="FJ8" s="1180"/>
      <c r="FK8" s="1180"/>
      <c r="FL8" s="1180"/>
      <c r="FM8" s="1180"/>
      <c r="FN8" s="1180"/>
      <c r="FO8" s="1180"/>
      <c r="FP8" s="1180"/>
      <c r="FQ8" s="1180"/>
      <c r="FR8" s="1180"/>
      <c r="FS8" s="1180"/>
      <c r="FT8" s="1180"/>
      <c r="FU8" s="1180"/>
      <c r="FV8" s="1180"/>
      <c r="FW8" s="1180"/>
      <c r="FX8" s="1180"/>
      <c r="FY8" s="1180"/>
      <c r="FZ8" s="1180"/>
      <c r="GA8" s="1180"/>
      <c r="GB8" s="1180"/>
      <c r="GC8" s="1181"/>
    </row>
    <row r="9" spans="1:198" ht="254" customHeight="1" thickBot="1">
      <c r="A9" s="1066" t="s">
        <v>421</v>
      </c>
      <c r="B9" s="1067"/>
      <c r="C9" s="1067"/>
      <c r="D9" s="1067"/>
      <c r="E9" s="1068" t="s">
        <v>307</v>
      </c>
      <c r="F9" s="1068"/>
      <c r="G9" s="1068"/>
      <c r="H9" s="274" t="s">
        <v>404</v>
      </c>
      <c r="I9" s="425"/>
      <c r="J9" s="425"/>
      <c r="K9" s="1078" t="s">
        <v>496</v>
      </c>
      <c r="L9" s="1078"/>
      <c r="M9" s="471" t="s">
        <v>444</v>
      </c>
      <c r="N9" s="471" t="s">
        <v>422</v>
      </c>
      <c r="O9" s="471" t="s">
        <v>423</v>
      </c>
      <c r="P9" s="472" t="s">
        <v>445</v>
      </c>
      <c r="Q9" s="472" t="s">
        <v>305</v>
      </c>
      <c r="R9" s="472" t="s">
        <v>424</v>
      </c>
      <c r="S9" s="473" t="s">
        <v>451</v>
      </c>
      <c r="T9" s="473" t="s">
        <v>425</v>
      </c>
      <c r="U9" s="473" t="s">
        <v>426</v>
      </c>
      <c r="V9" s="474" t="s">
        <v>446</v>
      </c>
      <c r="W9" s="474" t="s">
        <v>393</v>
      </c>
      <c r="X9" s="475" t="s">
        <v>392</v>
      </c>
      <c r="Y9" s="240"/>
      <c r="Z9" s="87"/>
      <c r="AB9" s="87"/>
      <c r="AC9" s="87"/>
      <c r="AH9" s="87"/>
      <c r="AI9" s="87"/>
      <c r="CX9" s="242"/>
      <c r="CZ9"/>
      <c r="FI9" s="837" t="s">
        <v>582</v>
      </c>
      <c r="FJ9" s="837"/>
      <c r="FK9" s="837"/>
      <c r="FL9" s="837"/>
      <c r="FM9" t="s">
        <v>575</v>
      </c>
      <c r="FO9" s="837" t="s">
        <v>581</v>
      </c>
      <c r="FP9" s="837"/>
      <c r="FQ9" s="837"/>
      <c r="FR9" s="837"/>
    </row>
    <row r="10" spans="1:198" ht="26" customHeight="1" thickBot="1">
      <c r="A10" s="1194" t="str">
        <f>""&amp;A12&amp;" måneds kalender for: "&amp;Stamoplysninger!E13&amp;". Måneden vedr. normperioden: "&amp;Stamoplysninger!E16&amp;" - "&amp;Stamoplysninger!G16&amp;"."</f>
        <v>Marts måneds kalender for: Beate Simonsen. Måneden vedr. normperioden:  - .</v>
      </c>
      <c r="B10" s="1195"/>
      <c r="C10" s="1195"/>
      <c r="D10" s="1195"/>
      <c r="E10" s="1195"/>
      <c r="F10" s="1195"/>
      <c r="G10" s="1195"/>
      <c r="H10" s="1195"/>
      <c r="I10" s="1195"/>
      <c r="J10" s="1195"/>
      <c r="K10" s="1195"/>
      <c r="L10" s="1195"/>
      <c r="M10" s="1195"/>
      <c r="N10" s="1195"/>
      <c r="O10" s="1195"/>
      <c r="P10" s="1195"/>
      <c r="Q10" s="1195"/>
      <c r="R10" s="1196"/>
      <c r="S10" s="1073" t="s">
        <v>302</v>
      </c>
      <c r="T10" s="1074"/>
      <c r="U10" s="1074"/>
      <c r="V10" s="1074"/>
      <c r="W10" s="1074"/>
      <c r="X10" s="1075"/>
      <c r="Y10" s="240"/>
      <c r="Z10" s="87"/>
      <c r="AB10" s="87"/>
      <c r="AC10" s="87"/>
      <c r="AH10" s="87"/>
      <c r="AI10" s="87"/>
      <c r="CX10" s="242"/>
      <c r="CZ10"/>
      <c r="DV10" t="s">
        <v>665</v>
      </c>
      <c r="ED10" t="s">
        <v>665</v>
      </c>
      <c r="FC10" s="1208" t="s">
        <v>654</v>
      </c>
      <c r="FD10" s="1208"/>
      <c r="FE10" s="1208"/>
      <c r="FF10" s="1208"/>
      <c r="FG10" s="1208" t="s">
        <v>654</v>
      </c>
      <c r="FH10" s="1208"/>
      <c r="FI10" s="1208"/>
      <c r="FJ10" s="1208"/>
      <c r="FK10" s="1182" t="s">
        <v>569</v>
      </c>
      <c r="FL10" s="1182"/>
      <c r="FM10" s="1182"/>
      <c r="FN10" s="1182"/>
      <c r="FO10" s="1182"/>
      <c r="FP10" s="1182"/>
      <c r="FQ10" s="1182"/>
      <c r="FR10" s="1182"/>
      <c r="FS10" s="1182"/>
      <c r="FT10" s="1182"/>
      <c r="FU10" s="1182"/>
      <c r="FV10" s="1182"/>
      <c r="FW10" s="1182"/>
      <c r="FX10" s="1182"/>
      <c r="GA10" t="s">
        <v>583</v>
      </c>
      <c r="GB10" t="s">
        <v>576</v>
      </c>
      <c r="GD10" t="s">
        <v>577</v>
      </c>
      <c r="GF10" t="s">
        <v>578</v>
      </c>
      <c r="GH10" s="511" t="s">
        <v>579</v>
      </c>
    </row>
    <row r="11" spans="1:198" ht="47" customHeight="1">
      <c r="A11" s="320">
        <f>Januar!A11</f>
        <v>2027</v>
      </c>
      <c r="B11" s="236"/>
      <c r="C11" s="237"/>
      <c r="D11" s="238"/>
      <c r="E11" s="1199" t="s">
        <v>455</v>
      </c>
      <c r="F11" s="1200"/>
      <c r="G11" s="1201"/>
      <c r="H11" s="317" t="s">
        <v>674</v>
      </c>
      <c r="I11" s="1031" t="s">
        <v>452</v>
      </c>
      <c r="J11" s="1032" t="s">
        <v>470</v>
      </c>
      <c r="K11" s="1197" t="s">
        <v>299</v>
      </c>
      <c r="L11" s="1198"/>
      <c r="M11" s="318" t="s">
        <v>300</v>
      </c>
      <c r="N11" s="1047" t="s">
        <v>435</v>
      </c>
      <c r="O11" s="1047" t="s">
        <v>304</v>
      </c>
      <c r="P11" s="1047" t="s">
        <v>443</v>
      </c>
      <c r="Q11" s="1047" t="s">
        <v>381</v>
      </c>
      <c r="R11" s="1215" t="s">
        <v>497</v>
      </c>
      <c r="S11" s="1223" t="s">
        <v>301</v>
      </c>
      <c r="T11" s="1224"/>
      <c r="U11" s="1224"/>
      <c r="V11" s="1224"/>
      <c r="W11" s="1224"/>
      <c r="X11" s="1225"/>
      <c r="Y11" s="209"/>
      <c r="Z11" s="209"/>
      <c r="AA11" s="1049" t="s">
        <v>258</v>
      </c>
      <c r="AB11" s="1049"/>
      <c r="AC11" s="1049"/>
      <c r="AD11" s="1049"/>
      <c r="AE11" s="1049"/>
      <c r="AF11" s="206"/>
      <c r="AG11" s="1049" t="s">
        <v>219</v>
      </c>
      <c r="AH11" s="1049"/>
      <c r="AI11" s="1049"/>
      <c r="AJ11" s="1049"/>
      <c r="AK11" s="1049"/>
      <c r="AL11" s="1049" t="s">
        <v>220</v>
      </c>
      <c r="AM11" s="1049"/>
      <c r="AN11" s="1049"/>
      <c r="AO11" s="1049"/>
      <c r="AP11" s="1049"/>
      <c r="AQ11" s="1049" t="s">
        <v>221</v>
      </c>
      <c r="AR11" s="1049"/>
      <c r="AS11" s="1049"/>
      <c r="AT11" s="1049"/>
      <c r="AU11" s="1049"/>
      <c r="AV11" s="1049" t="s">
        <v>222</v>
      </c>
      <c r="AW11" s="1049"/>
      <c r="AX11" s="1049"/>
      <c r="AY11" s="1049"/>
      <c r="AZ11" s="1049"/>
      <c r="BA11" s="293"/>
      <c r="BB11" s="206"/>
      <c r="BC11" s="1049" t="s">
        <v>261</v>
      </c>
      <c r="BD11" s="1049"/>
      <c r="BE11" s="1049"/>
      <c r="BF11" s="1049"/>
      <c r="BG11" s="1049" t="s">
        <v>224</v>
      </c>
      <c r="BH11" s="1049"/>
      <c r="BI11" s="1049"/>
      <c r="BJ11" s="1049"/>
      <c r="BK11" s="1049"/>
      <c r="BL11" s="1049" t="s">
        <v>225</v>
      </c>
      <c r="BM11" s="1049"/>
      <c r="BN11" s="1049"/>
      <c r="BO11" s="1049"/>
      <c r="BP11" s="1049"/>
      <c r="BQ11" s="1049" t="s">
        <v>226</v>
      </c>
      <c r="BR11" s="1049"/>
      <c r="BS11" s="1049"/>
      <c r="BT11" s="1049"/>
      <c r="BU11" s="1049"/>
      <c r="BV11" s="1049" t="s">
        <v>227</v>
      </c>
      <c r="BW11" s="1049"/>
      <c r="BX11" s="1049"/>
      <c r="BY11" s="1049"/>
      <c r="BZ11" s="1049"/>
      <c r="CD11" s="1049" t="s">
        <v>262</v>
      </c>
      <c r="CE11" s="1049"/>
      <c r="CF11" s="1049"/>
      <c r="CG11" s="1049"/>
      <c r="CH11" s="1049"/>
      <c r="CI11" s="1049" t="s">
        <v>264</v>
      </c>
      <c r="CJ11" s="1049"/>
      <c r="CK11" s="1049"/>
      <c r="CL11" s="1049"/>
      <c r="CM11" s="1049"/>
      <c r="CN11" s="1049" t="s">
        <v>263</v>
      </c>
      <c r="CO11" s="1049"/>
      <c r="CP11" s="1049"/>
      <c r="CQ11" s="1049"/>
      <c r="CR11" s="1049"/>
      <c r="CS11" s="1049" t="s">
        <v>265</v>
      </c>
      <c r="CT11" s="1049"/>
      <c r="CU11" s="1049"/>
      <c r="CV11" s="1049"/>
      <c r="CW11" s="1049"/>
      <c r="CX11" s="242"/>
      <c r="CZ11"/>
      <c r="DA11" s="837" t="s">
        <v>209</v>
      </c>
      <c r="DB11" s="837"/>
      <c r="DC11" s="837"/>
      <c r="DD11" s="837"/>
      <c r="DE11" s="837"/>
      <c r="DO11" s="1217" t="s">
        <v>315</v>
      </c>
      <c r="DP11" s="1218"/>
      <c r="DQ11" s="1218"/>
      <c r="DR11" s="1218"/>
      <c r="DS11" s="1218"/>
      <c r="DT11" s="1218"/>
      <c r="DU11" s="1218"/>
      <c r="DV11" s="1219"/>
      <c r="DW11" s="1220" t="s">
        <v>370</v>
      </c>
      <c r="DX11" s="1221"/>
      <c r="DY11" s="1221"/>
      <c r="DZ11" s="1221"/>
      <c r="EA11" s="1221"/>
      <c r="EB11" s="1221"/>
      <c r="EC11" s="1221"/>
      <c r="ED11" s="1222"/>
      <c r="EE11" s="1212" t="s">
        <v>316</v>
      </c>
      <c r="EF11" s="1213"/>
      <c r="EG11" s="1213"/>
      <c r="EH11" s="1214"/>
      <c r="EI11" s="1209" t="s">
        <v>655</v>
      </c>
      <c r="EJ11" s="1210"/>
      <c r="EK11" s="1210"/>
      <c r="EL11" s="1211"/>
      <c r="EM11" s="1212" t="s">
        <v>319</v>
      </c>
      <c r="EN11" s="1213"/>
      <c r="EO11" s="1213"/>
      <c r="EP11" s="1214"/>
      <c r="EQ11" s="1212" t="s">
        <v>319</v>
      </c>
      <c r="ER11" s="1213"/>
      <c r="ES11" s="1213"/>
      <c r="ET11" s="1214"/>
      <c r="EU11" s="1042" t="s">
        <v>373</v>
      </c>
      <c r="EV11" s="1043"/>
      <c r="EW11" s="1043"/>
      <c r="EX11" s="1044"/>
      <c r="EY11" s="1042" t="s">
        <v>374</v>
      </c>
      <c r="EZ11" s="1043"/>
      <c r="FA11" s="1043"/>
      <c r="FB11" s="1044"/>
      <c r="FC11" s="1042" t="s">
        <v>375</v>
      </c>
      <c r="FD11" s="1043"/>
      <c r="FE11" s="1043"/>
      <c r="FF11" s="1044"/>
      <c r="FG11" s="1042" t="s">
        <v>376</v>
      </c>
      <c r="FH11" s="1043"/>
      <c r="FI11" s="1043"/>
      <c r="FJ11" s="1044"/>
      <c r="FK11" s="1172" t="s">
        <v>658</v>
      </c>
      <c r="FL11" s="1173"/>
      <c r="FM11" s="1173"/>
      <c r="FN11" s="1174"/>
      <c r="FO11" s="1027" t="s">
        <v>659</v>
      </c>
      <c r="FP11" s="1028"/>
      <c r="FQ11" s="1028"/>
      <c r="FR11" s="1029"/>
      <c r="FS11" s="1183" t="s">
        <v>375</v>
      </c>
      <c r="FT11" s="1183"/>
      <c r="FU11" s="1172" t="s">
        <v>580</v>
      </c>
      <c r="FV11" s="1173"/>
      <c r="FW11" s="1173"/>
      <c r="FX11" s="1184"/>
      <c r="FY11" s="1185" t="s">
        <v>571</v>
      </c>
      <c r="FZ11" s="1186"/>
      <c r="GA11" t="s">
        <v>573</v>
      </c>
      <c r="GB11" s="1183" t="s">
        <v>373</v>
      </c>
      <c r="GC11" s="1183"/>
      <c r="GD11" s="1183" t="s">
        <v>374</v>
      </c>
      <c r="GE11" s="1183"/>
      <c r="GF11" s="1183" t="s">
        <v>376</v>
      </c>
      <c r="GG11" s="1183"/>
      <c r="GH11" s="1183" t="s">
        <v>372</v>
      </c>
      <c r="GI11" s="1183"/>
      <c r="GP11" s="109" t="s">
        <v>663</v>
      </c>
    </row>
    <row r="12" spans="1:198" ht="199" customHeight="1">
      <c r="A12" s="1187" t="s">
        <v>282</v>
      </c>
      <c r="B12" s="1188"/>
      <c r="C12" s="1188"/>
      <c r="D12" s="1189"/>
      <c r="E12" s="1202"/>
      <c r="F12" s="1203"/>
      <c r="G12" s="1204"/>
      <c r="H12" s="1193" t="s">
        <v>668</v>
      </c>
      <c r="I12" s="1031"/>
      <c r="J12" s="1032"/>
      <c r="K12" s="319" t="s">
        <v>498</v>
      </c>
      <c r="L12" s="319" t="s">
        <v>499</v>
      </c>
      <c r="M12" s="319" t="s">
        <v>500</v>
      </c>
      <c r="N12" s="1048"/>
      <c r="O12" s="1048"/>
      <c r="P12" s="1048"/>
      <c r="Q12" s="1048"/>
      <c r="R12" s="1216"/>
      <c r="S12" s="477" t="s">
        <v>669</v>
      </c>
      <c r="T12" s="318" t="s">
        <v>303</v>
      </c>
      <c r="U12" s="318" t="s">
        <v>672</v>
      </c>
      <c r="V12" s="430" t="s">
        <v>428</v>
      </c>
      <c r="W12" s="430" t="s">
        <v>427</v>
      </c>
      <c r="X12" s="431" t="s">
        <v>673</v>
      </c>
      <c r="Y12" s="209" t="s">
        <v>276</v>
      </c>
      <c r="Z12" s="209" t="s">
        <v>277</v>
      </c>
      <c r="AA12" s="294" t="s">
        <v>208</v>
      </c>
      <c r="AB12" t="s">
        <v>134</v>
      </c>
      <c r="AC12" t="s">
        <v>137</v>
      </c>
      <c r="AD12" t="s">
        <v>136</v>
      </c>
      <c r="AE12" t="s">
        <v>135</v>
      </c>
      <c r="AF12" t="s">
        <v>406</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223</v>
      </c>
      <c r="BB12" s="223" t="s">
        <v>210</v>
      </c>
      <c r="BC12" t="s">
        <v>260</v>
      </c>
      <c r="BD12" t="s">
        <v>259</v>
      </c>
      <c r="BE12" t="s">
        <v>245</v>
      </c>
      <c r="BF12" t="s">
        <v>246</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228</v>
      </c>
      <c r="CB12" s="228" t="s">
        <v>248</v>
      </c>
      <c r="CC12" s="294" t="s">
        <v>249</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274</v>
      </c>
      <c r="CY12" s="242" t="s">
        <v>266</v>
      </c>
      <c r="CZ12" s="242" t="s">
        <v>267</v>
      </c>
      <c r="DA12" s="242" t="s">
        <v>268</v>
      </c>
      <c r="DB12" s="242" t="s">
        <v>269</v>
      </c>
      <c r="DC12" s="242" t="s">
        <v>270</v>
      </c>
      <c r="DD12" s="242" t="s">
        <v>271</v>
      </c>
      <c r="DE12" s="242" t="s">
        <v>272</v>
      </c>
      <c r="DF12" s="242" t="s">
        <v>273</v>
      </c>
      <c r="DG12" s="242"/>
      <c r="DO12" s="626" t="s">
        <v>642</v>
      </c>
      <c r="DP12" s="294" t="s">
        <v>643</v>
      </c>
      <c r="DQ12" s="677" t="s">
        <v>644</v>
      </c>
      <c r="DR12" s="677" t="s">
        <v>645</v>
      </c>
      <c r="DS12" s="627" t="s">
        <v>670</v>
      </c>
      <c r="DT12" s="627" t="str">
        <f>DP12</f>
        <v>Ulempetillæg på weekenddage - kræver der er sat kryds i weekendarbejde. KOLONNE I. Minus ved lejrskole.</v>
      </c>
      <c r="DU12" s="679" t="s">
        <v>600</v>
      </c>
      <c r="DV12" s="678" t="str">
        <f>DR12</f>
        <v>Ulempetillæg ændringer på weekenddage. Kræver der er sat kryds i ændring i timetal og at det er en weekeend. KOLONNE I OG S. Minus lejrskole</v>
      </c>
      <c r="DW12" s="680" t="s">
        <v>646</v>
      </c>
      <c r="DX12" s="677" t="s">
        <v>647</v>
      </c>
      <c r="DY12" s="677" t="s">
        <v>648</v>
      </c>
      <c r="DZ12" s="677" t="s">
        <v>649</v>
      </c>
      <c r="EA12" s="627" t="s">
        <v>599</v>
      </c>
      <c r="EB12" s="679" t="str">
        <f>DX12</f>
        <v>Ulempetillæg på weekenddage til afspadsering. Kræver der er sat kryds i weekendarb. KOLONNE I. Minus ved lejrskole.</v>
      </c>
      <c r="EC12" s="679" t="s">
        <v>600</v>
      </c>
      <c r="ED12" s="678" t="str">
        <f>DZ12</f>
        <v>Ulempetillæg ændringer på weekenddage. Kræver der er sat kryds i ændring i timetal og at det er en weekeend. KOLONNE I OG S. Minus lejrskole</v>
      </c>
      <c r="EE12" s="632" t="s">
        <v>650</v>
      </c>
      <c r="EF12" s="630" t="s">
        <v>601</v>
      </c>
      <c r="EG12" s="631" t="s">
        <v>604</v>
      </c>
      <c r="EH12" s="633" t="s">
        <v>603</v>
      </c>
      <c r="EI12" s="715" t="s">
        <v>656</v>
      </c>
      <c r="EJ12" s="719" t="s">
        <v>660</v>
      </c>
      <c r="EK12" s="631" t="s">
        <v>604</v>
      </c>
      <c r="EL12" s="633" t="s">
        <v>603</v>
      </c>
      <c r="EM12" s="632" t="s">
        <v>650</v>
      </c>
      <c r="EN12" s="630" t="s">
        <v>653</v>
      </c>
      <c r="EO12" s="631" t="s">
        <v>604</v>
      </c>
      <c r="EP12" s="633" t="s">
        <v>603</v>
      </c>
      <c r="EQ12" s="715" t="s">
        <v>657</v>
      </c>
      <c r="ER12" s="719" t="s">
        <v>661</v>
      </c>
      <c r="ES12" s="631" t="s">
        <v>604</v>
      </c>
      <c r="ET12" s="633" t="s">
        <v>603</v>
      </c>
      <c r="EU12" s="632" t="s">
        <v>651</v>
      </c>
      <c r="EV12" s="630" t="s">
        <v>652</v>
      </c>
      <c r="EW12" s="631" t="s">
        <v>602</v>
      </c>
      <c r="EX12" s="633" t="s">
        <v>606</v>
      </c>
      <c r="EY12" s="632" t="s">
        <v>651</v>
      </c>
      <c r="EZ12" s="630" t="s">
        <v>652</v>
      </c>
      <c r="FA12" s="631" t="s">
        <v>602</v>
      </c>
      <c r="FB12" s="633" t="s">
        <v>606</v>
      </c>
      <c r="FC12" s="632" t="s">
        <v>607</v>
      </c>
      <c r="FD12" s="630" t="s">
        <v>605</v>
      </c>
      <c r="FE12" s="631" t="s">
        <v>602</v>
      </c>
      <c r="FF12" s="633" t="s">
        <v>606</v>
      </c>
      <c r="FG12" s="632" t="str">
        <f>FC12</f>
        <v>Weekendtimer på weekenddage</v>
      </c>
      <c r="FH12" s="630" t="s">
        <v>605</v>
      </c>
      <c r="FI12" s="631" t="s">
        <v>602</v>
      </c>
      <c r="FJ12" s="633" t="s">
        <v>606</v>
      </c>
      <c r="FK12" s="658" t="s">
        <v>568</v>
      </c>
      <c r="FL12" s="630" t="s">
        <v>550</v>
      </c>
      <c r="FM12" s="658" t="s">
        <v>568</v>
      </c>
      <c r="FN12" s="633" t="s">
        <v>550</v>
      </c>
      <c r="FO12" s="715" t="s">
        <v>568</v>
      </c>
      <c r="FP12" s="630" t="s">
        <v>550</v>
      </c>
      <c r="FQ12" s="658" t="s">
        <v>568</v>
      </c>
      <c r="FR12" s="633" t="s">
        <v>550</v>
      </c>
      <c r="FS12" s="659" t="s">
        <v>563</v>
      </c>
      <c r="FT12" s="660" t="s">
        <v>564</v>
      </c>
      <c r="FU12" s="658" t="s">
        <v>549</v>
      </c>
      <c r="FV12" s="630" t="s">
        <v>550</v>
      </c>
      <c r="FW12" s="662" t="s">
        <v>549</v>
      </c>
      <c r="FX12" s="663" t="s">
        <v>550</v>
      </c>
      <c r="FY12" s="667" t="s">
        <v>570</v>
      </c>
      <c r="FZ12" s="660" t="s">
        <v>570</v>
      </c>
      <c r="GA12" s="294" t="s">
        <v>572</v>
      </c>
      <c r="GB12" s="659" t="s">
        <v>574</v>
      </c>
      <c r="GC12" s="659" t="s">
        <v>574</v>
      </c>
      <c r="GD12" s="659" t="s">
        <v>574</v>
      </c>
      <c r="GE12" s="659" t="s">
        <v>574</v>
      </c>
      <c r="GF12" s="659" t="s">
        <v>565</v>
      </c>
      <c r="GG12" s="660" t="s">
        <v>566</v>
      </c>
      <c r="GH12" s="659" t="s">
        <v>565</v>
      </c>
      <c r="GI12" s="660" t="s">
        <v>566</v>
      </c>
      <c r="GJ12" s="712" t="s">
        <v>635</v>
      </c>
      <c r="GK12" s="712" t="s">
        <v>636</v>
      </c>
      <c r="GL12" s="712" t="s">
        <v>637</v>
      </c>
      <c r="GM12" s="712" t="s">
        <v>638</v>
      </c>
      <c r="GN12" s="712" t="s">
        <v>640</v>
      </c>
      <c r="GO12" s="712" t="s">
        <v>639</v>
      </c>
      <c r="GP12" s="722" t="s">
        <v>662</v>
      </c>
    </row>
    <row r="13" spans="1:198" ht="20" customHeight="1">
      <c r="A13" s="1190"/>
      <c r="B13" s="1191"/>
      <c r="C13" s="1191"/>
      <c r="D13" s="1192"/>
      <c r="E13" s="1205"/>
      <c r="F13" s="1206"/>
      <c r="G13" s="1207"/>
      <c r="H13" s="1048"/>
      <c r="I13" s="1031"/>
      <c r="J13" s="1032"/>
      <c r="K13" s="1076" t="s">
        <v>320</v>
      </c>
      <c r="L13" s="1058"/>
      <c r="M13" s="1058"/>
      <c r="N13" s="1058"/>
      <c r="O13" s="1058"/>
      <c r="P13" s="1058"/>
      <c r="Q13" s="1058"/>
      <c r="R13" s="1077"/>
      <c r="S13" s="1057" t="s">
        <v>377</v>
      </c>
      <c r="T13" s="1058"/>
      <c r="U13" s="1059"/>
      <c r="V13" s="1076" t="s">
        <v>378</v>
      </c>
      <c r="W13" s="1058"/>
      <c r="X13" s="1077"/>
      <c r="Y13" s="209"/>
      <c r="Z13" s="209"/>
      <c r="AA13" s="294"/>
      <c r="BB13" s="223"/>
      <c r="CA13" s="109"/>
      <c r="CB13" s="228"/>
      <c r="CC13" s="294"/>
      <c r="CX13" s="242"/>
      <c r="DA13" s="242"/>
      <c r="DB13" s="242"/>
      <c r="DC13" s="242"/>
      <c r="DD13" s="242"/>
      <c r="DE13" s="242"/>
      <c r="DF13" s="242"/>
      <c r="DG13" s="242"/>
      <c r="DH13" t="s">
        <v>476</v>
      </c>
      <c r="DI13" t="s">
        <v>477</v>
      </c>
      <c r="DJ13" t="s">
        <v>478</v>
      </c>
      <c r="DO13" s="628"/>
      <c r="DP13" s="714" t="s">
        <v>641</v>
      </c>
      <c r="DS13" s="1176" t="s">
        <v>160</v>
      </c>
      <c r="DT13" s="1176"/>
      <c r="DU13" s="1176"/>
      <c r="DV13" s="1177"/>
      <c r="EA13" s="1178" t="s">
        <v>160</v>
      </c>
      <c r="EB13" s="1178"/>
      <c r="EC13" s="1178"/>
      <c r="ED13" s="629"/>
      <c r="EE13" s="277"/>
      <c r="EF13" s="245"/>
      <c r="EG13" s="1045" t="s">
        <v>160</v>
      </c>
      <c r="EH13" s="1046"/>
      <c r="EI13" s="277"/>
      <c r="EJ13" s="245"/>
      <c r="EK13" s="1045" t="s">
        <v>160</v>
      </c>
      <c r="EL13" s="1046"/>
      <c r="EM13" s="277"/>
      <c r="EN13" s="245"/>
      <c r="EO13" s="1045" t="s">
        <v>160</v>
      </c>
      <c r="EP13" s="1046"/>
      <c r="EQ13" s="277"/>
      <c r="ER13" s="245"/>
      <c r="ES13" s="1045" t="s">
        <v>160</v>
      </c>
      <c r="ET13" s="1046"/>
      <c r="EU13" s="277"/>
      <c r="EV13" s="245"/>
      <c r="EW13" s="1045" t="s">
        <v>160</v>
      </c>
      <c r="EX13" s="1046"/>
      <c r="EY13" s="277"/>
      <c r="EZ13" s="245"/>
      <c r="FA13" s="1045" t="s">
        <v>160</v>
      </c>
      <c r="FB13" s="1046"/>
      <c r="FC13" s="277"/>
      <c r="FD13" s="245"/>
      <c r="FE13" s="1045" t="s">
        <v>160</v>
      </c>
      <c r="FF13" s="1046"/>
      <c r="FG13" s="277"/>
      <c r="FH13" s="245"/>
      <c r="FI13" s="1045" t="s">
        <v>160</v>
      </c>
      <c r="FJ13" s="1046"/>
      <c r="FK13" s="277"/>
      <c r="FL13" s="245"/>
      <c r="FM13" s="1045" t="s">
        <v>160</v>
      </c>
      <c r="FN13" s="1046"/>
      <c r="FO13" s="277"/>
      <c r="FP13" s="245"/>
      <c r="FQ13" s="1045" t="s">
        <v>160</v>
      </c>
      <c r="FR13" s="1046"/>
      <c r="FT13" s="622" t="s">
        <v>158</v>
      </c>
      <c r="FU13" s="277"/>
      <c r="FV13" s="245"/>
      <c r="FW13" s="1045" t="s">
        <v>160</v>
      </c>
      <c r="FX13" s="1175"/>
      <c r="FY13" s="277"/>
      <c r="FZ13" s="668" t="s">
        <v>158</v>
      </c>
      <c r="GC13" s="622" t="s">
        <v>158</v>
      </c>
      <c r="GE13" s="622" t="s">
        <v>158</v>
      </c>
      <c r="GG13" s="622" t="s">
        <v>158</v>
      </c>
      <c r="GI13" s="622" t="s">
        <v>158</v>
      </c>
    </row>
    <row r="14" spans="1:198">
      <c r="A14" s="239">
        <f>IF(ISNUMBER(A12),A12+1,1)</f>
        <v>1</v>
      </c>
      <c r="B14" s="125" t="str">
        <f t="shared" ref="B14:B44" si="0">CHOOSE(MOD(WEEKDAY(DATE(A$11,A$2,A14)),7)+1,"lø","sø","ma","ti","on","to","fr",)</f>
        <v>ma</v>
      </c>
      <c r="C14" s="126" t="s">
        <v>203</v>
      </c>
      <c r="D14" s="127">
        <f t="shared" ref="D14:D44" si="1">IF(B14="ma",(DATE(A$11,A$2,A14)-DATE(A$11,1,1)+7)/7,"")</f>
        <v>9.4285714285714288</v>
      </c>
      <c r="E14" s="1060"/>
      <c r="F14" s="1061"/>
      <c r="G14" s="1062"/>
      <c r="H14" s="292"/>
      <c r="I14" s="745"/>
      <c r="J14" s="746" t="str">
        <f t="shared" ref="J14:J44" si="2">IF(C14="Lejrskole","X","")</f>
        <v/>
      </c>
      <c r="K14" s="368"/>
      <c r="L14" s="368"/>
      <c r="M14" s="368"/>
      <c r="N14" s="311">
        <f>BA14</f>
        <v>8.11</v>
      </c>
      <c r="O14" s="311">
        <f>CA14</f>
        <v>4.5</v>
      </c>
      <c r="P14" s="311">
        <f>IF(Stamoplysninger!$H$34="JA",Marts!DG14,CX14)</f>
        <v>1.9166666666666665</v>
      </c>
      <c r="Q14" s="311">
        <f>IF(OR(OR(C14="Lejrskole",C14="Ekskursion",C14="pæd.dag")),0,N14-O14-P14)</f>
        <v>1.6933333333333329</v>
      </c>
      <c r="R14" s="751"/>
      <c r="S14" s="315"/>
      <c r="T14" s="316"/>
      <c r="U14" s="316"/>
      <c r="V14" s="422"/>
      <c r="W14" s="400"/>
      <c r="X14" s="619"/>
      <c r="Y14">
        <f>IF($S$14="x",V14-N15,0)</f>
        <v>0</v>
      </c>
      <c r="Z14">
        <f t="shared" ref="Z14:Z44" si="3">IF(T14="x",W14-O15,0)</f>
        <v>0</v>
      </c>
      <c r="AA14" s="1">
        <f t="shared" ref="AA14:AA44" si="4">IF(C14="emnedag",K14,0)</f>
        <v>0</v>
      </c>
      <c r="AB14" s="1">
        <f t="shared" ref="AB14:AB44" si="5">IF(C14="fagdag",K14,0)</f>
        <v>0</v>
      </c>
      <c r="AC14" s="1">
        <f t="shared" ref="AC14:AC44" si="6">IF(C14="Pæd.dag",K14,0)</f>
        <v>0</v>
      </c>
      <c r="AD14" s="1">
        <f t="shared" ref="AD14:AD44" si="7">IF(C14="Ekskursion",K14,0)</f>
        <v>0</v>
      </c>
      <c r="AE14" s="1">
        <f t="shared" ref="AE14:AE44" si="8">IF(C14="Lejrskole",K14,0)</f>
        <v>0</v>
      </c>
      <c r="AF14" s="1">
        <f>IF(C14="Orlov",7.4*Stamoplysninger!$E$20,0)</f>
        <v>0</v>
      </c>
      <c r="AG14">
        <f>IF(AND(C14="Skema 1",B14="ma"),Arbejdstidsoversigt!$E$77,"")</f>
        <v>8.11</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8.11</v>
      </c>
      <c r="BB14" s="224">
        <f t="shared" ref="BB14:BB44" si="9">SUM(AG14:AK14)*24</f>
        <v>194.64</v>
      </c>
      <c r="BC14" s="1">
        <f>IF($C$14="Lejrskole",$L$14,0)</f>
        <v>0</v>
      </c>
      <c r="BD14" s="1">
        <f t="shared" ref="BD14:BD44" si="10">IF(C14="Ekskursion",L14,0)</f>
        <v>0</v>
      </c>
      <c r="BE14" s="1">
        <f t="shared" ref="BE14:BE44" si="11">IF(C14="fagdag",L14,0)</f>
        <v>0</v>
      </c>
      <c r="BF14" s="1">
        <f t="shared" ref="BF14:BF44" si="12">IF(C14="emnedag",L14,0)</f>
        <v>0</v>
      </c>
      <c r="BG14" s="207">
        <f>IF(AND(C14="Skema 1",B14="ma"),Skemaoplysninger!$E$46,"")</f>
        <v>0.1875</v>
      </c>
      <c r="BH14" s="207" t="str">
        <f>IF(AND(C14="Skema 1",B14="ti"),Skemaoplysninger!$G$46,"")</f>
        <v/>
      </c>
      <c r="BI14" s="207" t="str">
        <f>IF(AND(C14="Skema 1",B14="on"),Skemaoplysninger!$I$46,"")</f>
        <v/>
      </c>
      <c r="BJ14" s="207" t="str">
        <f>IF(AND(C14="Skema 1",B14="to"),Skemaoplysninger!$K$46,"")</f>
        <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4.5</v>
      </c>
      <c r="CB14" s="1">
        <f t="shared" ref="CB14:CB44" si="13">IF(C14="fagdag",M14,0)</f>
        <v>0</v>
      </c>
      <c r="CC14" s="1">
        <f t="shared" ref="CC14:CC44" si="14">IF(C14="emnedag",M14,0)</f>
        <v>0</v>
      </c>
      <c r="CD14" s="207">
        <f>IF(AND(C14="Skema 1",B14="ma"),Skemaoplysninger!$E$47,"")</f>
        <v>7.9861111111111105E-2</v>
      </c>
      <c r="CE14" s="207" t="str">
        <f>IF(AND(C14="Skema 1",B14="ti"),Skemaoplysninger!$G$47,"")</f>
        <v/>
      </c>
      <c r="CF14" s="207" t="str">
        <f>IF(AND(C14="Skema 1",B14="on"),Skemaoplysninger!$I$47,"")</f>
        <v/>
      </c>
      <c r="CG14" s="207" t="str">
        <f>IF(AND(C14="Skema 1",B14="to"),Skemaoplysninger!$K$47,"")</f>
        <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1.9166666666666665</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3" si="15">IF(DH14=0,"",DH14)</f>
        <v/>
      </c>
      <c r="DL14" t="str">
        <f>IF(DI14=0,"",DI14)</f>
        <v/>
      </c>
      <c r="DM14" t="str">
        <f>IF(DJ14=0,"",DJ14)</f>
        <v/>
      </c>
      <c r="DN14" t="str">
        <f>DK14&amp;""&amp;DL14&amp;""&amp;DM14</f>
        <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4" si="16">IF(AND(I14="X",S14="X"),V14,0)</f>
        <v>0</v>
      </c>
      <c r="FZ14" s="634">
        <f t="shared" ref="FZ14:FZ44" si="17">IF(AND(AND(C14="ikke relevant",I14="X",S14="X")),V14,0)</f>
        <v>0</v>
      </c>
      <c r="GA14">
        <f t="shared" ref="GA14:GA44" si="18">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4" si="19">IF(C14="emnedag","X",0)</f>
        <v>0</v>
      </c>
      <c r="GL14">
        <f t="shared" ref="GL14:GL44" si="20">IF(C14="ekskursion","X",0)</f>
        <v>0</v>
      </c>
      <c r="GM14">
        <f t="shared" ref="GM14:GM44" si="21">IF(C14="pæd.dag","X",0)</f>
        <v>0</v>
      </c>
      <c r="GN14" s="713">
        <f t="shared" ref="GN14:GN44" si="22">IF(C14="lejrskole","X",0)</f>
        <v>0</v>
      </c>
      <c r="GO14">
        <f>COUNTIF(GJ14:GN14,"X")</f>
        <v>0</v>
      </c>
      <c r="GP14" s="647">
        <f>IF(AND(I14="X",S14="X"),V14,0)</f>
        <v>0</v>
      </c>
    </row>
    <row r="15" spans="1:198">
      <c r="A15" s="239">
        <f t="shared" ref="A15:A43" si="23">IF(ISNUMBER(A14),A14+1,1)</f>
        <v>2</v>
      </c>
      <c r="B15" s="125" t="str">
        <f t="shared" si="0"/>
        <v>ti</v>
      </c>
      <c r="C15" s="126" t="s">
        <v>134</v>
      </c>
      <c r="D15" s="127" t="str">
        <f t="shared" si="1"/>
        <v/>
      </c>
      <c r="E15" s="1060" t="s">
        <v>761</v>
      </c>
      <c r="F15" s="1061"/>
      <c r="G15" s="1062"/>
      <c r="H15" s="292"/>
      <c r="I15" s="745"/>
      <c r="J15" s="746" t="str">
        <f t="shared" si="2"/>
        <v/>
      </c>
      <c r="K15" s="368">
        <v>7</v>
      </c>
      <c r="L15" s="368">
        <v>3.75</v>
      </c>
      <c r="M15" s="368">
        <v>1.5</v>
      </c>
      <c r="N15" s="311">
        <f t="shared" ref="N15:N44" si="24">BA15</f>
        <v>7</v>
      </c>
      <c r="O15" s="311">
        <f t="shared" ref="O15:O44" si="25">CA15</f>
        <v>3.75</v>
      </c>
      <c r="P15" s="311">
        <f>IF(Stamoplysninger!$H$34="JA",Marts!DG15,CX15)</f>
        <v>1.5</v>
      </c>
      <c r="Q15" s="311">
        <f t="shared" ref="Q15:Q44" si="26">IF(OR(OR(C15="Lejrskole",C15="Ekskursion",C15="pæd.dag")),0,N15-O15-P15)</f>
        <v>1.75</v>
      </c>
      <c r="R15" s="751"/>
      <c r="S15" s="315"/>
      <c r="T15" s="316"/>
      <c r="U15" s="316"/>
      <c r="V15" s="422"/>
      <c r="W15" s="400"/>
      <c r="X15" s="619"/>
      <c r="Y15">
        <f t="shared" ref="Y15:Y44" si="27">IF(S15="x",V15-N16,0)</f>
        <v>0</v>
      </c>
      <c r="Z15">
        <f t="shared" si="3"/>
        <v>0</v>
      </c>
      <c r="AA15" s="1">
        <f t="shared" si="4"/>
        <v>0</v>
      </c>
      <c r="AB15" s="1">
        <f t="shared" si="5"/>
        <v>7</v>
      </c>
      <c r="AC15" s="1">
        <f t="shared" si="6"/>
        <v>0</v>
      </c>
      <c r="AD15" s="1">
        <f t="shared" si="7"/>
        <v>0</v>
      </c>
      <c r="AE15" s="1">
        <f t="shared" si="8"/>
        <v>0</v>
      </c>
      <c r="AF15" s="1">
        <f>IF(C15="Orlov",7.4*Stamoplysninger!$E$20,0)</f>
        <v>0</v>
      </c>
      <c r="AG15" t="str">
        <f>IF(AND(C15="Skema 1",B15="ma"),Arbejdstidsoversigt!$E$77,"")</f>
        <v/>
      </c>
      <c r="AH15" t="str">
        <f>IF(AND(C15="Skema 1",B15="ti"),Arbejdstidsoversigt!$E$78,"")</f>
        <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4" si="28">SUM(AA15:AZ15)</f>
        <v>7</v>
      </c>
      <c r="BB15" s="224">
        <f t="shared" si="9"/>
        <v>0</v>
      </c>
      <c r="BC15" s="1">
        <f t="shared" ref="BC15:BC44" si="29">IF(C15="Lejrskole",L15,0)</f>
        <v>0</v>
      </c>
      <c r="BD15" s="1">
        <f t="shared" si="10"/>
        <v>0</v>
      </c>
      <c r="BE15" s="1">
        <f t="shared" si="11"/>
        <v>3.75</v>
      </c>
      <c r="BF15" s="1">
        <f t="shared" si="12"/>
        <v>0</v>
      </c>
      <c r="BG15" s="207" t="str">
        <f>IF(AND(C15="Skema 1",B15="ma"),Skemaoplysninger!$E$46,"")</f>
        <v/>
      </c>
      <c r="BH15" s="207" t="str">
        <f>IF(AND(C15="Skema 1",B15="ti"),Skemaoplysninger!$G$46,"")</f>
        <v/>
      </c>
      <c r="BI15" s="207" t="str">
        <f>IF(AND(C15="Skema 1",B15="on"),Skemaoplysninger!$I$46,"")</f>
        <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44" si="30">SUM(BG15:BZ15)*24+SUM(BC15:BF15)</f>
        <v>3.75</v>
      </c>
      <c r="CB15" s="1">
        <f t="shared" si="13"/>
        <v>1.5</v>
      </c>
      <c r="CC15" s="1">
        <f t="shared" si="14"/>
        <v>0</v>
      </c>
      <c r="CD15" s="207" t="str">
        <f>IF(AND(C15="Skema 1",B15="ma"),Skemaoplysninger!$E$47,"")</f>
        <v/>
      </c>
      <c r="CE15" s="207" t="str">
        <f>IF(AND(C15="Skema 1",B15="ti"),Skemaoplysninger!$G$47,"")</f>
        <v/>
      </c>
      <c r="CF15" s="207" t="str">
        <f>IF(AND(C15="Skema 1",B15="on"),Skemaoplysninger!$I$47,"")</f>
        <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1.5</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4" si="31">SUM(CY15:DF15)</f>
        <v>0</v>
      </c>
      <c r="DH15" t="str">
        <f t="shared" ref="DH15:DH44" si="32">IF(AND(E15&gt;0,H15&gt;0),""&amp;E15&amp;" og "&amp;H15&amp;"","")</f>
        <v/>
      </c>
      <c r="DI15" t="str">
        <f t="shared" ref="DI15:DI44" si="33">IF(H15="",E15,"")</f>
        <v>Matematik i skoven</v>
      </c>
      <c r="DJ15" t="str">
        <f t="shared" ref="DJ15:DJ44" si="34">IF(E15="",H15,"")</f>
        <v/>
      </c>
      <c r="DK15" t="str">
        <f t="shared" si="15"/>
        <v/>
      </c>
      <c r="DL15" t="str">
        <f t="shared" si="15"/>
        <v>Matematik i skoven</v>
      </c>
      <c r="DM15" t="str">
        <f t="shared" si="15"/>
        <v/>
      </c>
      <c r="DN15" t="str">
        <f t="shared" ref="DN15:DN44" si="35">DK15&amp;""&amp;DL15&amp;""&amp;DM15</f>
        <v>Matematik i skoven</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6"/>
        <v>0</v>
      </c>
      <c r="FZ15" s="634">
        <f t="shared" si="17"/>
        <v>0</v>
      </c>
      <c r="GA15">
        <f t="shared" si="18"/>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t="str">
        <f t="shared" ref="GJ15:GJ44" si="36">IF(C15="fagdag","X",0)</f>
        <v>X</v>
      </c>
      <c r="GK15">
        <f t="shared" si="19"/>
        <v>0</v>
      </c>
      <c r="GL15">
        <f t="shared" si="20"/>
        <v>0</v>
      </c>
      <c r="GM15">
        <f t="shared" si="21"/>
        <v>0</v>
      </c>
      <c r="GN15" s="713">
        <f t="shared" si="22"/>
        <v>0</v>
      </c>
      <c r="GO15">
        <f t="shared" ref="GO15:GO44" si="37">COUNTIF(GJ15:GN15,"X")</f>
        <v>1</v>
      </c>
      <c r="GP15" s="647">
        <f t="shared" ref="GP15:GP44" si="38">IF(AND(I15="X",S15="X"),V15,0)</f>
        <v>0</v>
      </c>
    </row>
    <row r="16" spans="1:198">
      <c r="A16" s="239">
        <f t="shared" si="23"/>
        <v>3</v>
      </c>
      <c r="B16" s="125" t="str">
        <f t="shared" si="0"/>
        <v>on</v>
      </c>
      <c r="C16" s="126" t="s">
        <v>203</v>
      </c>
      <c r="D16" s="127" t="str">
        <f t="shared" si="1"/>
        <v/>
      </c>
      <c r="E16" s="1060"/>
      <c r="F16" s="1061"/>
      <c r="G16" s="1062"/>
      <c r="H16" s="292"/>
      <c r="I16" s="745"/>
      <c r="J16" s="746" t="str">
        <f t="shared" si="2"/>
        <v/>
      </c>
      <c r="K16" s="368"/>
      <c r="L16" s="368"/>
      <c r="M16" s="368"/>
      <c r="N16" s="311">
        <f t="shared" si="24"/>
        <v>8.11</v>
      </c>
      <c r="O16" s="311">
        <f t="shared" si="25"/>
        <v>2.75</v>
      </c>
      <c r="P16" s="311">
        <f>IF(Stamoplysninger!$H$34="JA",Marts!DG16,CX16)</f>
        <v>1.25</v>
      </c>
      <c r="Q16" s="311">
        <f t="shared" si="26"/>
        <v>4.1099999999999994</v>
      </c>
      <c r="R16" s="751"/>
      <c r="S16" s="315"/>
      <c r="T16" s="316"/>
      <c r="U16" s="316"/>
      <c r="V16" s="422"/>
      <c r="W16" s="400"/>
      <c r="X16" s="619"/>
      <c r="Y16">
        <f t="shared" si="27"/>
        <v>0</v>
      </c>
      <c r="Z16">
        <f t="shared" si="3"/>
        <v>0</v>
      </c>
      <c r="AA16" s="1">
        <f t="shared" si="4"/>
        <v>0</v>
      </c>
      <c r="AB16" s="1">
        <f t="shared" si="5"/>
        <v>0</v>
      </c>
      <c r="AC16" s="1">
        <f t="shared" si="6"/>
        <v>0</v>
      </c>
      <c r="AD16" s="1">
        <f t="shared" si="7"/>
        <v>0</v>
      </c>
      <c r="AE16" s="1">
        <f t="shared" si="8"/>
        <v>0</v>
      </c>
      <c r="AF16" s="1">
        <f>IF(C16="Orlov",7.4*Stamoplysninger!$E$20,0)</f>
        <v>0</v>
      </c>
      <c r="AG16" t="str">
        <f>IF(AND(C16="Skema 1",B16="ma"),Arbejdstidsoversigt!$E$77,"")</f>
        <v/>
      </c>
      <c r="AH16" t="str">
        <f>IF(AND(C16="Skema 1",B16="ti"),Arbejdstidsoversigt!$E$78,"")</f>
        <v/>
      </c>
      <c r="AI16">
        <f>IF(AND(C16="Skema 1",B16="on"),Arbejdstidsoversigt!$E$79,"")</f>
        <v>8.11</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8.11</v>
      </c>
      <c r="BB16" s="224">
        <f t="shared" si="9"/>
        <v>194.64</v>
      </c>
      <c r="BC16" s="1">
        <f t="shared" si="29"/>
        <v>0</v>
      </c>
      <c r="BD16" s="1">
        <f t="shared" si="10"/>
        <v>0</v>
      </c>
      <c r="BE16" s="1">
        <f t="shared" si="11"/>
        <v>0</v>
      </c>
      <c r="BF16" s="1">
        <f t="shared" si="12"/>
        <v>0</v>
      </c>
      <c r="BG16" s="207" t="str">
        <f>IF(AND(C16="Skema 1",B16="ma"),Skemaoplysninger!$E$46,"")</f>
        <v/>
      </c>
      <c r="BH16" s="207" t="str">
        <f>IF(AND(C16="Skema 1",B16="ti"),Skemaoplysninger!$G$46,"")</f>
        <v/>
      </c>
      <c r="BI16" s="207">
        <f>IF(AND(C16="Skema 1",B16="on"),Skemaoplysninger!$I$46,"")</f>
        <v>0.11458333333333333</v>
      </c>
      <c r="BJ16" s="207" t="str">
        <f>IF(AND(C16="Skema 1",B16="to"),Skemaoplysninger!$K$46,"")</f>
        <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0"/>
        <v>2.75</v>
      </c>
      <c r="CB16" s="1">
        <f t="shared" si="13"/>
        <v>0</v>
      </c>
      <c r="CC16" s="1">
        <f t="shared" si="14"/>
        <v>0</v>
      </c>
      <c r="CD16" s="207" t="str">
        <f>IF(AND(C16="Skema 1",B16="ma"),Skemaoplysninger!$E$47,"")</f>
        <v/>
      </c>
      <c r="CE16" s="207" t="str">
        <f>IF(AND(C16="Skema 1",B16="ti"),Skemaoplysninger!$G$47,"")</f>
        <v/>
      </c>
      <c r="CF16" s="207">
        <f>IF(AND(C16="Skema 1",B16="on"),Skemaoplysninger!$I$47,"")</f>
        <v>5.2083333333333329E-2</v>
      </c>
      <c r="CG16" s="207" t="str">
        <f>IF(AND(C16="Skema 1",B16="to"),Skemaoplysninger!$K$47,"")</f>
        <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1.25</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5"/>
        <v/>
      </c>
      <c r="DL16" t="str">
        <f t="shared" si="15"/>
        <v/>
      </c>
      <c r="DM16" t="str">
        <f t="shared" si="15"/>
        <v/>
      </c>
      <c r="DN16" t="str">
        <f t="shared" si="35"/>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6"/>
        <v>0</v>
      </c>
      <c r="FZ16" s="634">
        <f t="shared" si="17"/>
        <v>0</v>
      </c>
      <c r="GA16">
        <f t="shared" si="18"/>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9"/>
        <v>0</v>
      </c>
      <c r="GL16">
        <f t="shared" si="20"/>
        <v>0</v>
      </c>
      <c r="GM16">
        <f t="shared" si="21"/>
        <v>0</v>
      </c>
      <c r="GN16" s="713">
        <f t="shared" si="22"/>
        <v>0</v>
      </c>
      <c r="GO16">
        <f t="shared" si="37"/>
        <v>0</v>
      </c>
      <c r="GP16" s="647">
        <f t="shared" si="38"/>
        <v>0</v>
      </c>
    </row>
    <row r="17" spans="1:198">
      <c r="A17" s="239">
        <f t="shared" si="23"/>
        <v>4</v>
      </c>
      <c r="B17" s="125" t="str">
        <f t="shared" si="0"/>
        <v>to</v>
      </c>
      <c r="C17" s="126" t="s">
        <v>203</v>
      </c>
      <c r="D17" s="127" t="str">
        <f t="shared" si="1"/>
        <v/>
      </c>
      <c r="E17" s="1060"/>
      <c r="F17" s="1061"/>
      <c r="G17" s="1062"/>
      <c r="H17" s="292"/>
      <c r="I17" s="745"/>
      <c r="J17" s="746" t="str">
        <f t="shared" si="2"/>
        <v/>
      </c>
      <c r="K17" s="368"/>
      <c r="L17" s="368"/>
      <c r="M17" s="368"/>
      <c r="N17" s="311">
        <f t="shared" si="24"/>
        <v>9</v>
      </c>
      <c r="O17" s="311">
        <f t="shared" si="25"/>
        <v>3.75</v>
      </c>
      <c r="P17" s="311">
        <f>IF(Stamoplysninger!$H$34="JA",Marts!DG17,CX17)</f>
        <v>1</v>
      </c>
      <c r="Q17" s="311">
        <f t="shared" si="26"/>
        <v>4.25</v>
      </c>
      <c r="R17" s="751"/>
      <c r="S17" s="315"/>
      <c r="T17" s="316"/>
      <c r="U17" s="316"/>
      <c r="V17" s="422"/>
      <c r="W17" s="400"/>
      <c r="X17" s="619"/>
      <c r="Y17">
        <f t="shared" si="27"/>
        <v>0</v>
      </c>
      <c r="Z17">
        <f t="shared" si="3"/>
        <v>0</v>
      </c>
      <c r="AA17" s="1">
        <f t="shared" si="4"/>
        <v>0</v>
      </c>
      <c r="AB17" s="1">
        <f t="shared" si="5"/>
        <v>0</v>
      </c>
      <c r="AC17" s="1">
        <f t="shared" si="6"/>
        <v>0</v>
      </c>
      <c r="AD17" s="1">
        <f t="shared" si="7"/>
        <v>0</v>
      </c>
      <c r="AE17" s="1">
        <f t="shared" si="8"/>
        <v>0</v>
      </c>
      <c r="AF17" s="1">
        <f>IF(C17="Orlov",7.4*Stamoplysninger!$E$20,0)</f>
        <v>0</v>
      </c>
      <c r="AG17" t="str">
        <f>IF(AND(C17="Skema 1",B17="ma"),Arbejdstidsoversigt!$E$77,"")</f>
        <v/>
      </c>
      <c r="AH17" t="str">
        <f>IF(AND(C17="Skema 1",B17="ti"),Arbejdstidsoversigt!$E$78,"")</f>
        <v/>
      </c>
      <c r="AI17" t="str">
        <f>IF(AND(C17="Skema 1",B17="on"),Arbejdstidsoversigt!$E$79,"")</f>
        <v/>
      </c>
      <c r="AJ17">
        <f>IF(AND(C17="Skema 1",B17="to"),Arbejdstidsoversigt!$E$80,"")</f>
        <v>9</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9</v>
      </c>
      <c r="BB17" s="224">
        <f t="shared" si="9"/>
        <v>216</v>
      </c>
      <c r="BC17" s="1">
        <f t="shared" si="29"/>
        <v>0</v>
      </c>
      <c r="BD17" s="1">
        <f t="shared" si="10"/>
        <v>0</v>
      </c>
      <c r="BE17" s="1">
        <f t="shared" si="11"/>
        <v>0</v>
      </c>
      <c r="BF17" s="1">
        <f t="shared" si="12"/>
        <v>0</v>
      </c>
      <c r="BG17" s="207" t="str">
        <f>IF(AND(C17="Skema 1",B17="ma"),Skemaoplysninger!$E$46,"")</f>
        <v/>
      </c>
      <c r="BH17" s="207" t="str">
        <f>IF(AND(C17="Skema 1",B17="ti"),Skemaoplysninger!$G$46,"")</f>
        <v/>
      </c>
      <c r="BI17" s="207" t="str">
        <f>IF(AND(C17="Skema 1",B17="on"),Skemaoplysninger!$I$46,"")</f>
        <v/>
      </c>
      <c r="BJ17" s="207">
        <f>IF(AND(C17="Skema 1",B17="to"),Skemaoplysninger!$K$46,"")</f>
        <v>0.15625</v>
      </c>
      <c r="BK17" s="207" t="str">
        <f>IF(AND(C17="Skema 1",B17="fr"),Skemaoplysninger!$M$46,"")</f>
        <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3.75</v>
      </c>
      <c r="CB17" s="1">
        <f t="shared" si="13"/>
        <v>0</v>
      </c>
      <c r="CC17" s="1">
        <f t="shared" si="14"/>
        <v>0</v>
      </c>
      <c r="CD17" s="207" t="str">
        <f>IF(AND(C17="Skema 1",B17="ma"),Skemaoplysninger!$E$47,"")</f>
        <v/>
      </c>
      <c r="CE17" s="207" t="str">
        <f>IF(AND(C17="Skema 1",B17="ti"),Skemaoplysninger!$G$47,"")</f>
        <v/>
      </c>
      <c r="CF17" s="207" t="str">
        <f>IF(AND(C17="Skema 1",B17="on"),Skemaoplysninger!$I$47,"")</f>
        <v/>
      </c>
      <c r="CG17" s="207">
        <f>IF(AND(C17="Skema 1",B17="to"),Skemaoplysninger!$K$47,"")</f>
        <v>4.1666666666666664E-2</v>
      </c>
      <c r="CH17" s="207" t="str">
        <f>IF(AND(C17="Skema 1",B17="fr"),Skemaoplysninger!$M$47,"")</f>
        <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1</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5"/>
        <v/>
      </c>
      <c r="DL17" t="str">
        <f t="shared" si="15"/>
        <v/>
      </c>
      <c r="DM17" t="str">
        <f t="shared" si="15"/>
        <v/>
      </c>
      <c r="DN17" t="str">
        <f t="shared" si="3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6"/>
        <v>0</v>
      </c>
      <c r="FZ17" s="634">
        <f t="shared" si="17"/>
        <v>0</v>
      </c>
      <c r="GA17">
        <f t="shared" si="18"/>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9"/>
        <v>0</v>
      </c>
      <c r="GL17">
        <f t="shared" si="20"/>
        <v>0</v>
      </c>
      <c r="GM17">
        <f t="shared" si="21"/>
        <v>0</v>
      </c>
      <c r="GN17" s="713">
        <f t="shared" si="22"/>
        <v>0</v>
      </c>
      <c r="GO17">
        <f t="shared" si="37"/>
        <v>0</v>
      </c>
      <c r="GP17" s="647">
        <f t="shared" si="38"/>
        <v>0</v>
      </c>
    </row>
    <row r="18" spans="1:198">
      <c r="A18" s="239">
        <f t="shared" si="23"/>
        <v>5</v>
      </c>
      <c r="B18" s="125" t="str">
        <f t="shared" si="0"/>
        <v>fr</v>
      </c>
      <c r="C18" s="126" t="s">
        <v>137</v>
      </c>
      <c r="D18" s="127" t="str">
        <f t="shared" si="1"/>
        <v/>
      </c>
      <c r="E18" s="1060" t="s">
        <v>763</v>
      </c>
      <c r="F18" s="1061"/>
      <c r="G18" s="1062"/>
      <c r="H18" s="292"/>
      <c r="I18" s="745"/>
      <c r="J18" s="746" t="str">
        <f t="shared" si="2"/>
        <v/>
      </c>
      <c r="K18" s="368">
        <v>10</v>
      </c>
      <c r="L18" s="368"/>
      <c r="M18" s="368"/>
      <c r="N18" s="311">
        <f t="shared" si="24"/>
        <v>10</v>
      </c>
      <c r="O18" s="311">
        <f t="shared" si="25"/>
        <v>0</v>
      </c>
      <c r="P18" s="311">
        <f>IF(Stamoplysninger!$H$34="JA",Marts!DG18,CX18)</f>
        <v>0</v>
      </c>
      <c r="Q18" s="311">
        <f t="shared" si="26"/>
        <v>0</v>
      </c>
      <c r="R18" s="751"/>
      <c r="S18" s="315"/>
      <c r="T18" s="316"/>
      <c r="U18" s="316"/>
      <c r="V18" s="422"/>
      <c r="W18" s="400"/>
      <c r="X18" s="619"/>
      <c r="Y18">
        <f t="shared" si="27"/>
        <v>0</v>
      </c>
      <c r="Z18">
        <f t="shared" si="3"/>
        <v>0</v>
      </c>
      <c r="AA18" s="1">
        <f t="shared" si="4"/>
        <v>0</v>
      </c>
      <c r="AB18" s="1">
        <f t="shared" si="5"/>
        <v>0</v>
      </c>
      <c r="AC18" s="1">
        <f t="shared" si="6"/>
        <v>10</v>
      </c>
      <c r="AD18" s="1">
        <f t="shared" si="7"/>
        <v>0</v>
      </c>
      <c r="AE18" s="1">
        <f t="shared" si="8"/>
        <v>0</v>
      </c>
      <c r="AF18" s="1">
        <f>IF(C18="Orlov",7.4*Stamoplysninger!$E$20,0)</f>
        <v>0</v>
      </c>
      <c r="AG18" t="str">
        <f>IF(AND(C18="Skema 1",B18="ma"),Arbejdstidsoversigt!$E$77,"")</f>
        <v/>
      </c>
      <c r="AH18" t="str">
        <f>IF(AND(C18="Skema 1",B18="ti"),Arbejdstidsoversigt!$E$78,"")</f>
        <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10</v>
      </c>
      <c r="BB18" s="224">
        <f t="shared" si="9"/>
        <v>0</v>
      </c>
      <c r="BC18" s="1">
        <f t="shared" si="29"/>
        <v>0</v>
      </c>
      <c r="BD18" s="1">
        <f t="shared" si="10"/>
        <v>0</v>
      </c>
      <c r="BE18" s="1">
        <f t="shared" si="11"/>
        <v>0</v>
      </c>
      <c r="BF18" s="1">
        <f t="shared" si="12"/>
        <v>0</v>
      </c>
      <c r="BG18" s="207" t="str">
        <f>IF(AND(C18="Skema 1",B18="ma"),Skemaoplysninger!$E$46,"")</f>
        <v/>
      </c>
      <c r="BH18" s="207" t="str">
        <f>IF(AND(C18="Skema 1",B18="ti"),Skemaoplysninger!$G$46,"")</f>
        <v/>
      </c>
      <c r="BI18" s="207" t="str">
        <f>IF(AND(C18="Skema 1",B18="on"),Skemaoplysninger!$I$46,"")</f>
        <v/>
      </c>
      <c r="BJ18" s="207" t="str">
        <f>IF(AND(C18="Skema 1",B18="to"),Skemaoplysninger!$K$46,"")</f>
        <v/>
      </c>
      <c r="BK18" s="207" t="str">
        <f>IF(AND(C18="Skema 1",B18="fr"),Skemaoplysninger!$M$46,"")</f>
        <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0</v>
      </c>
      <c r="CB18" s="1">
        <f t="shared" si="13"/>
        <v>0</v>
      </c>
      <c r="CC18" s="1">
        <f t="shared" si="14"/>
        <v>0</v>
      </c>
      <c r="CD18" s="207" t="str">
        <f>IF(AND(C18="Skema 1",B18="ma"),Skemaoplysninger!$E$47,"")</f>
        <v/>
      </c>
      <c r="CE18" s="207" t="str">
        <f>IF(AND(C18="Skema 1",B18="ti"),Skemaoplysninger!$G$47,"")</f>
        <v/>
      </c>
      <c r="CF18" s="207" t="str">
        <f>IF(AND(C18="Skema 1",B18="on"),Skemaoplysninger!$I$47,"")</f>
        <v/>
      </c>
      <c r="CG18" s="207" t="str">
        <f>IF(AND(C18="Skema 1",B18="to"),Skemaoplysninger!$K$47,"")</f>
        <v/>
      </c>
      <c r="CH18" s="207" t="str">
        <f>IF(AND(C18="Skema 1",B18="fr"),Skemaoplysninger!$M$47,"")</f>
        <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t="str">
        <f t="shared" si="33"/>
        <v>Planlægning af det kommende skoleår</v>
      </c>
      <c r="DJ18" t="str">
        <f t="shared" si="34"/>
        <v/>
      </c>
      <c r="DK18" t="str">
        <f t="shared" si="15"/>
        <v/>
      </c>
      <c r="DL18" t="str">
        <f t="shared" si="15"/>
        <v>Planlægning af det kommende skoleår</v>
      </c>
      <c r="DM18" t="str">
        <f t="shared" si="15"/>
        <v/>
      </c>
      <c r="DN18" t="str">
        <f t="shared" si="35"/>
        <v>Planlægning af det kommende skoleår</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6"/>
        <v>0</v>
      </c>
      <c r="FZ18" s="634">
        <f t="shared" si="17"/>
        <v>0</v>
      </c>
      <c r="GA18">
        <f t="shared" si="18"/>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9"/>
        <v>0</v>
      </c>
      <c r="GL18">
        <f t="shared" si="20"/>
        <v>0</v>
      </c>
      <c r="GM18" t="str">
        <f t="shared" si="21"/>
        <v>X</v>
      </c>
      <c r="GN18" s="713">
        <f t="shared" si="22"/>
        <v>0</v>
      </c>
      <c r="GO18">
        <f t="shared" si="37"/>
        <v>1</v>
      </c>
      <c r="GP18" s="647">
        <f t="shared" si="38"/>
        <v>0</v>
      </c>
    </row>
    <row r="19" spans="1:198" ht="16" customHeight="1">
      <c r="A19" s="239">
        <f t="shared" si="23"/>
        <v>6</v>
      </c>
      <c r="B19" s="125" t="str">
        <f t="shared" si="0"/>
        <v>lø</v>
      </c>
      <c r="C19" s="126" t="s">
        <v>137</v>
      </c>
      <c r="D19" s="127" t="str">
        <f t="shared" si="1"/>
        <v/>
      </c>
      <c r="E19" s="1060" t="s">
        <v>763</v>
      </c>
      <c r="F19" s="1061"/>
      <c r="G19" s="1062"/>
      <c r="H19" s="292"/>
      <c r="I19" s="746" t="str">
        <f>IF(GO19=1,"X","")</f>
        <v>X</v>
      </c>
      <c r="J19" s="746" t="str">
        <f t="shared" si="2"/>
        <v/>
      </c>
      <c r="K19" s="368">
        <v>5</v>
      </c>
      <c r="L19" s="368"/>
      <c r="M19" s="368"/>
      <c r="N19" s="311">
        <f t="shared" si="24"/>
        <v>5</v>
      </c>
      <c r="O19" s="311">
        <f t="shared" si="25"/>
        <v>0</v>
      </c>
      <c r="P19" s="311">
        <f>IF(Stamoplysninger!$H$34="JA",Marts!DG19,CX19)</f>
        <v>0</v>
      </c>
      <c r="Q19" s="311">
        <f t="shared" si="26"/>
        <v>0</v>
      </c>
      <c r="R19" s="751"/>
      <c r="S19" s="315"/>
      <c r="T19" s="316"/>
      <c r="U19" s="316"/>
      <c r="V19" s="422"/>
      <c r="W19" s="400"/>
      <c r="X19" s="619"/>
      <c r="Y19">
        <f t="shared" si="27"/>
        <v>0</v>
      </c>
      <c r="Z19">
        <f t="shared" si="3"/>
        <v>0</v>
      </c>
      <c r="AA19" s="1">
        <f t="shared" si="4"/>
        <v>0</v>
      </c>
      <c r="AB19" s="1">
        <f t="shared" si="5"/>
        <v>0</v>
      </c>
      <c r="AC19" s="1">
        <f t="shared" si="6"/>
        <v>5</v>
      </c>
      <c r="AD19" s="1">
        <f t="shared" si="7"/>
        <v>0</v>
      </c>
      <c r="AE19" s="1">
        <f t="shared" si="8"/>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5</v>
      </c>
      <c r="BB19" s="224">
        <f t="shared" si="9"/>
        <v>0</v>
      </c>
      <c r="BC19" s="1">
        <f t="shared" si="29"/>
        <v>0</v>
      </c>
      <c r="BD19" s="1">
        <f t="shared" si="10"/>
        <v>0</v>
      </c>
      <c r="BE19" s="1">
        <f t="shared" si="11"/>
        <v>0</v>
      </c>
      <c r="BF19" s="1">
        <f t="shared" si="12"/>
        <v>0</v>
      </c>
      <c r="BG19" s="207" t="str">
        <f>IF(AND(C19="Skema 1",B19="ma"),Skemaoplysninger!$E$46,"")</f>
        <v/>
      </c>
      <c r="BH19" s="207" t="str">
        <f>IF(AND(C19="Skema 1",B19="ti"),Skemaoplysninger!$G$46,"")</f>
        <v/>
      </c>
      <c r="BI19" s="207" t="str">
        <f>IF(AND(C19="Skema 1",B19="on"),Skemaoplysninger!$I$46,"")</f>
        <v/>
      </c>
      <c r="BJ19" s="207" t="str">
        <f>IF(AND(C19="Skema 1",B19="to"),Skemaoplysninger!$K$46,"")</f>
        <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0</v>
      </c>
      <c r="CB19" s="1">
        <f t="shared" si="13"/>
        <v>0</v>
      </c>
      <c r="CC19" s="1">
        <f t="shared" si="14"/>
        <v>0</v>
      </c>
      <c r="CD19" s="207" t="str">
        <f>IF(AND(C19="Skema 1",B19="ma"),Skemaoplysninger!$E$47,"")</f>
        <v/>
      </c>
      <c r="CE19" s="207" t="str">
        <f>IF(AND(C19="Skema 1",B19="ti"),Skemaoplysninger!$G$47,"")</f>
        <v/>
      </c>
      <c r="CF19" s="207" t="str">
        <f>IF(AND(C19="Skema 1",B19="on"),Skemaoplysninger!$I$47,"")</f>
        <v/>
      </c>
      <c r="CG19" s="207" t="str">
        <f>IF(AND(C19="Skema 1",B19="to"),Skemaoplysninger!$K$47,"")</f>
        <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t="str">
        <f t="shared" si="33"/>
        <v>Planlægning af det kommende skoleår</v>
      </c>
      <c r="DJ19" t="str">
        <f t="shared" si="34"/>
        <v/>
      </c>
      <c r="DK19" t="str">
        <f t="shared" si="15"/>
        <v/>
      </c>
      <c r="DL19" t="str">
        <f t="shared" si="15"/>
        <v>Planlægning af det kommende skoleår</v>
      </c>
      <c r="DM19" t="str">
        <f t="shared" si="15"/>
        <v/>
      </c>
      <c r="DN19" t="str">
        <f t="shared" si="35"/>
        <v>Planlægning af det kommende skoleår</v>
      </c>
      <c r="DO19" s="628">
        <f>IF(AND(Stamoplysninger!$B$27="Ulempetillæg udbetales med 25% af nettotimelønnen.",H19&gt;0),(R19/4),0)</f>
        <v>0</v>
      </c>
      <c r="DP19">
        <f>IF(AND(AND(Stamoplysninger!$B$27="Ulempetillæg udbetales med 25% af nettotimelønnen.",I19="X",J19="")),K19/4,0)</f>
        <v>1.25</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7.5</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5</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6"/>
        <v>0</v>
      </c>
      <c r="FZ19" s="634">
        <f t="shared" si="17"/>
        <v>0</v>
      </c>
      <c r="GA19">
        <f t="shared" si="18"/>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9"/>
        <v>0</v>
      </c>
      <c r="GL19">
        <f t="shared" si="20"/>
        <v>0</v>
      </c>
      <c r="GM19" t="str">
        <f t="shared" si="21"/>
        <v>X</v>
      </c>
      <c r="GN19" s="713">
        <f t="shared" si="22"/>
        <v>0</v>
      </c>
      <c r="GO19">
        <f t="shared" si="37"/>
        <v>1</v>
      </c>
      <c r="GP19" s="647">
        <f t="shared" si="38"/>
        <v>0</v>
      </c>
    </row>
    <row r="20" spans="1:198" ht="16" customHeight="1">
      <c r="A20" s="239">
        <f t="shared" si="23"/>
        <v>7</v>
      </c>
      <c r="B20" s="125" t="str">
        <f t="shared" si="0"/>
        <v>sø</v>
      </c>
      <c r="C20" s="126" t="s">
        <v>118</v>
      </c>
      <c r="D20" s="127" t="str">
        <f t="shared" si="1"/>
        <v/>
      </c>
      <c r="E20" s="1060"/>
      <c r="F20" s="1061"/>
      <c r="G20" s="1062"/>
      <c r="H20" s="292"/>
      <c r="I20" s="746" t="str">
        <f>IF(GO20=1,"X","")</f>
        <v/>
      </c>
      <c r="J20" s="746" t="str">
        <f t="shared" si="2"/>
        <v/>
      </c>
      <c r="K20" s="368"/>
      <c r="L20" s="368"/>
      <c r="M20" s="368"/>
      <c r="N20" s="311">
        <f t="shared" si="24"/>
        <v>0</v>
      </c>
      <c r="O20" s="311">
        <f t="shared" si="25"/>
        <v>0</v>
      </c>
      <c r="P20" s="311">
        <f>IF(Stamoplysninger!$H$34="JA",Marts!DG20,CX20)</f>
        <v>0</v>
      </c>
      <c r="Q20" s="311">
        <f t="shared" si="26"/>
        <v>0</v>
      </c>
      <c r="R20" s="751"/>
      <c r="S20" s="315"/>
      <c r="T20" s="316"/>
      <c r="U20" s="316"/>
      <c r="V20" s="422"/>
      <c r="W20" s="400"/>
      <c r="X20" s="619"/>
      <c r="Y20">
        <f t="shared" si="27"/>
        <v>0</v>
      </c>
      <c r="Z20">
        <f t="shared" si="3"/>
        <v>0</v>
      </c>
      <c r="AA20" s="1">
        <f t="shared" si="4"/>
        <v>0</v>
      </c>
      <c r="AB20" s="1">
        <f t="shared" si="5"/>
        <v>0</v>
      </c>
      <c r="AC20" s="1">
        <f t="shared" si="6"/>
        <v>0</v>
      </c>
      <c r="AD20" s="1">
        <f t="shared" si="7"/>
        <v>0</v>
      </c>
      <c r="AE20" s="1">
        <f t="shared" si="8"/>
        <v>0</v>
      </c>
      <c r="AF20" s="1">
        <f>IF(C20="Orlov",7.4*Stamoplysninger!$E$20,0)</f>
        <v>0</v>
      </c>
      <c r="AG20" t="str">
        <f>IF(AND(C20="Skema 1",B20="ma"),Arbejdstidsoversigt!$E$77,"")</f>
        <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9"/>
        <v>0</v>
      </c>
      <c r="BC20" s="1">
        <f t="shared" si="29"/>
        <v>0</v>
      </c>
      <c r="BD20" s="1">
        <f t="shared" si="10"/>
        <v>0</v>
      </c>
      <c r="BE20" s="1">
        <f t="shared" si="11"/>
        <v>0</v>
      </c>
      <c r="BF20" s="1">
        <f t="shared" si="12"/>
        <v>0</v>
      </c>
      <c r="BG20" s="207" t="str">
        <f>IF(AND(C20="Skema 1",B20="ma"),Skemaoplysninger!$E$46,"")</f>
        <v/>
      </c>
      <c r="BH20" s="207" t="str">
        <f>IF(AND(C20="Skema 1",B20="ti"),Skemaoplysninger!$G$46,"")</f>
        <v/>
      </c>
      <c r="BI20" s="207" t="str">
        <f>IF(AND(C20="Skema 1",B20="on"),Skemaoplysninger!$I$46,"")</f>
        <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0</v>
      </c>
      <c r="CB20" s="1">
        <f t="shared" si="13"/>
        <v>0</v>
      </c>
      <c r="CC20" s="1">
        <f t="shared" si="14"/>
        <v>0</v>
      </c>
      <c r="CD20" s="207" t="str">
        <f>IF(AND(C20="Skema 1",B20="ma"),Skemaoplysninger!$E$47,"")</f>
        <v/>
      </c>
      <c r="CE20" s="207" t="str">
        <f>IF(AND(C20="Skema 1",B20="ti"),Skemaoplysninger!$G$47,"")</f>
        <v/>
      </c>
      <c r="CF20" s="207" t="str">
        <f>IF(AND(C20="Skema 1",B20="on"),Skemaoplysninger!$I$47,"")</f>
        <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5"/>
        <v/>
      </c>
      <c r="DL20" t="str">
        <f t="shared" si="15"/>
        <v/>
      </c>
      <c r="DM20" t="str">
        <f t="shared" si="15"/>
        <v/>
      </c>
      <c r="DN20" t="str">
        <f t="shared" si="35"/>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6"/>
        <v>0</v>
      </c>
      <c r="FZ20" s="634">
        <f t="shared" si="17"/>
        <v>0</v>
      </c>
      <c r="GA20">
        <f t="shared" si="18"/>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9"/>
        <v>0</v>
      </c>
      <c r="GL20">
        <f t="shared" si="20"/>
        <v>0</v>
      </c>
      <c r="GM20">
        <f t="shared" si="21"/>
        <v>0</v>
      </c>
      <c r="GN20" s="713">
        <f t="shared" si="22"/>
        <v>0</v>
      </c>
      <c r="GO20">
        <f t="shared" si="37"/>
        <v>0</v>
      </c>
      <c r="GP20" s="647">
        <f t="shared" si="38"/>
        <v>0</v>
      </c>
    </row>
    <row r="21" spans="1:198">
      <c r="A21" s="239">
        <f t="shared" si="23"/>
        <v>8</v>
      </c>
      <c r="B21" s="125" t="str">
        <f t="shared" si="0"/>
        <v>ma</v>
      </c>
      <c r="C21" s="126" t="s">
        <v>203</v>
      </c>
      <c r="D21" s="127">
        <f t="shared" si="1"/>
        <v>10.428571428571429</v>
      </c>
      <c r="E21" s="1060"/>
      <c r="F21" s="1061"/>
      <c r="G21" s="1062"/>
      <c r="H21" s="292"/>
      <c r="I21" s="745"/>
      <c r="J21" s="746" t="str">
        <f t="shared" si="2"/>
        <v/>
      </c>
      <c r="K21" s="368"/>
      <c r="L21" s="368"/>
      <c r="M21" s="368"/>
      <c r="N21" s="311">
        <f t="shared" si="24"/>
        <v>8.11</v>
      </c>
      <c r="O21" s="311">
        <f t="shared" si="25"/>
        <v>4.5</v>
      </c>
      <c r="P21" s="311">
        <f>IF(Stamoplysninger!$H$34="JA",Marts!DG21,CX21)</f>
        <v>1.9166666666666665</v>
      </c>
      <c r="Q21" s="311">
        <f t="shared" si="26"/>
        <v>1.6933333333333329</v>
      </c>
      <c r="R21" s="751"/>
      <c r="S21" s="315"/>
      <c r="T21" s="316"/>
      <c r="U21" s="316"/>
      <c r="V21" s="422"/>
      <c r="W21" s="400"/>
      <c r="X21" s="619"/>
      <c r="Y21">
        <f t="shared" si="27"/>
        <v>0</v>
      </c>
      <c r="Z21">
        <f t="shared" si="3"/>
        <v>0</v>
      </c>
      <c r="AA21" s="1">
        <f t="shared" si="4"/>
        <v>0</v>
      </c>
      <c r="AB21" s="1">
        <f t="shared" si="5"/>
        <v>0</v>
      </c>
      <c r="AC21" s="1">
        <f t="shared" si="6"/>
        <v>0</v>
      </c>
      <c r="AD21" s="1">
        <f t="shared" si="7"/>
        <v>0</v>
      </c>
      <c r="AE21" s="1">
        <f t="shared" si="8"/>
        <v>0</v>
      </c>
      <c r="AF21" s="1">
        <f>IF(C21="Orlov",7.4*Stamoplysninger!$E$20,0)</f>
        <v>0</v>
      </c>
      <c r="AG21">
        <f>IF(AND(C21="Skema 1",B21="ma"),Arbejdstidsoversigt!$E$77,"")</f>
        <v>8.11</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8.11</v>
      </c>
      <c r="BB21" s="224">
        <f t="shared" si="9"/>
        <v>194.64</v>
      </c>
      <c r="BC21" s="1">
        <f t="shared" si="29"/>
        <v>0</v>
      </c>
      <c r="BD21" s="1">
        <f t="shared" si="10"/>
        <v>0</v>
      </c>
      <c r="BE21" s="1">
        <f t="shared" si="11"/>
        <v>0</v>
      </c>
      <c r="BF21" s="1">
        <f t="shared" si="12"/>
        <v>0</v>
      </c>
      <c r="BG21" s="207">
        <f>IF(AND(C21="Skema 1",B21="ma"),Skemaoplysninger!$E$46,"")</f>
        <v>0.1875</v>
      </c>
      <c r="BH21" s="207" t="str">
        <f>IF(AND(C21="Skema 1",B21="ti"),Skemaoplysninger!$G$46,"")</f>
        <v/>
      </c>
      <c r="BI21" s="207" t="str">
        <f>IF(AND(C21="Skema 1",B21="on"),Skemaoplysninger!$I$46,"")</f>
        <v/>
      </c>
      <c r="BJ21" s="207" t="str">
        <f>IF(AND(C21="Skema 1",B21="to"),Skemaoplysninger!$K$46,"")</f>
        <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4.5</v>
      </c>
      <c r="CB21" s="1">
        <f t="shared" si="13"/>
        <v>0</v>
      </c>
      <c r="CC21" s="1">
        <f t="shared" si="14"/>
        <v>0</v>
      </c>
      <c r="CD21" s="207">
        <f>IF(AND(C21="Skema 1",B21="ma"),Skemaoplysninger!$E$47,"")</f>
        <v>7.9861111111111105E-2</v>
      </c>
      <c r="CE21" s="207" t="str">
        <f>IF(AND(C21="Skema 1",B21="ti"),Skemaoplysninger!$G$47,"")</f>
        <v/>
      </c>
      <c r="CF21" s="207" t="str">
        <f>IF(AND(C21="Skema 1",B21="on"),Skemaoplysninger!$I$47,"")</f>
        <v/>
      </c>
      <c r="CG21" s="207" t="str">
        <f>IF(AND(C21="Skema 1",B21="to"),Skemaoplysninger!$K$47,"")</f>
        <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1.9166666666666665</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5"/>
        <v/>
      </c>
      <c r="DL21" t="str">
        <f t="shared" si="15"/>
        <v/>
      </c>
      <c r="DM21" t="str">
        <f t="shared" si="15"/>
        <v/>
      </c>
      <c r="DN21" t="str">
        <f t="shared" si="35"/>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6"/>
        <v>0</v>
      </c>
      <c r="FZ21" s="634">
        <f t="shared" si="17"/>
        <v>0</v>
      </c>
      <c r="GA21">
        <f t="shared" si="18"/>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9"/>
        <v>0</v>
      </c>
      <c r="GL21">
        <f t="shared" si="20"/>
        <v>0</v>
      </c>
      <c r="GM21">
        <f t="shared" si="21"/>
        <v>0</v>
      </c>
      <c r="GN21" s="713">
        <f t="shared" si="22"/>
        <v>0</v>
      </c>
      <c r="GO21">
        <f t="shared" si="37"/>
        <v>0</v>
      </c>
      <c r="GP21" s="647">
        <f t="shared" si="38"/>
        <v>0</v>
      </c>
    </row>
    <row r="22" spans="1:198">
      <c r="A22" s="239">
        <f t="shared" si="23"/>
        <v>9</v>
      </c>
      <c r="B22" s="125" t="str">
        <f t="shared" si="0"/>
        <v>ti</v>
      </c>
      <c r="C22" s="126" t="s">
        <v>203</v>
      </c>
      <c r="D22" s="127" t="str">
        <f t="shared" si="1"/>
        <v/>
      </c>
      <c r="E22" s="1060"/>
      <c r="F22" s="1061"/>
      <c r="G22" s="1062"/>
      <c r="H22" s="292" t="s">
        <v>751</v>
      </c>
      <c r="I22" s="745"/>
      <c r="J22" s="746" t="str">
        <f t="shared" si="2"/>
        <v/>
      </c>
      <c r="K22" s="368"/>
      <c r="L22" s="368"/>
      <c r="M22" s="368"/>
      <c r="N22" s="311">
        <f t="shared" si="24"/>
        <v>8.11</v>
      </c>
      <c r="O22" s="311">
        <f t="shared" si="25"/>
        <v>4.5</v>
      </c>
      <c r="P22" s="311">
        <f>IF(Stamoplysninger!$H$34="JA",Marts!DG22,CX22)</f>
        <v>1.9166666666666665</v>
      </c>
      <c r="Q22" s="311">
        <f t="shared" si="26"/>
        <v>1.6933333333333329</v>
      </c>
      <c r="R22" s="751">
        <v>3</v>
      </c>
      <c r="S22" s="315"/>
      <c r="T22" s="316"/>
      <c r="U22" s="316"/>
      <c r="V22" s="422"/>
      <c r="W22" s="400"/>
      <c r="X22" s="619"/>
      <c r="Y22">
        <f t="shared" si="27"/>
        <v>0</v>
      </c>
      <c r="Z22">
        <f t="shared" si="3"/>
        <v>0</v>
      </c>
      <c r="AA22" s="1">
        <f t="shared" si="4"/>
        <v>0</v>
      </c>
      <c r="AB22" s="1">
        <f t="shared" si="5"/>
        <v>0</v>
      </c>
      <c r="AC22" s="1">
        <f t="shared" si="6"/>
        <v>0</v>
      </c>
      <c r="AD22" s="1">
        <f t="shared" si="7"/>
        <v>0</v>
      </c>
      <c r="AE22" s="1">
        <f t="shared" si="8"/>
        <v>0</v>
      </c>
      <c r="AF22" s="1">
        <f>IF(C22="Orlov",7.4*Stamoplysninger!$E$20,0)</f>
        <v>0</v>
      </c>
      <c r="AG22" t="str">
        <f>IF(AND(C22="Skema 1",B22="ma"),Arbejdstidsoversigt!$E$77,"")</f>
        <v/>
      </c>
      <c r="AH22">
        <f>IF(AND(C22="Skema 1",B22="ti"),Arbejdstidsoversigt!$E$78,"")</f>
        <v>8.11</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8.11</v>
      </c>
      <c r="BB22" s="224">
        <f t="shared" si="9"/>
        <v>194.64</v>
      </c>
      <c r="BC22" s="1">
        <f t="shared" si="29"/>
        <v>0</v>
      </c>
      <c r="BD22" s="1">
        <f t="shared" si="10"/>
        <v>0</v>
      </c>
      <c r="BE22" s="1">
        <f t="shared" si="11"/>
        <v>0</v>
      </c>
      <c r="BF22" s="1">
        <f t="shared" si="12"/>
        <v>0</v>
      </c>
      <c r="BG22" s="207" t="str">
        <f>IF(AND(C22="Skema 1",B22="ma"),Skemaoplysninger!$E$46,"")</f>
        <v/>
      </c>
      <c r="BH22" s="207">
        <f>IF(AND(C22="Skema 1",B22="ti"),Skemaoplysninger!$G$46,"")</f>
        <v>0.1875</v>
      </c>
      <c r="BI22" s="207" t="str">
        <f>IF(AND(C22="Skema 1",B22="on"),Skemaoplysninger!$I$46,"")</f>
        <v/>
      </c>
      <c r="BJ22" s="207" t="str">
        <f>IF(AND(C22="Skema 1",B22="to"),Skemaoplysninger!$K$46,"")</f>
        <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4.5</v>
      </c>
      <c r="CB22" s="1">
        <f t="shared" si="13"/>
        <v>0</v>
      </c>
      <c r="CC22" s="1">
        <f t="shared" si="14"/>
        <v>0</v>
      </c>
      <c r="CD22" s="207" t="str">
        <f>IF(AND(C22="Skema 1",B22="ma"),Skemaoplysninger!$E$47,"")</f>
        <v/>
      </c>
      <c r="CE22" s="207">
        <f>IF(AND(C22="Skema 1",B22="ti"),Skemaoplysninger!$G$47,"")</f>
        <v>7.9861111111111105E-2</v>
      </c>
      <c r="CF22" s="207" t="str">
        <f>IF(AND(C22="Skema 1",B22="on"),Skemaoplysninger!$I$47,"")</f>
        <v/>
      </c>
      <c r="CG22" s="207" t="str">
        <f>IF(AND(C22="Skema 1",B22="to"),Skemaoplysninger!$K$47,"")</f>
        <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1.9166666666666665</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t="str">
        <f t="shared" si="33"/>
        <v/>
      </c>
      <c r="DJ22" t="str">
        <f t="shared" si="34"/>
        <v>Skolehjem</v>
      </c>
      <c r="DK22" t="str">
        <f t="shared" si="15"/>
        <v/>
      </c>
      <c r="DL22" t="str">
        <f t="shared" si="15"/>
        <v/>
      </c>
      <c r="DM22" t="str">
        <f t="shared" si="15"/>
        <v>Skolehjem</v>
      </c>
      <c r="DN22" t="str">
        <f t="shared" si="35"/>
        <v>Skolehjem</v>
      </c>
      <c r="DO22" s="628">
        <f>IF(AND(Stamoplysninger!$B$27="Ulempetillæg udbetales med 25% af nettotimelønnen.",H22&gt;0),(R22/4),0)</f>
        <v>0.75</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6"/>
        <v>0</v>
      </c>
      <c r="FZ22" s="634">
        <f t="shared" si="17"/>
        <v>0</v>
      </c>
      <c r="GA22">
        <f t="shared" si="18"/>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9"/>
        <v>0</v>
      </c>
      <c r="GL22">
        <f t="shared" si="20"/>
        <v>0</v>
      </c>
      <c r="GM22">
        <f t="shared" si="21"/>
        <v>0</v>
      </c>
      <c r="GN22" s="713">
        <f t="shared" si="22"/>
        <v>0</v>
      </c>
      <c r="GO22">
        <f t="shared" si="37"/>
        <v>0</v>
      </c>
      <c r="GP22" s="647">
        <f t="shared" si="38"/>
        <v>0</v>
      </c>
    </row>
    <row r="23" spans="1:198">
      <c r="A23" s="239">
        <f t="shared" si="23"/>
        <v>10</v>
      </c>
      <c r="B23" s="125" t="str">
        <f t="shared" si="0"/>
        <v>on</v>
      </c>
      <c r="C23" s="126" t="s">
        <v>203</v>
      </c>
      <c r="D23" s="127" t="str">
        <f t="shared" si="1"/>
        <v/>
      </c>
      <c r="E23" s="1060"/>
      <c r="F23" s="1061"/>
      <c r="G23" s="1062"/>
      <c r="H23" s="292"/>
      <c r="I23" s="745"/>
      <c r="J23" s="746" t="str">
        <f t="shared" si="2"/>
        <v/>
      </c>
      <c r="K23" s="368"/>
      <c r="L23" s="368"/>
      <c r="M23" s="368"/>
      <c r="N23" s="311">
        <f t="shared" si="24"/>
        <v>8.11</v>
      </c>
      <c r="O23" s="311">
        <f t="shared" si="25"/>
        <v>2.75</v>
      </c>
      <c r="P23" s="311">
        <f>IF(Stamoplysninger!$H$34="JA",Marts!DG23,CX23)</f>
        <v>1.25</v>
      </c>
      <c r="Q23" s="311">
        <f t="shared" si="26"/>
        <v>4.1099999999999994</v>
      </c>
      <c r="R23" s="751"/>
      <c r="S23" s="315"/>
      <c r="T23" s="316"/>
      <c r="U23" s="316"/>
      <c r="V23" s="422"/>
      <c r="W23" s="400"/>
      <c r="X23" s="619"/>
      <c r="Y23">
        <f t="shared" si="27"/>
        <v>0</v>
      </c>
      <c r="Z23">
        <f t="shared" si="3"/>
        <v>0</v>
      </c>
      <c r="AA23" s="1">
        <f t="shared" si="4"/>
        <v>0</v>
      </c>
      <c r="AB23" s="1">
        <f t="shared" si="5"/>
        <v>0</v>
      </c>
      <c r="AC23" s="1">
        <f t="shared" si="6"/>
        <v>0</v>
      </c>
      <c r="AD23" s="1">
        <f t="shared" si="7"/>
        <v>0</v>
      </c>
      <c r="AE23" s="1">
        <f t="shared" si="8"/>
        <v>0</v>
      </c>
      <c r="AF23" s="1">
        <f>IF(C23="Orlov",7.4*Stamoplysninger!$E$20,0)</f>
        <v>0</v>
      </c>
      <c r="AG23" t="str">
        <f>IF(AND(C23="Skema 1",B23="ma"),Arbejdstidsoversigt!$E$77,"")</f>
        <v/>
      </c>
      <c r="AH23" t="str">
        <f>IF(AND(C23="Skema 1",B23="ti"),Arbejdstidsoversigt!$E$78,"")</f>
        <v/>
      </c>
      <c r="AI23">
        <f>IF(AND(C23="Skema 1",B23="on"),Arbejdstidsoversigt!$E$79,"")</f>
        <v>8.11</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8.11</v>
      </c>
      <c r="BB23" s="224">
        <f t="shared" si="9"/>
        <v>194.64</v>
      </c>
      <c r="BC23" s="1">
        <f t="shared" si="29"/>
        <v>0</v>
      </c>
      <c r="BD23" s="1">
        <f t="shared" si="10"/>
        <v>0</v>
      </c>
      <c r="BE23" s="1">
        <f t="shared" si="11"/>
        <v>0</v>
      </c>
      <c r="BF23" s="1">
        <f t="shared" si="12"/>
        <v>0</v>
      </c>
      <c r="BG23" s="207" t="str">
        <f>IF(AND(C23="Skema 1",B23="ma"),Skemaoplysninger!$E$46,"")</f>
        <v/>
      </c>
      <c r="BH23" s="207" t="str">
        <f>IF(AND(C23="Skema 1",B23="ti"),Skemaoplysninger!$G$46,"")</f>
        <v/>
      </c>
      <c r="BI23" s="207">
        <f>IF(AND(C23="Skema 1",B23="on"),Skemaoplysninger!$I$46,"")</f>
        <v>0.11458333333333333</v>
      </c>
      <c r="BJ23" s="207" t="str">
        <f>IF(AND(C23="Skema 1",B23="to"),Skemaoplysninger!$K$46,"")</f>
        <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2.75</v>
      </c>
      <c r="CB23" s="1">
        <f t="shared" si="13"/>
        <v>0</v>
      </c>
      <c r="CC23" s="1">
        <f t="shared" si="14"/>
        <v>0</v>
      </c>
      <c r="CD23" s="207" t="str">
        <f>IF(AND(C23="Skema 1",B23="ma"),Skemaoplysninger!$E$47,"")</f>
        <v/>
      </c>
      <c r="CE23" s="207" t="str">
        <f>IF(AND(C23="Skema 1",B23="ti"),Skemaoplysninger!$G$47,"")</f>
        <v/>
      </c>
      <c r="CF23" s="207">
        <f>IF(AND(C23="Skema 1",B23="on"),Skemaoplysninger!$I$47,"")</f>
        <v>5.2083333333333329E-2</v>
      </c>
      <c r="CG23" s="207" t="str">
        <f>IF(AND(C23="Skema 1",B23="to"),Skemaoplysninger!$K$47,"")</f>
        <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1.25</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5"/>
        <v/>
      </c>
      <c r="DL23" t="str">
        <f t="shared" si="15"/>
        <v/>
      </c>
      <c r="DM23" t="str">
        <f t="shared" si="15"/>
        <v/>
      </c>
      <c r="DN23" t="str">
        <f t="shared" si="35"/>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6"/>
        <v>0</v>
      </c>
      <c r="FZ23" s="634">
        <f t="shared" si="17"/>
        <v>0</v>
      </c>
      <c r="GA23">
        <f t="shared" si="18"/>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9"/>
        <v>0</v>
      </c>
      <c r="GL23">
        <f t="shared" si="20"/>
        <v>0</v>
      </c>
      <c r="GM23">
        <f t="shared" si="21"/>
        <v>0</v>
      </c>
      <c r="GN23" s="713">
        <f t="shared" si="22"/>
        <v>0</v>
      </c>
      <c r="GO23">
        <f t="shared" si="37"/>
        <v>0</v>
      </c>
      <c r="GP23" s="647">
        <f t="shared" si="38"/>
        <v>0</v>
      </c>
    </row>
    <row r="24" spans="1:198">
      <c r="A24" s="239">
        <f t="shared" si="23"/>
        <v>11</v>
      </c>
      <c r="B24" s="125" t="str">
        <f t="shared" si="0"/>
        <v>to</v>
      </c>
      <c r="C24" s="126" t="s">
        <v>203</v>
      </c>
      <c r="D24" s="127" t="str">
        <f t="shared" si="1"/>
        <v/>
      </c>
      <c r="E24" s="1060"/>
      <c r="F24" s="1061"/>
      <c r="G24" s="1062"/>
      <c r="H24" s="292"/>
      <c r="I24" s="745"/>
      <c r="J24" s="746" t="str">
        <f t="shared" si="2"/>
        <v/>
      </c>
      <c r="K24" s="368"/>
      <c r="L24" s="368"/>
      <c r="M24" s="368"/>
      <c r="N24" s="311">
        <f t="shared" si="24"/>
        <v>9</v>
      </c>
      <c r="O24" s="311">
        <f t="shared" si="25"/>
        <v>3.75</v>
      </c>
      <c r="P24" s="311">
        <f>IF(Stamoplysninger!$H$34="JA",Marts!DG24,CX24)</f>
        <v>1</v>
      </c>
      <c r="Q24" s="311">
        <f t="shared" si="26"/>
        <v>4.25</v>
      </c>
      <c r="R24" s="751"/>
      <c r="S24" s="315"/>
      <c r="T24" s="316"/>
      <c r="U24" s="316"/>
      <c r="V24" s="422"/>
      <c r="W24" s="400"/>
      <c r="X24" s="619"/>
      <c r="Y24">
        <f t="shared" si="27"/>
        <v>0</v>
      </c>
      <c r="Z24">
        <f t="shared" si="3"/>
        <v>0</v>
      </c>
      <c r="AA24" s="1">
        <f t="shared" si="4"/>
        <v>0</v>
      </c>
      <c r="AB24" s="1">
        <f t="shared" si="5"/>
        <v>0</v>
      </c>
      <c r="AC24" s="1">
        <f t="shared" si="6"/>
        <v>0</v>
      </c>
      <c r="AD24" s="1">
        <f t="shared" si="7"/>
        <v>0</v>
      </c>
      <c r="AE24" s="1">
        <f t="shared" si="8"/>
        <v>0</v>
      </c>
      <c r="AF24" s="1">
        <f>IF(C24="Orlov",7.4*Stamoplysninger!$E$20,0)</f>
        <v>0</v>
      </c>
      <c r="AG24" t="str">
        <f>IF(AND(C24="Skema 1",B24="ma"),Arbejdstidsoversigt!$E$77,"")</f>
        <v/>
      </c>
      <c r="AH24" t="str">
        <f>IF(AND(C24="Skema 1",B24="ti"),Arbejdstidsoversigt!$E$78,"")</f>
        <v/>
      </c>
      <c r="AI24" t="str">
        <f>IF(AND(C24="Skema 1",B24="on"),Arbejdstidsoversigt!$E$79,"")</f>
        <v/>
      </c>
      <c r="AJ24">
        <f>IF(AND(C24="Skema 1",B24="to"),Arbejdstidsoversigt!$E$80,"")</f>
        <v>9</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9</v>
      </c>
      <c r="BB24" s="224">
        <f t="shared" si="9"/>
        <v>216</v>
      </c>
      <c r="BC24" s="1">
        <f t="shared" si="29"/>
        <v>0</v>
      </c>
      <c r="BD24" s="1">
        <f t="shared" si="10"/>
        <v>0</v>
      </c>
      <c r="BE24" s="1">
        <f t="shared" si="11"/>
        <v>0</v>
      </c>
      <c r="BF24" s="1">
        <f t="shared" si="12"/>
        <v>0</v>
      </c>
      <c r="BG24" s="207" t="str">
        <f>IF(AND(C24="Skema 1",B24="ma"),Skemaoplysninger!$E$46,"")</f>
        <v/>
      </c>
      <c r="BH24" s="207" t="str">
        <f>IF(AND(C24="Skema 1",B24="ti"),Skemaoplysninger!$G$46,"")</f>
        <v/>
      </c>
      <c r="BI24" s="207" t="str">
        <f>IF(AND(C24="Skema 1",B24="on"),Skemaoplysninger!$I$46,"")</f>
        <v/>
      </c>
      <c r="BJ24" s="207">
        <f>IF(AND(C24="Skema 1",B24="to"),Skemaoplysninger!$K$46,"")</f>
        <v>0.15625</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3.75</v>
      </c>
      <c r="CB24" s="1">
        <f t="shared" si="13"/>
        <v>0</v>
      </c>
      <c r="CC24" s="1">
        <f t="shared" si="14"/>
        <v>0</v>
      </c>
      <c r="CD24" s="207" t="str">
        <f>IF(AND(C24="Skema 1",B24="ma"),Skemaoplysninger!$E$47,"")</f>
        <v/>
      </c>
      <c r="CE24" s="207" t="str">
        <f>IF(AND(C24="Skema 1",B24="ti"),Skemaoplysninger!$G$47,"")</f>
        <v/>
      </c>
      <c r="CF24" s="207" t="str">
        <f>IF(AND(C24="Skema 1",B24="on"),Skemaoplysninger!$I$47,"")</f>
        <v/>
      </c>
      <c r="CG24" s="207">
        <f>IF(AND(C24="Skema 1",B24="to"),Skemaoplysninger!$K$47,"")</f>
        <v>4.1666666666666664E-2</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1</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5"/>
        <v/>
      </c>
      <c r="DL24" t="str">
        <f t="shared" si="15"/>
        <v/>
      </c>
      <c r="DM24" t="str">
        <f t="shared" si="15"/>
        <v/>
      </c>
      <c r="DN24" t="str">
        <f t="shared" si="35"/>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6"/>
        <v>0</v>
      </c>
      <c r="FZ24" s="634">
        <f t="shared" si="17"/>
        <v>0</v>
      </c>
      <c r="GA24">
        <f t="shared" si="18"/>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9"/>
        <v>0</v>
      </c>
      <c r="GL24">
        <f t="shared" si="20"/>
        <v>0</v>
      </c>
      <c r="GM24">
        <f t="shared" si="21"/>
        <v>0</v>
      </c>
      <c r="GN24" s="713">
        <f t="shared" si="22"/>
        <v>0</v>
      </c>
      <c r="GO24">
        <f t="shared" si="37"/>
        <v>0</v>
      </c>
      <c r="GP24" s="647">
        <f t="shared" si="38"/>
        <v>0</v>
      </c>
    </row>
    <row r="25" spans="1:198">
      <c r="A25" s="239">
        <f>IF(ISNUMBER(A24),A24+1,1)</f>
        <v>12</v>
      </c>
      <c r="B25" s="125" t="str">
        <f t="shared" si="0"/>
        <v>fr</v>
      </c>
      <c r="C25" s="126" t="s">
        <v>203</v>
      </c>
      <c r="D25" s="127" t="str">
        <f t="shared" si="1"/>
        <v/>
      </c>
      <c r="E25" s="1060"/>
      <c r="F25" s="1061"/>
      <c r="G25" s="1062"/>
      <c r="H25" s="292" t="s">
        <v>762</v>
      </c>
      <c r="I25" s="745"/>
      <c r="J25" s="746" t="str">
        <f t="shared" si="2"/>
        <v/>
      </c>
      <c r="K25" s="368"/>
      <c r="L25" s="368"/>
      <c r="M25" s="368"/>
      <c r="N25" s="311">
        <f t="shared" si="24"/>
        <v>7.1</v>
      </c>
      <c r="O25" s="311">
        <f t="shared" si="25"/>
        <v>3.75</v>
      </c>
      <c r="P25" s="311">
        <f>IF(Stamoplysninger!$H$34="JA",Marts!DG25,CX25)</f>
        <v>1</v>
      </c>
      <c r="Q25" s="311">
        <f t="shared" si="26"/>
        <v>2.3499999999999996</v>
      </c>
      <c r="R25" s="751">
        <v>3</v>
      </c>
      <c r="S25" s="315"/>
      <c r="T25" s="316"/>
      <c r="U25" s="316"/>
      <c r="V25" s="422"/>
      <c r="W25" s="400"/>
      <c r="X25" s="619"/>
      <c r="Y25">
        <f t="shared" si="27"/>
        <v>0</v>
      </c>
      <c r="Z25">
        <f t="shared" si="3"/>
        <v>0</v>
      </c>
      <c r="AA25" s="1">
        <f t="shared" si="4"/>
        <v>0</v>
      </c>
      <c r="AB25" s="1">
        <f t="shared" si="5"/>
        <v>0</v>
      </c>
      <c r="AC25" s="1">
        <f t="shared" si="6"/>
        <v>0</v>
      </c>
      <c r="AD25" s="1">
        <f t="shared" si="7"/>
        <v>0</v>
      </c>
      <c r="AE25" s="1">
        <f t="shared" si="8"/>
        <v>0</v>
      </c>
      <c r="AF25" s="1">
        <f>IF(C25="Orlov",7.4*Stamoplysninger!$E$20,0)</f>
        <v>0</v>
      </c>
      <c r="AG25" t="str">
        <f>IF(AND(C25="Skema 1",B25="ma"),Arbejdstidsoversigt!$E$77,"")</f>
        <v/>
      </c>
      <c r="AH25" t="str">
        <f>IF(AND(C25="Skema 1",B25="ti"),Arbejdstidsoversigt!$E$78,"")</f>
        <v/>
      </c>
      <c r="AI25" t="str">
        <f>IF(AND(C25="Skema 1",B25="on"),Arbejdstidsoversigt!$E$79,"")</f>
        <v/>
      </c>
      <c r="AJ25" t="str">
        <f>IF(AND(C25="Skema 1",B25="to"),Arbejdstidsoversigt!$E$80,"")</f>
        <v/>
      </c>
      <c r="AK25">
        <f>IF(AND(C25="Skema 1",B25="fr"),Arbejdstidsoversigt!$E$81,"")</f>
        <v>7.1</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7.1</v>
      </c>
      <c r="BB25" s="224">
        <f t="shared" si="9"/>
        <v>170.39999999999998</v>
      </c>
      <c r="BC25" s="1">
        <f t="shared" si="29"/>
        <v>0</v>
      </c>
      <c r="BD25" s="1">
        <f t="shared" si="10"/>
        <v>0</v>
      </c>
      <c r="BE25" s="1">
        <f t="shared" si="11"/>
        <v>0</v>
      </c>
      <c r="BF25" s="1">
        <f t="shared" si="12"/>
        <v>0</v>
      </c>
      <c r="BG25" s="207" t="str">
        <f>IF(AND(C25="Skema 1",B25="ma"),Skemaoplysninger!$E$46,"")</f>
        <v/>
      </c>
      <c r="BH25" s="207" t="str">
        <f>IF(AND(C25="Skema 1",B25="ti"),Skemaoplysninger!$G$46,"")</f>
        <v/>
      </c>
      <c r="BI25" s="207" t="str">
        <f>IF(AND(C25="Skema 1",B25="on"),Skemaoplysninger!$I$46,"")</f>
        <v/>
      </c>
      <c r="BJ25" s="207" t="str">
        <f>IF(AND(C25="Skema 1",B25="to"),Skemaoplysninger!$K$46,"")</f>
        <v/>
      </c>
      <c r="BK25" s="207">
        <f>IF(AND(C25="Skema 1",B25="fr"),Skemaoplysninger!$M$46,"")</f>
        <v>0.15625</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3.75</v>
      </c>
      <c r="CB25" s="1">
        <f t="shared" si="13"/>
        <v>0</v>
      </c>
      <c r="CC25" s="1">
        <f t="shared" si="14"/>
        <v>0</v>
      </c>
      <c r="CD25" s="207" t="str">
        <f>IF(AND(C25="Skema 1",B25="ma"),Skemaoplysninger!$E$47,"")</f>
        <v/>
      </c>
      <c r="CE25" s="207" t="str">
        <f>IF(AND(C25="Skema 1",B25="ti"),Skemaoplysninger!$G$47,"")</f>
        <v/>
      </c>
      <c r="CF25" s="207" t="str">
        <f>IF(AND(C25="Skema 1",B25="on"),Skemaoplysninger!$I$47,"")</f>
        <v/>
      </c>
      <c r="CG25" s="207" t="str">
        <f>IF(AND(C25="Skema 1",B25="to"),Skemaoplysninger!$K$47,"")</f>
        <v/>
      </c>
      <c r="CH25" s="207">
        <f>IF(AND(C25="Skema 1",B25="fr"),Skemaoplysninger!$M$47,"")</f>
        <v>4.1666666666666664E-2</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1</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t="str">
        <f t="shared" si="33"/>
        <v/>
      </c>
      <c r="DJ25" t="str">
        <f t="shared" si="34"/>
        <v>Gymnastikopvisning i hallen</v>
      </c>
      <c r="DK25" t="str">
        <f t="shared" si="15"/>
        <v/>
      </c>
      <c r="DL25" t="str">
        <f t="shared" si="15"/>
        <v/>
      </c>
      <c r="DM25" t="str">
        <f t="shared" si="15"/>
        <v>Gymnastikopvisning i hallen</v>
      </c>
      <c r="DN25" t="str">
        <f t="shared" si="35"/>
        <v>Gymnastikopvisning i hallen</v>
      </c>
      <c r="DO25" s="628">
        <f>IF(AND(Stamoplysninger!$B$27="Ulempetillæg udbetales med 25% af nettotimelønnen.",H25&gt;0),(R25/4),0)</f>
        <v>0.75</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6"/>
        <v>0</v>
      </c>
      <c r="FZ25" s="634">
        <f t="shared" si="17"/>
        <v>0</v>
      </c>
      <c r="GA25">
        <f t="shared" si="18"/>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9"/>
        <v>0</v>
      </c>
      <c r="GL25">
        <f t="shared" si="20"/>
        <v>0</v>
      </c>
      <c r="GM25">
        <f t="shared" si="21"/>
        <v>0</v>
      </c>
      <c r="GN25" s="713">
        <f t="shared" si="22"/>
        <v>0</v>
      </c>
      <c r="GO25">
        <f t="shared" si="37"/>
        <v>0</v>
      </c>
      <c r="GP25" s="647">
        <f t="shared" si="38"/>
        <v>0</v>
      </c>
    </row>
    <row r="26" spans="1:198">
      <c r="A26" s="239">
        <f>IF(ISNUMBER(A25),A25+1,1)</f>
        <v>13</v>
      </c>
      <c r="B26" s="125" t="str">
        <f t="shared" si="0"/>
        <v>lø</v>
      </c>
      <c r="C26" s="126" t="s">
        <v>118</v>
      </c>
      <c r="D26" s="127" t="str">
        <f t="shared" si="1"/>
        <v/>
      </c>
      <c r="E26" s="1123"/>
      <c r="F26" s="1124"/>
      <c r="G26" s="1125"/>
      <c r="H26" s="291"/>
      <c r="I26" s="746" t="str">
        <f>IF(GO26=1,"X","")</f>
        <v/>
      </c>
      <c r="J26" s="746" t="str">
        <f t="shared" si="2"/>
        <v/>
      </c>
      <c r="K26" s="368"/>
      <c r="L26" s="368"/>
      <c r="M26" s="368"/>
      <c r="N26" s="311">
        <f t="shared" si="24"/>
        <v>0</v>
      </c>
      <c r="O26" s="311">
        <f t="shared" si="25"/>
        <v>0</v>
      </c>
      <c r="P26" s="311">
        <f>IF(Stamoplysninger!$H$34="JA",Marts!DG26,CX26)</f>
        <v>0</v>
      </c>
      <c r="Q26" s="311">
        <f t="shared" si="26"/>
        <v>0</v>
      </c>
      <c r="R26" s="751"/>
      <c r="S26" s="315"/>
      <c r="T26" s="316"/>
      <c r="U26" s="316"/>
      <c r="V26" s="422"/>
      <c r="W26" s="400"/>
      <c r="X26" s="619"/>
      <c r="Y26">
        <f t="shared" si="27"/>
        <v>0</v>
      </c>
      <c r="Z26">
        <f t="shared" si="3"/>
        <v>0</v>
      </c>
      <c r="AA26" s="1">
        <f t="shared" si="4"/>
        <v>0</v>
      </c>
      <c r="AB26" s="1">
        <f t="shared" si="5"/>
        <v>0</v>
      </c>
      <c r="AC26" s="1">
        <f t="shared" si="6"/>
        <v>0</v>
      </c>
      <c r="AD26" s="1">
        <f t="shared" si="7"/>
        <v>0</v>
      </c>
      <c r="AE26" s="1">
        <f t="shared" si="8"/>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9"/>
        <v>0</v>
      </c>
      <c r="BC26" s="1">
        <f t="shared" si="29"/>
        <v>0</v>
      </c>
      <c r="BD26" s="1">
        <f t="shared" si="10"/>
        <v>0</v>
      </c>
      <c r="BE26" s="1">
        <f t="shared" si="11"/>
        <v>0</v>
      </c>
      <c r="BF26" s="1">
        <f t="shared" si="12"/>
        <v>0</v>
      </c>
      <c r="BG26" s="207" t="str">
        <f>IF(AND(C26="Skema 1",B26="ma"),Skemaoplysninger!$E$46,"")</f>
        <v/>
      </c>
      <c r="BH26" s="207" t="str">
        <f>IF(AND(C26="Skema 1",B26="ti"),Skemaoplysninger!$G$46,"")</f>
        <v/>
      </c>
      <c r="BI26" s="207" t="str">
        <f>IF(AND(C26="Skema 1",B26="on"),Skemaoplysninger!$I$46,"")</f>
        <v/>
      </c>
      <c r="BJ26" s="207" t="str">
        <f>IF(AND(C26="Skema 1",B26="to"),Skemaoplysninger!$K$46,"")</f>
        <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0</v>
      </c>
      <c r="CB26" s="1">
        <f t="shared" si="13"/>
        <v>0</v>
      </c>
      <c r="CC26" s="1">
        <f t="shared" si="14"/>
        <v>0</v>
      </c>
      <c r="CD26" s="207" t="str">
        <f>IF(AND(C26="Skema 1",B26="ma"),Skemaoplysninger!$E$47,"")</f>
        <v/>
      </c>
      <c r="CE26" s="207" t="str">
        <f>IF(AND(C26="Skema 1",B26="ti"),Skemaoplysninger!$G$47,"")</f>
        <v/>
      </c>
      <c r="CF26" s="207" t="str">
        <f>IF(AND(C26="Skema 1",B26="on"),Skemaoplysninger!$I$47,"")</f>
        <v/>
      </c>
      <c r="CG26" s="207" t="str">
        <f>IF(AND(C26="Skema 1",B26="to"),Skemaoplysninger!$K$47,"")</f>
        <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5"/>
        <v/>
      </c>
      <c r="DL26" t="str">
        <f t="shared" si="15"/>
        <v/>
      </c>
      <c r="DM26" t="str">
        <f t="shared" si="15"/>
        <v/>
      </c>
      <c r="DN26" t="str">
        <f t="shared" si="35"/>
        <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6"/>
        <v>0</v>
      </c>
      <c r="FZ26" s="634">
        <f t="shared" si="17"/>
        <v>0</v>
      </c>
      <c r="GA26">
        <f t="shared" si="18"/>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9"/>
        <v>0</v>
      </c>
      <c r="GL26">
        <f t="shared" si="20"/>
        <v>0</v>
      </c>
      <c r="GM26">
        <f t="shared" si="21"/>
        <v>0</v>
      </c>
      <c r="GN26" s="713">
        <f t="shared" si="22"/>
        <v>0</v>
      </c>
      <c r="GO26">
        <f t="shared" si="37"/>
        <v>0</v>
      </c>
      <c r="GP26" s="647">
        <f t="shared" si="38"/>
        <v>0</v>
      </c>
    </row>
    <row r="27" spans="1:198">
      <c r="A27" s="239">
        <f t="shared" si="23"/>
        <v>14</v>
      </c>
      <c r="B27" s="125" t="str">
        <f t="shared" si="0"/>
        <v>sø</v>
      </c>
      <c r="C27" s="126" t="s">
        <v>118</v>
      </c>
      <c r="D27" s="127" t="str">
        <f t="shared" si="1"/>
        <v/>
      </c>
      <c r="E27" s="1123"/>
      <c r="F27" s="1124"/>
      <c r="G27" s="1125"/>
      <c r="H27" s="291"/>
      <c r="I27" s="746" t="str">
        <f>IF(GO27=1,"X","")</f>
        <v/>
      </c>
      <c r="J27" s="746" t="str">
        <f t="shared" si="2"/>
        <v/>
      </c>
      <c r="K27" s="368"/>
      <c r="L27" s="368"/>
      <c r="M27" s="368"/>
      <c r="N27" s="311">
        <f t="shared" si="24"/>
        <v>0</v>
      </c>
      <c r="O27" s="311">
        <f t="shared" si="25"/>
        <v>0</v>
      </c>
      <c r="P27" s="311">
        <f>IF(Stamoplysninger!$H$34="JA",Marts!DG27,CX27)</f>
        <v>0</v>
      </c>
      <c r="Q27" s="311">
        <f t="shared" si="26"/>
        <v>0</v>
      </c>
      <c r="R27" s="751"/>
      <c r="S27" s="315"/>
      <c r="T27" s="316"/>
      <c r="U27" s="316"/>
      <c r="V27" s="422"/>
      <c r="W27" s="400"/>
      <c r="X27" s="619"/>
      <c r="Y27">
        <f t="shared" si="27"/>
        <v>0</v>
      </c>
      <c r="Z27">
        <f t="shared" si="3"/>
        <v>0</v>
      </c>
      <c r="AA27" s="1">
        <f t="shared" si="4"/>
        <v>0</v>
      </c>
      <c r="AB27" s="1">
        <f t="shared" si="5"/>
        <v>0</v>
      </c>
      <c r="AC27" s="1">
        <f t="shared" si="6"/>
        <v>0</v>
      </c>
      <c r="AD27" s="1">
        <f t="shared" si="7"/>
        <v>0</v>
      </c>
      <c r="AE27" s="1">
        <f t="shared" si="8"/>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9"/>
        <v>0</v>
      </c>
      <c r="BC27" s="1">
        <f t="shared" si="29"/>
        <v>0</v>
      </c>
      <c r="BD27" s="1">
        <f t="shared" si="10"/>
        <v>0</v>
      </c>
      <c r="BE27" s="1">
        <f t="shared" si="11"/>
        <v>0</v>
      </c>
      <c r="BF27" s="1">
        <f t="shared" si="12"/>
        <v>0</v>
      </c>
      <c r="BG27" s="207" t="str">
        <f>IF(AND(C27="Skema 1",B27="ma"),Skemaoplysninger!$E$46,"")</f>
        <v/>
      </c>
      <c r="BH27" s="207" t="str">
        <f>IF(AND(C27="Skema 1",B27="ti"),Skemaoplysninger!$G$46,"")</f>
        <v/>
      </c>
      <c r="BI27" s="207" t="str">
        <f>IF(AND(C27="Skema 1",B27="on"),Skemaoplysninger!$I$46,"")</f>
        <v/>
      </c>
      <c r="BJ27" s="207" t="str">
        <f>IF(AND(C27="Skema 1",B27="to"),Skemaoplysninger!$K$46,"")</f>
        <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0</v>
      </c>
      <c r="CB27" s="1">
        <f t="shared" si="13"/>
        <v>0</v>
      </c>
      <c r="CC27" s="1">
        <f t="shared" si="14"/>
        <v>0</v>
      </c>
      <c r="CD27" s="207" t="str">
        <f>IF(AND(C27="Skema 1",B27="ma"),Skemaoplysninger!$E$47,"")</f>
        <v/>
      </c>
      <c r="CE27" s="207" t="str">
        <f>IF(AND(C27="Skema 1",B27="ti"),Skemaoplysninger!$G$47,"")</f>
        <v/>
      </c>
      <c r="CF27" s="207" t="str">
        <f>IF(AND(C27="Skema 1",B27="on"),Skemaoplysninger!$I$47,"")</f>
        <v/>
      </c>
      <c r="CG27" s="207" t="str">
        <f>IF(AND(C27="Skema 1",B27="to"),Skemaoplysninger!$K$47,"")</f>
        <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f t="shared" si="33"/>
        <v>0</v>
      </c>
      <c r="DJ27">
        <f t="shared" si="34"/>
        <v>0</v>
      </c>
      <c r="DK27" t="str">
        <f t="shared" si="15"/>
        <v/>
      </c>
      <c r="DL27" t="str">
        <f t="shared" si="15"/>
        <v/>
      </c>
      <c r="DM27" t="str">
        <f t="shared" si="15"/>
        <v/>
      </c>
      <c r="DN27" t="str">
        <f t="shared" si="35"/>
        <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6"/>
        <v>0</v>
      </c>
      <c r="FZ27" s="634">
        <f t="shared" si="17"/>
        <v>0</v>
      </c>
      <c r="GA27">
        <f t="shared" si="18"/>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9"/>
        <v>0</v>
      </c>
      <c r="GL27">
        <f t="shared" si="20"/>
        <v>0</v>
      </c>
      <c r="GM27">
        <f t="shared" si="21"/>
        <v>0</v>
      </c>
      <c r="GN27" s="713">
        <f t="shared" si="22"/>
        <v>0</v>
      </c>
      <c r="GO27">
        <f t="shared" si="37"/>
        <v>0</v>
      </c>
      <c r="GP27" s="647">
        <f t="shared" si="38"/>
        <v>0</v>
      </c>
    </row>
    <row r="28" spans="1:198">
      <c r="A28" s="239">
        <f t="shared" si="23"/>
        <v>15</v>
      </c>
      <c r="B28" s="125" t="str">
        <f t="shared" si="0"/>
        <v>ma</v>
      </c>
      <c r="C28" s="126" t="s">
        <v>203</v>
      </c>
      <c r="D28" s="127">
        <f t="shared" si="1"/>
        <v>11.428571428571429</v>
      </c>
      <c r="E28" s="1123"/>
      <c r="F28" s="1124"/>
      <c r="G28" s="1125"/>
      <c r="H28" s="291"/>
      <c r="I28" s="745"/>
      <c r="J28" s="746" t="str">
        <f t="shared" si="2"/>
        <v/>
      </c>
      <c r="K28" s="368"/>
      <c r="L28" s="368"/>
      <c r="M28" s="368"/>
      <c r="N28" s="311">
        <f t="shared" si="24"/>
        <v>8.11</v>
      </c>
      <c r="O28" s="311">
        <f t="shared" si="25"/>
        <v>4.5</v>
      </c>
      <c r="P28" s="311">
        <f>IF(Stamoplysninger!$H$34="JA",Marts!DG28,CX28)</f>
        <v>1.9166666666666665</v>
      </c>
      <c r="Q28" s="311">
        <f t="shared" si="26"/>
        <v>1.6933333333333329</v>
      </c>
      <c r="R28" s="751"/>
      <c r="S28" s="315"/>
      <c r="T28" s="316"/>
      <c r="U28" s="316"/>
      <c r="V28" s="422"/>
      <c r="W28" s="400"/>
      <c r="X28" s="619"/>
      <c r="Y28">
        <f t="shared" si="27"/>
        <v>0</v>
      </c>
      <c r="Z28">
        <f t="shared" si="3"/>
        <v>0</v>
      </c>
      <c r="AA28" s="1">
        <f t="shared" si="4"/>
        <v>0</v>
      </c>
      <c r="AB28" s="1">
        <f t="shared" si="5"/>
        <v>0</v>
      </c>
      <c r="AC28" s="1">
        <f t="shared" si="6"/>
        <v>0</v>
      </c>
      <c r="AD28" s="1">
        <f t="shared" si="7"/>
        <v>0</v>
      </c>
      <c r="AE28" s="1">
        <f t="shared" si="8"/>
        <v>0</v>
      </c>
      <c r="AF28" s="1">
        <f>IF(C28="Orlov",7.4*Stamoplysninger!$E$20,0)</f>
        <v>0</v>
      </c>
      <c r="AG28">
        <f>IF(AND(C28="Skema 1",B28="ma"),Arbejdstidsoversigt!$E$77,"")</f>
        <v>8.11</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8.11</v>
      </c>
      <c r="BB28" s="224">
        <f t="shared" si="9"/>
        <v>194.64</v>
      </c>
      <c r="BC28" s="1">
        <f t="shared" si="29"/>
        <v>0</v>
      </c>
      <c r="BD28" s="1">
        <f t="shared" si="10"/>
        <v>0</v>
      </c>
      <c r="BE28" s="1">
        <f t="shared" si="11"/>
        <v>0</v>
      </c>
      <c r="BF28" s="1">
        <f t="shared" si="12"/>
        <v>0</v>
      </c>
      <c r="BG28" s="207">
        <f>IF(AND(C28="Skema 1",B28="ma"),Skemaoplysninger!$E$46,"")</f>
        <v>0.1875</v>
      </c>
      <c r="BH28" s="207" t="str">
        <f>IF(AND(C28="Skema 1",B28="ti"),Skemaoplysninger!$G$46,"")</f>
        <v/>
      </c>
      <c r="BI28" s="207" t="str">
        <f>IF(AND(C28="Skema 1",B28="on"),Skemaoplysninger!$I$46,"")</f>
        <v/>
      </c>
      <c r="BJ28" s="207" t="str">
        <f>IF(AND(C28="Skema 1",B28="to"),Skemaoplysninger!$K$46,"")</f>
        <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4.5</v>
      </c>
      <c r="CB28" s="1">
        <f t="shared" si="13"/>
        <v>0</v>
      </c>
      <c r="CC28" s="1">
        <f t="shared" si="14"/>
        <v>0</v>
      </c>
      <c r="CD28" s="207">
        <f>IF(AND(C28="Skema 1",B28="ma"),Skemaoplysninger!$E$47,"")</f>
        <v>7.9861111111111105E-2</v>
      </c>
      <c r="CE28" s="207" t="str">
        <f>IF(AND(C28="Skema 1",B28="ti"),Skemaoplysninger!$G$47,"")</f>
        <v/>
      </c>
      <c r="CF28" s="207" t="str">
        <f>IF(AND(C28="Skema 1",B28="on"),Skemaoplysninger!$I$47,"")</f>
        <v/>
      </c>
      <c r="CG28" s="207" t="str">
        <f>IF(AND(C28="Skema 1",B28="to"),Skemaoplysninger!$K$47,"")</f>
        <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1.9166666666666665</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5"/>
        <v/>
      </c>
      <c r="DL28" t="str">
        <f t="shared" si="15"/>
        <v/>
      </c>
      <c r="DM28" t="str">
        <f t="shared" si="15"/>
        <v/>
      </c>
      <c r="DN28" t="str">
        <f t="shared" si="35"/>
        <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6"/>
        <v>0</v>
      </c>
      <c r="FZ28" s="634">
        <f t="shared" si="17"/>
        <v>0</v>
      </c>
      <c r="GA28">
        <f t="shared" si="18"/>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9"/>
        <v>0</v>
      </c>
      <c r="GL28">
        <f t="shared" si="20"/>
        <v>0</v>
      </c>
      <c r="GM28">
        <f t="shared" si="21"/>
        <v>0</v>
      </c>
      <c r="GN28" s="713">
        <f t="shared" si="22"/>
        <v>0</v>
      </c>
      <c r="GO28">
        <f t="shared" si="37"/>
        <v>0</v>
      </c>
      <c r="GP28" s="647">
        <f t="shared" si="38"/>
        <v>0</v>
      </c>
    </row>
    <row r="29" spans="1:198">
      <c r="A29" s="239">
        <f>IF(ISNUMBER(A28),A28+1,1)</f>
        <v>16</v>
      </c>
      <c r="B29" s="125" t="str">
        <f t="shared" si="0"/>
        <v>ti</v>
      </c>
      <c r="C29" s="126" t="s">
        <v>203</v>
      </c>
      <c r="D29" s="127" t="str">
        <f t="shared" si="1"/>
        <v/>
      </c>
      <c r="E29" s="1060"/>
      <c r="F29" s="1061"/>
      <c r="G29" s="1062"/>
      <c r="H29" s="292"/>
      <c r="I29" s="745"/>
      <c r="J29" s="746" t="str">
        <f t="shared" si="2"/>
        <v/>
      </c>
      <c r="K29" s="368"/>
      <c r="L29" s="368"/>
      <c r="M29" s="368"/>
      <c r="N29" s="311">
        <f t="shared" si="24"/>
        <v>8.11</v>
      </c>
      <c r="O29" s="311">
        <f t="shared" si="25"/>
        <v>4.5</v>
      </c>
      <c r="P29" s="311">
        <f>IF(Stamoplysninger!$H$34="JA",Marts!DG29,CX29)</f>
        <v>1.9166666666666665</v>
      </c>
      <c r="Q29" s="311">
        <f t="shared" si="26"/>
        <v>1.6933333333333329</v>
      </c>
      <c r="R29" s="751"/>
      <c r="S29" s="315"/>
      <c r="T29" s="316"/>
      <c r="U29" s="316"/>
      <c r="V29" s="422"/>
      <c r="W29" s="400"/>
      <c r="X29" s="619"/>
      <c r="Y29">
        <f t="shared" si="27"/>
        <v>0</v>
      </c>
      <c r="Z29">
        <f t="shared" si="3"/>
        <v>0</v>
      </c>
      <c r="AA29" s="1">
        <f t="shared" si="4"/>
        <v>0</v>
      </c>
      <c r="AB29" s="1">
        <f t="shared" si="5"/>
        <v>0</v>
      </c>
      <c r="AC29" s="1">
        <f t="shared" si="6"/>
        <v>0</v>
      </c>
      <c r="AD29" s="1">
        <f t="shared" si="7"/>
        <v>0</v>
      </c>
      <c r="AE29" s="1">
        <f t="shared" si="8"/>
        <v>0</v>
      </c>
      <c r="AF29" s="1">
        <f>IF(C29="Orlov",7.4*Stamoplysninger!$E$20,0)</f>
        <v>0</v>
      </c>
      <c r="AG29" t="str">
        <f>IF(AND(C29="Skema 1",B29="ma"),Arbejdstidsoversigt!$E$77,"")</f>
        <v/>
      </c>
      <c r="AH29">
        <f>IF(AND(C29="Skema 1",B29="ti"),Arbejdstidsoversigt!$E$78,"")</f>
        <v>8.11</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8.11</v>
      </c>
      <c r="BB29" s="224">
        <f t="shared" si="9"/>
        <v>194.64</v>
      </c>
      <c r="BC29" s="1">
        <f t="shared" si="29"/>
        <v>0</v>
      </c>
      <c r="BD29" s="1">
        <f t="shared" si="10"/>
        <v>0</v>
      </c>
      <c r="BE29" s="1">
        <f t="shared" si="11"/>
        <v>0</v>
      </c>
      <c r="BF29" s="1">
        <f t="shared" si="12"/>
        <v>0</v>
      </c>
      <c r="BG29" s="207" t="str">
        <f>IF(AND(C29="Skema 1",B29="ma"),Skemaoplysninger!$E$46,"")</f>
        <v/>
      </c>
      <c r="BH29" s="207">
        <f>IF(AND(C29="Skema 1",B29="ti"),Skemaoplysninger!$G$46,"")</f>
        <v>0.1875</v>
      </c>
      <c r="BI29" s="207" t="str">
        <f>IF(AND(C29="Skema 1",B29="on"),Skemaoplysninger!$I$46,"")</f>
        <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4.5</v>
      </c>
      <c r="CB29" s="1">
        <f t="shared" si="13"/>
        <v>0</v>
      </c>
      <c r="CC29" s="1">
        <f t="shared" si="14"/>
        <v>0</v>
      </c>
      <c r="CD29" s="207" t="str">
        <f>IF(AND(C29="Skema 1",B29="ma"),Skemaoplysninger!$E$47,"")</f>
        <v/>
      </c>
      <c r="CE29" s="207">
        <f>IF(AND(C29="Skema 1",B29="ti"),Skemaoplysninger!$G$47,"")</f>
        <v>7.9861111111111105E-2</v>
      </c>
      <c r="CF29" s="207" t="str">
        <f>IF(AND(C29="Skema 1",B29="on"),Skemaoplysninger!$I$47,"")</f>
        <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1.9166666666666665</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f t="shared" si="33"/>
        <v>0</v>
      </c>
      <c r="DJ29">
        <f t="shared" si="34"/>
        <v>0</v>
      </c>
      <c r="DK29" t="str">
        <f t="shared" si="15"/>
        <v/>
      </c>
      <c r="DL29" t="str">
        <f t="shared" si="15"/>
        <v/>
      </c>
      <c r="DM29" t="str">
        <f t="shared" si="15"/>
        <v/>
      </c>
      <c r="DN29" t="str">
        <f t="shared" si="35"/>
        <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6"/>
        <v>0</v>
      </c>
      <c r="FZ29" s="634">
        <f t="shared" si="17"/>
        <v>0</v>
      </c>
      <c r="GA29">
        <f t="shared" si="18"/>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9"/>
        <v>0</v>
      </c>
      <c r="GL29">
        <f t="shared" si="20"/>
        <v>0</v>
      </c>
      <c r="GM29">
        <f t="shared" si="21"/>
        <v>0</v>
      </c>
      <c r="GN29" s="713">
        <f t="shared" si="22"/>
        <v>0</v>
      </c>
      <c r="GO29">
        <f t="shared" si="37"/>
        <v>0</v>
      </c>
      <c r="GP29" s="647">
        <f t="shared" si="38"/>
        <v>0</v>
      </c>
    </row>
    <row r="30" spans="1:198">
      <c r="A30" s="239">
        <f t="shared" si="23"/>
        <v>17</v>
      </c>
      <c r="B30" s="125" t="str">
        <f t="shared" si="0"/>
        <v>on</v>
      </c>
      <c r="C30" s="126" t="s">
        <v>203</v>
      </c>
      <c r="D30" s="127" t="str">
        <f t="shared" si="1"/>
        <v/>
      </c>
      <c r="E30" s="1060"/>
      <c r="F30" s="1061"/>
      <c r="G30" s="1062"/>
      <c r="H30" s="292"/>
      <c r="I30" s="745"/>
      <c r="J30" s="746" t="str">
        <f t="shared" si="2"/>
        <v/>
      </c>
      <c r="K30" s="368"/>
      <c r="L30" s="368"/>
      <c r="M30" s="368"/>
      <c r="N30" s="311">
        <f t="shared" si="24"/>
        <v>8.11</v>
      </c>
      <c r="O30" s="311">
        <f t="shared" si="25"/>
        <v>2.75</v>
      </c>
      <c r="P30" s="311">
        <f>IF(Stamoplysninger!$H$34="JA",Marts!DG30,CX30)</f>
        <v>1.25</v>
      </c>
      <c r="Q30" s="311">
        <f t="shared" si="26"/>
        <v>4.1099999999999994</v>
      </c>
      <c r="R30" s="751"/>
      <c r="S30" s="315"/>
      <c r="T30" s="316"/>
      <c r="U30" s="316"/>
      <c r="V30" s="422"/>
      <c r="W30" s="400"/>
      <c r="X30" s="619"/>
      <c r="Y30">
        <f t="shared" si="27"/>
        <v>0</v>
      </c>
      <c r="Z30">
        <f t="shared" si="3"/>
        <v>0</v>
      </c>
      <c r="AA30" s="1">
        <f t="shared" si="4"/>
        <v>0</v>
      </c>
      <c r="AB30" s="1">
        <f t="shared" si="5"/>
        <v>0</v>
      </c>
      <c r="AC30" s="1">
        <f t="shared" si="6"/>
        <v>0</v>
      </c>
      <c r="AD30" s="1">
        <f t="shared" si="7"/>
        <v>0</v>
      </c>
      <c r="AE30" s="1">
        <f t="shared" si="8"/>
        <v>0</v>
      </c>
      <c r="AF30" s="1">
        <f>IF(C30="Orlov",7.4*Stamoplysninger!$E$20,0)</f>
        <v>0</v>
      </c>
      <c r="AG30" t="str">
        <f>IF(AND(C30="Skema 1",B30="ma"),Arbejdstidsoversigt!$E$77,"")</f>
        <v/>
      </c>
      <c r="AH30" t="str">
        <f>IF(AND(C30="Skema 1",B30="ti"),Arbejdstidsoversigt!$E$78,"")</f>
        <v/>
      </c>
      <c r="AI30">
        <f>IF(AND(C30="Skema 1",B30="on"),Arbejdstidsoversigt!$E$79,"")</f>
        <v>8.11</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8.11</v>
      </c>
      <c r="BB30" s="224">
        <f t="shared" si="9"/>
        <v>194.64</v>
      </c>
      <c r="BC30" s="1">
        <f t="shared" si="29"/>
        <v>0</v>
      </c>
      <c r="BD30" s="1">
        <f t="shared" si="10"/>
        <v>0</v>
      </c>
      <c r="BE30" s="1">
        <f t="shared" si="11"/>
        <v>0</v>
      </c>
      <c r="BF30" s="1">
        <f t="shared" si="12"/>
        <v>0</v>
      </c>
      <c r="BG30" s="207" t="str">
        <f>IF(AND(C30="Skema 1",B30="ma"),Skemaoplysninger!$E$46,"")</f>
        <v/>
      </c>
      <c r="BH30" s="207" t="str">
        <f>IF(AND(C30="Skema 1",B30="ti"),Skemaoplysninger!$G$46,"")</f>
        <v/>
      </c>
      <c r="BI30" s="207">
        <f>IF(AND(C30="Skema 1",B30="on"),Skemaoplysninger!$I$46,"")</f>
        <v>0.11458333333333333</v>
      </c>
      <c r="BJ30" s="207" t="str">
        <f>IF(AND(C30="Skema 1",B30="to"),Skemaoplysninger!$K$46,"")</f>
        <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2.75</v>
      </c>
      <c r="CB30" s="1">
        <f t="shared" si="13"/>
        <v>0</v>
      </c>
      <c r="CC30" s="1">
        <f t="shared" si="14"/>
        <v>0</v>
      </c>
      <c r="CD30" s="207" t="str">
        <f>IF(AND(C30="Skema 1",B30="ma"),Skemaoplysninger!$E$47,"")</f>
        <v/>
      </c>
      <c r="CE30" s="207" t="str">
        <f>IF(AND(C30="Skema 1",B30="ti"),Skemaoplysninger!$G$47,"")</f>
        <v/>
      </c>
      <c r="CF30" s="207">
        <f>IF(AND(C30="Skema 1",B30="on"),Skemaoplysninger!$I$47,"")</f>
        <v>5.2083333333333329E-2</v>
      </c>
      <c r="CG30" s="207" t="str">
        <f>IF(AND(C30="Skema 1",B30="to"),Skemaoplysninger!$K$47,"")</f>
        <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1.25</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5"/>
        <v/>
      </c>
      <c r="DL30" t="str">
        <f t="shared" si="15"/>
        <v/>
      </c>
      <c r="DM30" t="str">
        <f t="shared" si="15"/>
        <v/>
      </c>
      <c r="DN30" t="str">
        <f t="shared" si="35"/>
        <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6"/>
        <v>0</v>
      </c>
      <c r="FZ30" s="634">
        <f t="shared" si="17"/>
        <v>0</v>
      </c>
      <c r="GA30">
        <f t="shared" si="18"/>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9"/>
        <v>0</v>
      </c>
      <c r="GL30">
        <f t="shared" si="20"/>
        <v>0</v>
      </c>
      <c r="GM30">
        <f t="shared" si="21"/>
        <v>0</v>
      </c>
      <c r="GN30" s="713">
        <f t="shared" si="22"/>
        <v>0</v>
      </c>
      <c r="GO30">
        <f t="shared" si="37"/>
        <v>0</v>
      </c>
      <c r="GP30" s="647">
        <f t="shared" si="38"/>
        <v>0</v>
      </c>
    </row>
    <row r="31" spans="1:198">
      <c r="A31" s="239">
        <f t="shared" si="23"/>
        <v>18</v>
      </c>
      <c r="B31" s="125" t="str">
        <f t="shared" si="0"/>
        <v>to</v>
      </c>
      <c r="C31" s="126" t="s">
        <v>203</v>
      </c>
      <c r="D31" s="127" t="str">
        <f t="shared" si="1"/>
        <v/>
      </c>
      <c r="E31" s="1060" t="s">
        <v>769</v>
      </c>
      <c r="F31" s="1061"/>
      <c r="G31" s="1062"/>
      <c r="H31" s="292"/>
      <c r="I31" s="745"/>
      <c r="J31" s="746" t="str">
        <f t="shared" si="2"/>
        <v/>
      </c>
      <c r="K31" s="368"/>
      <c r="L31" s="368"/>
      <c r="M31" s="368"/>
      <c r="N31" s="311">
        <f t="shared" si="24"/>
        <v>9</v>
      </c>
      <c r="O31" s="311">
        <f t="shared" si="25"/>
        <v>3.75</v>
      </c>
      <c r="P31" s="311">
        <f>IF(Stamoplysninger!$H$34="JA",Marts!DG31,CX31)</f>
        <v>1</v>
      </c>
      <c r="Q31" s="311">
        <f t="shared" si="26"/>
        <v>4.25</v>
      </c>
      <c r="R31" s="751"/>
      <c r="S31" s="315"/>
      <c r="T31" s="316"/>
      <c r="U31" s="316"/>
      <c r="V31" s="422"/>
      <c r="W31" s="400"/>
      <c r="X31" s="619"/>
      <c r="Y31">
        <f t="shared" si="27"/>
        <v>0</v>
      </c>
      <c r="Z31">
        <f t="shared" si="3"/>
        <v>0</v>
      </c>
      <c r="AA31" s="1">
        <f t="shared" si="4"/>
        <v>0</v>
      </c>
      <c r="AB31" s="1">
        <f t="shared" si="5"/>
        <v>0</v>
      </c>
      <c r="AC31" s="1">
        <f t="shared" si="6"/>
        <v>0</v>
      </c>
      <c r="AD31" s="1">
        <f t="shared" si="7"/>
        <v>0</v>
      </c>
      <c r="AE31" s="1">
        <f t="shared" si="8"/>
        <v>0</v>
      </c>
      <c r="AF31" s="1">
        <f>IF(C31="Orlov",7.4*Stamoplysninger!$E$20,0)</f>
        <v>0</v>
      </c>
      <c r="AG31" t="str">
        <f>IF(AND(C31="Skema 1",B31="ma"),Arbejdstidsoversigt!$E$77,"")</f>
        <v/>
      </c>
      <c r="AH31" t="str">
        <f>IF(AND(C31="Skema 1",B31="ti"),Arbejdstidsoversigt!$E$78,"")</f>
        <v/>
      </c>
      <c r="AI31" t="str">
        <f>IF(AND(C31="Skema 1",B31="on"),Arbejdstidsoversigt!$E$79,"")</f>
        <v/>
      </c>
      <c r="AJ31">
        <f>IF(AND(C31="Skema 1",B31="to"),Arbejdstidsoversigt!$E$80,"")</f>
        <v>9</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9</v>
      </c>
      <c r="BB31" s="224">
        <f t="shared" si="9"/>
        <v>216</v>
      </c>
      <c r="BC31" s="1">
        <f t="shared" si="29"/>
        <v>0</v>
      </c>
      <c r="BD31" s="1">
        <f t="shared" si="10"/>
        <v>0</v>
      </c>
      <c r="BE31" s="1">
        <f t="shared" si="11"/>
        <v>0</v>
      </c>
      <c r="BF31" s="1">
        <f t="shared" si="12"/>
        <v>0</v>
      </c>
      <c r="BG31" s="207" t="str">
        <f>IF(AND(C31="Skema 1",B31="ma"),Skemaoplysninger!$E$46,"")</f>
        <v/>
      </c>
      <c r="BH31" s="207" t="str">
        <f>IF(AND(C31="Skema 1",B31="ti"),Skemaoplysninger!$G$46,"")</f>
        <v/>
      </c>
      <c r="BI31" s="207" t="str">
        <f>IF(AND(C31="Skema 1",B31="on"),Skemaoplysninger!$I$46,"")</f>
        <v/>
      </c>
      <c r="BJ31" s="207">
        <f>IF(AND(C31="Skema 1",B31="to"),Skemaoplysninger!$K$46,"")</f>
        <v>0.15625</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3.75</v>
      </c>
      <c r="CB31" s="1">
        <f t="shared" si="13"/>
        <v>0</v>
      </c>
      <c r="CC31" s="1">
        <f t="shared" si="14"/>
        <v>0</v>
      </c>
      <c r="CD31" s="207" t="str">
        <f>IF(AND(C31="Skema 1",B31="ma"),Skemaoplysninger!$E$47,"")</f>
        <v/>
      </c>
      <c r="CE31" s="207" t="str">
        <f>IF(AND(C31="Skema 1",B31="ti"),Skemaoplysninger!$G$47,"")</f>
        <v/>
      </c>
      <c r="CF31" s="207" t="str">
        <f>IF(AND(C31="Skema 1",B31="on"),Skemaoplysninger!$I$47,"")</f>
        <v/>
      </c>
      <c r="CG31" s="207">
        <f>IF(AND(C31="Skema 1",B31="to"),Skemaoplysninger!$K$47,"")</f>
        <v>4.1666666666666664E-2</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1</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t="str">
        <f t="shared" si="33"/>
        <v>Lærermøde</v>
      </c>
      <c r="DJ31" t="str">
        <f t="shared" si="34"/>
        <v/>
      </c>
      <c r="DK31" t="str">
        <f t="shared" si="15"/>
        <v/>
      </c>
      <c r="DL31" t="str">
        <f t="shared" si="15"/>
        <v>Lærermøde</v>
      </c>
      <c r="DM31" t="str">
        <f t="shared" si="15"/>
        <v/>
      </c>
      <c r="DN31" t="str">
        <f t="shared" si="35"/>
        <v>Lærermøde</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6"/>
        <v>0</v>
      </c>
      <c r="FZ31" s="634">
        <f t="shared" si="17"/>
        <v>0</v>
      </c>
      <c r="GA31">
        <f t="shared" si="18"/>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9"/>
        <v>0</v>
      </c>
      <c r="GL31">
        <f t="shared" si="20"/>
        <v>0</v>
      </c>
      <c r="GM31">
        <f t="shared" si="21"/>
        <v>0</v>
      </c>
      <c r="GN31" s="713">
        <f t="shared" si="22"/>
        <v>0</v>
      </c>
      <c r="GO31">
        <f t="shared" si="37"/>
        <v>0</v>
      </c>
      <c r="GP31" s="647">
        <f t="shared" si="38"/>
        <v>0</v>
      </c>
    </row>
    <row r="32" spans="1:198">
      <c r="A32" s="239">
        <f t="shared" si="23"/>
        <v>19</v>
      </c>
      <c r="B32" s="125" t="str">
        <f t="shared" si="0"/>
        <v>fr</v>
      </c>
      <c r="C32" s="126" t="s">
        <v>203</v>
      </c>
      <c r="D32" s="127" t="str">
        <f t="shared" si="1"/>
        <v/>
      </c>
      <c r="E32" s="1060"/>
      <c r="F32" s="1061"/>
      <c r="G32" s="1062"/>
      <c r="H32" s="292"/>
      <c r="I32" s="745"/>
      <c r="J32" s="746" t="str">
        <f t="shared" si="2"/>
        <v/>
      </c>
      <c r="K32" s="368"/>
      <c r="L32" s="368"/>
      <c r="M32" s="368"/>
      <c r="N32" s="311">
        <f t="shared" si="24"/>
        <v>7.1</v>
      </c>
      <c r="O32" s="311">
        <f t="shared" si="25"/>
        <v>3.75</v>
      </c>
      <c r="P32" s="311">
        <f>IF(Stamoplysninger!$H$34="JA",Marts!DG32,CX32)</f>
        <v>1</v>
      </c>
      <c r="Q32" s="311">
        <f t="shared" si="26"/>
        <v>2.3499999999999996</v>
      </c>
      <c r="R32" s="751"/>
      <c r="S32" s="315"/>
      <c r="T32" s="316"/>
      <c r="U32" s="316"/>
      <c r="V32" s="422"/>
      <c r="W32" s="400"/>
      <c r="X32" s="619"/>
      <c r="Y32">
        <f t="shared" si="27"/>
        <v>0</v>
      </c>
      <c r="Z32">
        <f t="shared" si="3"/>
        <v>0</v>
      </c>
      <c r="AA32" s="1">
        <f t="shared" si="4"/>
        <v>0</v>
      </c>
      <c r="AB32" s="1">
        <f t="shared" si="5"/>
        <v>0</v>
      </c>
      <c r="AC32" s="1">
        <f t="shared" si="6"/>
        <v>0</v>
      </c>
      <c r="AD32" s="1">
        <f t="shared" si="7"/>
        <v>0</v>
      </c>
      <c r="AE32" s="1">
        <f t="shared" si="8"/>
        <v>0</v>
      </c>
      <c r="AF32" s="1">
        <f>IF(C32="Orlov",7.4*Stamoplysninger!$E$20,0)</f>
        <v>0</v>
      </c>
      <c r="AG32" t="str">
        <f>IF(AND(C32="Skema 1",B32="ma"),Arbejdstidsoversigt!$E$77,"")</f>
        <v/>
      </c>
      <c r="AH32" t="str">
        <f>IF(AND(C32="Skema 1",B32="ti"),Arbejdstidsoversigt!$E$78,"")</f>
        <v/>
      </c>
      <c r="AI32" t="str">
        <f>IF(AND(C32="Skema 1",B32="on"),Arbejdstidsoversigt!$E$79,"")</f>
        <v/>
      </c>
      <c r="AJ32" t="str">
        <f>IF(AND(C32="Skema 1",B32="to"),Arbejdstidsoversigt!$E$80,"")</f>
        <v/>
      </c>
      <c r="AK32">
        <f>IF(AND(C32="Skema 1",B32="fr"),Arbejdstidsoversigt!$E$81,"")</f>
        <v>7.1</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7.1</v>
      </c>
      <c r="BB32" s="224">
        <f t="shared" si="9"/>
        <v>170.39999999999998</v>
      </c>
      <c r="BC32" s="1">
        <f t="shared" si="29"/>
        <v>0</v>
      </c>
      <c r="BD32" s="1">
        <f t="shared" si="10"/>
        <v>0</v>
      </c>
      <c r="BE32" s="1">
        <f t="shared" si="11"/>
        <v>0</v>
      </c>
      <c r="BF32" s="1">
        <f t="shared" si="12"/>
        <v>0</v>
      </c>
      <c r="BG32" s="207" t="str">
        <f>IF(AND(C32="Skema 1",B32="ma"),Skemaoplysninger!$E$46,"")</f>
        <v/>
      </c>
      <c r="BH32" s="207" t="str">
        <f>IF(AND(C32="Skema 1",B32="ti"),Skemaoplysninger!$G$46,"")</f>
        <v/>
      </c>
      <c r="BI32" s="207" t="str">
        <f>IF(AND(C32="Skema 1",B32="on"),Skemaoplysninger!$I$46,"")</f>
        <v/>
      </c>
      <c r="BJ32" s="207" t="str">
        <f>IF(AND(C32="Skema 1",B32="to"),Skemaoplysninger!$K$46,"")</f>
        <v/>
      </c>
      <c r="BK32" s="207">
        <f>IF(AND(C32="Skema 1",B32="fr"),Skemaoplysninger!$M$46,"")</f>
        <v>0.15625</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3.75</v>
      </c>
      <c r="CB32" s="1">
        <f t="shared" si="13"/>
        <v>0</v>
      </c>
      <c r="CC32" s="1">
        <f t="shared" si="14"/>
        <v>0</v>
      </c>
      <c r="CD32" s="207" t="str">
        <f>IF(AND(C32="Skema 1",B32="ma"),Skemaoplysninger!$E$47,"")</f>
        <v/>
      </c>
      <c r="CE32" s="207" t="str">
        <f>IF(AND(C32="Skema 1",B32="ti"),Skemaoplysninger!$G$47,"")</f>
        <v/>
      </c>
      <c r="CF32" s="207" t="str">
        <f>IF(AND(C32="Skema 1",B32="on"),Skemaoplysninger!$I$47,"")</f>
        <v/>
      </c>
      <c r="CG32" s="207" t="str">
        <f>IF(AND(C32="Skema 1",B32="to"),Skemaoplysninger!$K$47,"")</f>
        <v/>
      </c>
      <c r="CH32" s="207">
        <f>IF(AND(C32="Skema 1",B32="fr"),Skemaoplysninger!$M$47,"")</f>
        <v>4.1666666666666664E-2</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1</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5"/>
        <v/>
      </c>
      <c r="DL32" t="str">
        <f t="shared" si="15"/>
        <v/>
      </c>
      <c r="DM32" t="str">
        <f t="shared" si="15"/>
        <v/>
      </c>
      <c r="DN32" t="str">
        <f t="shared" si="35"/>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6"/>
        <v>0</v>
      </c>
      <c r="FZ32" s="634">
        <f t="shared" si="17"/>
        <v>0</v>
      </c>
      <c r="GA32">
        <f t="shared" si="18"/>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9"/>
        <v>0</v>
      </c>
      <c r="GL32">
        <f t="shared" si="20"/>
        <v>0</v>
      </c>
      <c r="GM32">
        <f t="shared" si="21"/>
        <v>0</v>
      </c>
      <c r="GN32" s="713">
        <f t="shared" si="22"/>
        <v>0</v>
      </c>
      <c r="GO32">
        <f t="shared" si="37"/>
        <v>0</v>
      </c>
      <c r="GP32" s="647">
        <f t="shared" si="38"/>
        <v>0</v>
      </c>
    </row>
    <row r="33" spans="1:198">
      <c r="A33" s="239">
        <f t="shared" si="23"/>
        <v>20</v>
      </c>
      <c r="B33" s="125" t="str">
        <f t="shared" si="0"/>
        <v>lø</v>
      </c>
      <c r="C33" s="126" t="s">
        <v>118</v>
      </c>
      <c r="D33" s="127" t="str">
        <f t="shared" si="1"/>
        <v/>
      </c>
      <c r="E33" s="1060"/>
      <c r="F33" s="1061"/>
      <c r="G33" s="1062"/>
      <c r="H33" s="292"/>
      <c r="I33" s="746" t="str">
        <f>IF(GO33=1,"X","")</f>
        <v/>
      </c>
      <c r="J33" s="746" t="str">
        <f t="shared" si="2"/>
        <v/>
      </c>
      <c r="K33" s="368"/>
      <c r="L33" s="368"/>
      <c r="M33" s="368"/>
      <c r="N33" s="311">
        <f t="shared" si="24"/>
        <v>0</v>
      </c>
      <c r="O33" s="311">
        <f t="shared" si="25"/>
        <v>0</v>
      </c>
      <c r="P33" s="311">
        <f>IF(Stamoplysninger!$H$34="JA",Marts!DG33,CX33)</f>
        <v>0</v>
      </c>
      <c r="Q33" s="311">
        <f t="shared" si="26"/>
        <v>0</v>
      </c>
      <c r="R33" s="751"/>
      <c r="S33" s="315"/>
      <c r="T33" s="316"/>
      <c r="U33" s="316"/>
      <c r="V33" s="422"/>
      <c r="W33" s="400"/>
      <c r="X33" s="619"/>
      <c r="Y33">
        <f t="shared" si="27"/>
        <v>0</v>
      </c>
      <c r="Z33">
        <f t="shared" si="3"/>
        <v>0</v>
      </c>
      <c r="AA33" s="1">
        <f t="shared" si="4"/>
        <v>0</v>
      </c>
      <c r="AB33" s="1">
        <f t="shared" si="5"/>
        <v>0</v>
      </c>
      <c r="AC33" s="1">
        <f t="shared" si="6"/>
        <v>0</v>
      </c>
      <c r="AD33" s="1">
        <f t="shared" si="7"/>
        <v>0</v>
      </c>
      <c r="AE33" s="1">
        <f t="shared" si="8"/>
        <v>0</v>
      </c>
      <c r="AF33" s="1">
        <f>IF(C33="Orlov",7.4*Stamoplysninger!$E$20,0)</f>
        <v>0</v>
      </c>
      <c r="AG33" t="str">
        <f>IF(AND(C33="Skema 1",B33="ma"),Arbejdstidsoversigt!$E$77,"")</f>
        <v/>
      </c>
      <c r="AH33" t="str">
        <f>IF(AND(C33="Skema 1",B33="ti"),Arbejdstidsoversigt!$E$78,"")</f>
        <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9"/>
        <v>0</v>
      </c>
      <c r="BC33" s="1">
        <f t="shared" si="29"/>
        <v>0</v>
      </c>
      <c r="BD33" s="1">
        <f t="shared" si="10"/>
        <v>0</v>
      </c>
      <c r="BE33" s="1">
        <f t="shared" si="11"/>
        <v>0</v>
      </c>
      <c r="BF33" s="1">
        <f t="shared" si="12"/>
        <v>0</v>
      </c>
      <c r="BG33" s="207" t="str">
        <f>IF(AND(C33="Skema 1",B33="ma"),Skemaoplysninger!$E$46,"")</f>
        <v/>
      </c>
      <c r="BH33" s="207" t="str">
        <f>IF(AND(C33="Skema 1",B33="ti"),Skemaoplysninger!$G$46,"")</f>
        <v/>
      </c>
      <c r="BI33" s="207" t="str">
        <f>IF(AND(C33="Skema 1",B33="on"),Skemaoplysninger!$I$46,"")</f>
        <v/>
      </c>
      <c r="BJ33" s="207" t="str">
        <f>IF(AND(C33="Skema 1",B33="to"),Skemaoplysninger!$K$46,"")</f>
        <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0</v>
      </c>
      <c r="CB33" s="1">
        <f t="shared" si="13"/>
        <v>0</v>
      </c>
      <c r="CC33" s="1">
        <f t="shared" si="14"/>
        <v>0</v>
      </c>
      <c r="CD33" s="207" t="str">
        <f>IF(AND(C33="Skema 1",B33="ma"),Skemaoplysninger!$E$47,"")</f>
        <v/>
      </c>
      <c r="CE33" s="207" t="str">
        <f>IF(AND(C33="Skema 1",B33="ti"),Skemaoplysninger!$G$47,"")</f>
        <v/>
      </c>
      <c r="CF33" s="207" t="str">
        <f>IF(AND(C33="Skema 1",B33="on"),Skemaoplysninger!$I$47,"")</f>
        <v/>
      </c>
      <c r="CG33" s="207" t="str">
        <f>IF(AND(C33="Skema 1",B33="to"),Skemaoplysninger!$K$47,"")</f>
        <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5"/>
        <v/>
      </c>
      <c r="DL33" t="str">
        <f t="shared" si="15"/>
        <v/>
      </c>
      <c r="DM33" t="str">
        <f t="shared" si="15"/>
        <v/>
      </c>
      <c r="DN33" t="str">
        <f t="shared" si="35"/>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6"/>
        <v>0</v>
      </c>
      <c r="FZ33" s="634">
        <f t="shared" si="17"/>
        <v>0</v>
      </c>
      <c r="GA33">
        <f t="shared" si="18"/>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9"/>
        <v>0</v>
      </c>
      <c r="GL33">
        <f t="shared" si="20"/>
        <v>0</v>
      </c>
      <c r="GM33">
        <f t="shared" si="21"/>
        <v>0</v>
      </c>
      <c r="GN33" s="713">
        <f t="shared" si="22"/>
        <v>0</v>
      </c>
      <c r="GO33">
        <f t="shared" si="37"/>
        <v>0</v>
      </c>
      <c r="GP33" s="647">
        <f t="shared" si="38"/>
        <v>0</v>
      </c>
    </row>
    <row r="34" spans="1:198">
      <c r="A34" s="239">
        <f t="shared" si="23"/>
        <v>21</v>
      </c>
      <c r="B34" s="125" t="str">
        <f t="shared" si="0"/>
        <v>sø</v>
      </c>
      <c r="C34" s="126" t="s">
        <v>118</v>
      </c>
      <c r="D34" s="127" t="str">
        <f t="shared" si="1"/>
        <v/>
      </c>
      <c r="E34" s="1060" t="s">
        <v>173</v>
      </c>
      <c r="F34" s="1061"/>
      <c r="G34" s="1062"/>
      <c r="H34" s="292"/>
      <c r="I34" s="746" t="str">
        <f>IF(GO34=1,"X","")</f>
        <v/>
      </c>
      <c r="J34" s="746" t="str">
        <f t="shared" si="2"/>
        <v/>
      </c>
      <c r="K34" s="368"/>
      <c r="L34" s="368"/>
      <c r="M34" s="368"/>
      <c r="N34" s="311">
        <f t="shared" si="24"/>
        <v>0</v>
      </c>
      <c r="O34" s="311">
        <f t="shared" si="25"/>
        <v>0</v>
      </c>
      <c r="P34" s="311">
        <f>IF(Stamoplysninger!$H$34="JA",Marts!DG34,CX34)</f>
        <v>0</v>
      </c>
      <c r="Q34" s="311">
        <f t="shared" si="26"/>
        <v>0</v>
      </c>
      <c r="R34" s="751"/>
      <c r="S34" s="315"/>
      <c r="T34" s="316"/>
      <c r="U34" s="316"/>
      <c r="V34" s="422"/>
      <c r="W34" s="400"/>
      <c r="X34" s="619"/>
      <c r="Y34">
        <f t="shared" si="27"/>
        <v>0</v>
      </c>
      <c r="Z34">
        <f t="shared" si="3"/>
        <v>0</v>
      </c>
      <c r="AA34" s="1">
        <f t="shared" si="4"/>
        <v>0</v>
      </c>
      <c r="AB34" s="1">
        <f t="shared" si="5"/>
        <v>0</v>
      </c>
      <c r="AC34" s="1">
        <f t="shared" si="6"/>
        <v>0</v>
      </c>
      <c r="AD34" s="1">
        <f t="shared" si="7"/>
        <v>0</v>
      </c>
      <c r="AE34" s="1">
        <f t="shared" si="8"/>
        <v>0</v>
      </c>
      <c r="AF34" s="1">
        <f>IF(C34="Orlov",7.4*Stamoplysninger!$E$20,0)</f>
        <v>0</v>
      </c>
      <c r="AG34" t="str">
        <f>IF(AND(C34="Skema 1",B34="ma"),Arbejdstidsoversigt!$E$77,"")</f>
        <v/>
      </c>
      <c r="AH34" t="str">
        <f>IF(AND(C34="Skema 1",B34="ti"),Arbejdstidsoversigt!$E$78,"")</f>
        <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9"/>
        <v>0</v>
      </c>
      <c r="BC34" s="1">
        <f t="shared" si="29"/>
        <v>0</v>
      </c>
      <c r="BD34" s="1">
        <f t="shared" si="10"/>
        <v>0</v>
      </c>
      <c r="BE34" s="1">
        <f t="shared" si="11"/>
        <v>0</v>
      </c>
      <c r="BF34" s="1">
        <f t="shared" si="12"/>
        <v>0</v>
      </c>
      <c r="BG34" s="207" t="str">
        <f>IF(AND(C34="Skema 1",B34="ma"),Skemaoplysninger!$E$46,"")</f>
        <v/>
      </c>
      <c r="BH34" s="207" t="str">
        <f>IF(AND(C34="Skema 1",B34="ti"),Skemaoplysninger!$G$46,"")</f>
        <v/>
      </c>
      <c r="BI34" s="207" t="str">
        <f>IF(AND(C34="Skema 1",B34="on"),Skemaoplysninger!$I$46,"")</f>
        <v/>
      </c>
      <c r="BJ34" s="207" t="str">
        <f>IF(AND(C34="Skema 1",B34="to"),Skemaoplysninger!$K$46,"")</f>
        <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0</v>
      </c>
      <c r="CB34" s="1">
        <f t="shared" si="13"/>
        <v>0</v>
      </c>
      <c r="CC34" s="1">
        <f t="shared" si="14"/>
        <v>0</v>
      </c>
      <c r="CD34" s="207" t="str">
        <f>IF(AND(C34="Skema 1",B34="ma"),Skemaoplysninger!$E$47,"")</f>
        <v/>
      </c>
      <c r="CE34" s="207" t="str">
        <f>IF(AND(C34="Skema 1",B34="ti"),Skemaoplysninger!$G$47,"")</f>
        <v/>
      </c>
      <c r="CF34" s="207" t="str">
        <f>IF(AND(C34="Skema 1",B34="on"),Skemaoplysninger!$I$47,"")</f>
        <v/>
      </c>
      <c r="CG34" s="207" t="str">
        <f>IF(AND(C34="Skema 1",B34="to"),Skemaoplysninger!$K$47,"")</f>
        <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t="str">
        <f t="shared" si="33"/>
        <v>Palmesøndag</v>
      </c>
      <c r="DJ34" t="str">
        <f t="shared" si="34"/>
        <v/>
      </c>
      <c r="DK34" t="str">
        <f t="shared" si="15"/>
        <v/>
      </c>
      <c r="DL34" t="str">
        <f t="shared" si="15"/>
        <v>Palmesøndag</v>
      </c>
      <c r="DM34" t="str">
        <f t="shared" si="15"/>
        <v/>
      </c>
      <c r="DN34" t="str">
        <f t="shared" si="35"/>
        <v>Palmesøndag</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6"/>
        <v>0</v>
      </c>
      <c r="FZ34" s="634">
        <f t="shared" si="17"/>
        <v>0</v>
      </c>
      <c r="GA34">
        <f t="shared" si="18"/>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9"/>
        <v>0</v>
      </c>
      <c r="GL34">
        <f t="shared" si="20"/>
        <v>0</v>
      </c>
      <c r="GM34">
        <f t="shared" si="21"/>
        <v>0</v>
      </c>
      <c r="GN34" s="713">
        <f t="shared" si="22"/>
        <v>0</v>
      </c>
      <c r="GO34">
        <f t="shared" si="37"/>
        <v>0</v>
      </c>
      <c r="GP34" s="647">
        <f t="shared" si="38"/>
        <v>0</v>
      </c>
    </row>
    <row r="35" spans="1:198">
      <c r="A35" s="239">
        <f t="shared" si="23"/>
        <v>22</v>
      </c>
      <c r="B35" s="125" t="str">
        <f t="shared" si="0"/>
        <v>ma</v>
      </c>
      <c r="C35" s="126" t="s">
        <v>126</v>
      </c>
      <c r="D35" s="127">
        <f t="shared" si="1"/>
        <v>12.428571428571429</v>
      </c>
      <c r="E35" s="1060"/>
      <c r="F35" s="1061"/>
      <c r="G35" s="1062"/>
      <c r="H35" s="292"/>
      <c r="I35" s="745"/>
      <c r="J35" s="746" t="str">
        <f t="shared" si="2"/>
        <v/>
      </c>
      <c r="K35" s="368"/>
      <c r="L35" s="368"/>
      <c r="M35" s="368"/>
      <c r="N35" s="311">
        <f t="shared" si="24"/>
        <v>0</v>
      </c>
      <c r="O35" s="311">
        <f t="shared" si="25"/>
        <v>0</v>
      </c>
      <c r="P35" s="311">
        <f>IF(Stamoplysninger!$H$34="JA",Marts!DG35,CX35)</f>
        <v>0</v>
      </c>
      <c r="Q35" s="311">
        <f t="shared" si="26"/>
        <v>0</v>
      </c>
      <c r="R35" s="751"/>
      <c r="S35" s="315"/>
      <c r="T35" s="316"/>
      <c r="U35" s="316"/>
      <c r="V35" s="422"/>
      <c r="W35" s="400"/>
      <c r="X35" s="619"/>
      <c r="Y35">
        <f t="shared" si="27"/>
        <v>0</v>
      </c>
      <c r="Z35">
        <f t="shared" si="3"/>
        <v>0</v>
      </c>
      <c r="AA35" s="1">
        <f t="shared" si="4"/>
        <v>0</v>
      </c>
      <c r="AB35" s="1">
        <f t="shared" si="5"/>
        <v>0</v>
      </c>
      <c r="AC35" s="1">
        <f t="shared" si="6"/>
        <v>0</v>
      </c>
      <c r="AD35" s="1">
        <f t="shared" si="7"/>
        <v>0</v>
      </c>
      <c r="AE35" s="1">
        <f t="shared" si="8"/>
        <v>0</v>
      </c>
      <c r="AF35" s="1">
        <f>IF(C35="Orlov",7.4*Stamoplysninger!$E$20,0)</f>
        <v>0</v>
      </c>
      <c r="AG35" t="str">
        <f>IF(AND(C35="Skema 1",B35="ma"),Arbejdstidsoversigt!$E$77,"")</f>
        <v/>
      </c>
      <c r="AH35" t="str">
        <f>IF(AND(C35="Skema 1",B35="ti"),Arbejdstidsoversigt!$E$78,"")</f>
        <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9"/>
        <v>0</v>
      </c>
      <c r="BC35" s="1">
        <f t="shared" si="29"/>
        <v>0</v>
      </c>
      <c r="BD35" s="1">
        <f t="shared" si="10"/>
        <v>0</v>
      </c>
      <c r="BE35" s="1">
        <f t="shared" si="11"/>
        <v>0</v>
      </c>
      <c r="BF35" s="1">
        <f t="shared" si="12"/>
        <v>0</v>
      </c>
      <c r="BG35" s="207" t="str">
        <f>IF(AND(C35="Skema 1",B35="ma"),Skemaoplysninger!$E$46,"")</f>
        <v/>
      </c>
      <c r="BH35" s="207" t="str">
        <f>IF(AND(C35="Skema 1",B35="ti"),Skemaoplysninger!$G$46,"")</f>
        <v/>
      </c>
      <c r="BI35" s="207" t="str">
        <f>IF(AND(C35="Skema 1",B35="on"),Skemaoplysninger!$I$46,"")</f>
        <v/>
      </c>
      <c r="BJ35" s="207" t="str">
        <f>IF(AND(C35="Skema 1",B35="to"),Skemaoplysninger!$K$46,"")</f>
        <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0</v>
      </c>
      <c r="CB35" s="1">
        <f t="shared" si="13"/>
        <v>0</v>
      </c>
      <c r="CC35" s="1">
        <f t="shared" si="14"/>
        <v>0</v>
      </c>
      <c r="CD35" s="207" t="str">
        <f>IF(AND(C35="Skema 1",B35="ma"),Skemaoplysninger!$E$47,"")</f>
        <v/>
      </c>
      <c r="CE35" s="207" t="str">
        <f>IF(AND(C35="Skema 1",B35="ti"),Skemaoplysninger!$G$47,"")</f>
        <v/>
      </c>
      <c r="CF35" s="207" t="str">
        <f>IF(AND(C35="Skema 1",B35="on"),Skemaoplysninger!$I$47,"")</f>
        <v/>
      </c>
      <c r="CG35" s="207" t="str">
        <f>IF(AND(C35="Skema 1",B35="to"),Skemaoplysninger!$K$47,"")</f>
        <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5"/>
        <v/>
      </c>
      <c r="DL35" t="str">
        <f t="shared" si="15"/>
        <v/>
      </c>
      <c r="DM35" t="str">
        <f t="shared" si="15"/>
        <v/>
      </c>
      <c r="DN35" t="str">
        <f t="shared" si="35"/>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6"/>
        <v>0</v>
      </c>
      <c r="FZ35" s="634">
        <f t="shared" si="17"/>
        <v>0</v>
      </c>
      <c r="GA35">
        <f t="shared" si="18"/>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9"/>
        <v>0</v>
      </c>
      <c r="GL35">
        <f t="shared" si="20"/>
        <v>0</v>
      </c>
      <c r="GM35">
        <f t="shared" si="21"/>
        <v>0</v>
      </c>
      <c r="GN35" s="713">
        <f t="shared" si="22"/>
        <v>0</v>
      </c>
      <c r="GO35">
        <f t="shared" si="37"/>
        <v>0</v>
      </c>
      <c r="GP35" s="647">
        <f t="shared" si="38"/>
        <v>0</v>
      </c>
    </row>
    <row r="36" spans="1:198">
      <c r="A36" s="239">
        <f t="shared" si="23"/>
        <v>23</v>
      </c>
      <c r="B36" s="125" t="str">
        <f t="shared" si="0"/>
        <v>ti</v>
      </c>
      <c r="C36" s="126" t="s">
        <v>126</v>
      </c>
      <c r="D36" s="127" t="str">
        <f t="shared" si="1"/>
        <v/>
      </c>
      <c r="E36" s="1060"/>
      <c r="F36" s="1061"/>
      <c r="G36" s="1062"/>
      <c r="H36" s="292"/>
      <c r="I36" s="745"/>
      <c r="J36" s="746" t="str">
        <f t="shared" si="2"/>
        <v/>
      </c>
      <c r="K36" s="368"/>
      <c r="L36" s="368"/>
      <c r="M36" s="368"/>
      <c r="N36" s="311">
        <f t="shared" si="24"/>
        <v>0</v>
      </c>
      <c r="O36" s="311">
        <f t="shared" si="25"/>
        <v>0</v>
      </c>
      <c r="P36" s="311">
        <f>IF(Stamoplysninger!$H$34="JA",Marts!DG36,CX36)</f>
        <v>0</v>
      </c>
      <c r="Q36" s="311">
        <f t="shared" si="26"/>
        <v>0</v>
      </c>
      <c r="R36" s="751"/>
      <c r="S36" s="315"/>
      <c r="T36" s="316"/>
      <c r="U36" s="316"/>
      <c r="V36" s="422"/>
      <c r="W36" s="400"/>
      <c r="X36" s="619"/>
      <c r="Y36">
        <f t="shared" si="27"/>
        <v>0</v>
      </c>
      <c r="Z36">
        <f t="shared" si="3"/>
        <v>0</v>
      </c>
      <c r="AA36" s="1">
        <f t="shared" si="4"/>
        <v>0</v>
      </c>
      <c r="AB36" s="1">
        <f t="shared" si="5"/>
        <v>0</v>
      </c>
      <c r="AC36" s="1">
        <f t="shared" si="6"/>
        <v>0</v>
      </c>
      <c r="AD36" s="1">
        <f t="shared" si="7"/>
        <v>0</v>
      </c>
      <c r="AE36" s="1">
        <f t="shared" si="8"/>
        <v>0</v>
      </c>
      <c r="AF36" s="1">
        <f>IF(C36="Orlov",7.4*Stamoplysninger!$E$20,0)</f>
        <v>0</v>
      </c>
      <c r="AG36" t="str">
        <f>IF(AND(C36="Skema 1",B36="ma"),Arbejdstidsoversigt!$E$77,"")</f>
        <v/>
      </c>
      <c r="AH36" t="str">
        <f>IF(AND(C36="Skema 1",B36="ti"),Arbejdstidsoversigt!$E$78,"")</f>
        <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9"/>
        <v>0</v>
      </c>
      <c r="BC36" s="1">
        <f t="shared" si="29"/>
        <v>0</v>
      </c>
      <c r="BD36" s="1">
        <f t="shared" si="10"/>
        <v>0</v>
      </c>
      <c r="BE36" s="1">
        <f t="shared" si="11"/>
        <v>0</v>
      </c>
      <c r="BF36" s="1">
        <f t="shared" si="12"/>
        <v>0</v>
      </c>
      <c r="BG36" s="207" t="str">
        <f>IF(AND(C36="Skema 1",B36="ma"),Skemaoplysninger!$E$46,"")</f>
        <v/>
      </c>
      <c r="BH36" s="207" t="str">
        <f>IF(AND(C36="Skema 1",B36="ti"),Skemaoplysninger!$G$46,"")</f>
        <v/>
      </c>
      <c r="BI36" s="207" t="str">
        <f>IF(AND(C36="Skema 1",B36="on"),Skemaoplysninger!$I$46,"")</f>
        <v/>
      </c>
      <c r="BJ36" s="207" t="str">
        <f>IF(AND(C36="Skema 1",B36="to"),Skemaoplysninger!$K$46,"")</f>
        <v/>
      </c>
      <c r="BK36" s="207" t="str">
        <f>IF(AND(C36="Skema 1",B36="fr"),Skemaoplysninger!$M$46,"")</f>
        <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0</v>
      </c>
      <c r="CB36" s="1">
        <f t="shared" si="13"/>
        <v>0</v>
      </c>
      <c r="CC36" s="1">
        <f t="shared" si="14"/>
        <v>0</v>
      </c>
      <c r="CD36" s="207" t="str">
        <f>IF(AND(C36="Skema 1",B36="ma"),Skemaoplysninger!$E$47,"")</f>
        <v/>
      </c>
      <c r="CE36" s="207" t="str">
        <f>IF(AND(C36="Skema 1",B36="ti"),Skemaoplysninger!$G$47,"")</f>
        <v/>
      </c>
      <c r="CF36" s="207" t="str">
        <f>IF(AND(C36="Skema 1",B36="on"),Skemaoplysninger!$I$47,"")</f>
        <v/>
      </c>
      <c r="CG36" s="207" t="str">
        <f>IF(AND(C36="Skema 1",B36="to"),Skemaoplysninger!$K$47,"")</f>
        <v/>
      </c>
      <c r="CH36" s="207" t="str">
        <f>IF(AND(C36="Skema 1",B36="fr"),Skemaoplysninger!$M$47,"")</f>
        <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5"/>
        <v/>
      </c>
      <c r="DL36" t="str">
        <f t="shared" si="15"/>
        <v/>
      </c>
      <c r="DM36" t="str">
        <f t="shared" si="15"/>
        <v/>
      </c>
      <c r="DN36" t="str">
        <f t="shared" si="35"/>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6"/>
        <v>0</v>
      </c>
      <c r="FZ36" s="634">
        <f t="shared" si="17"/>
        <v>0</v>
      </c>
      <c r="GA36">
        <f t="shared" si="18"/>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9"/>
        <v>0</v>
      </c>
      <c r="GL36">
        <f t="shared" si="20"/>
        <v>0</v>
      </c>
      <c r="GM36">
        <f t="shared" si="21"/>
        <v>0</v>
      </c>
      <c r="GN36" s="713">
        <f t="shared" si="22"/>
        <v>0</v>
      </c>
      <c r="GO36">
        <f t="shared" si="37"/>
        <v>0</v>
      </c>
      <c r="GP36" s="647">
        <f t="shared" si="38"/>
        <v>0</v>
      </c>
    </row>
    <row r="37" spans="1:198">
      <c r="A37" s="239">
        <f t="shared" si="23"/>
        <v>24</v>
      </c>
      <c r="B37" s="125" t="str">
        <f t="shared" si="0"/>
        <v>on</v>
      </c>
      <c r="C37" s="126" t="s">
        <v>126</v>
      </c>
      <c r="D37" s="127" t="str">
        <f t="shared" si="1"/>
        <v/>
      </c>
      <c r="E37" s="1123"/>
      <c r="F37" s="1124"/>
      <c r="G37" s="1125"/>
      <c r="H37" s="292"/>
      <c r="I37" s="745"/>
      <c r="J37" s="746" t="str">
        <f t="shared" si="2"/>
        <v/>
      </c>
      <c r="K37" s="368"/>
      <c r="L37" s="368"/>
      <c r="M37" s="368"/>
      <c r="N37" s="311">
        <f t="shared" si="24"/>
        <v>0</v>
      </c>
      <c r="O37" s="311">
        <f t="shared" si="25"/>
        <v>0</v>
      </c>
      <c r="P37" s="311">
        <f>IF(Stamoplysninger!$H$34="JA",Marts!DG37,CX37)</f>
        <v>0</v>
      </c>
      <c r="Q37" s="311">
        <f t="shared" si="26"/>
        <v>0</v>
      </c>
      <c r="R37" s="751"/>
      <c r="S37" s="315"/>
      <c r="T37" s="316"/>
      <c r="U37" s="316"/>
      <c r="V37" s="422"/>
      <c r="W37" s="400"/>
      <c r="X37" s="619"/>
      <c r="Y37">
        <f t="shared" si="27"/>
        <v>0</v>
      </c>
      <c r="Z37">
        <f t="shared" si="3"/>
        <v>0</v>
      </c>
      <c r="AA37" s="1">
        <f t="shared" si="4"/>
        <v>0</v>
      </c>
      <c r="AB37" s="1">
        <f t="shared" si="5"/>
        <v>0</v>
      </c>
      <c r="AC37" s="1">
        <f t="shared" si="6"/>
        <v>0</v>
      </c>
      <c r="AD37" s="1">
        <f t="shared" si="7"/>
        <v>0</v>
      </c>
      <c r="AE37" s="1">
        <f t="shared" si="8"/>
        <v>0</v>
      </c>
      <c r="AF37" s="1">
        <f>IF(C37="Orlov",7.4*Stamoplysninger!$E$20,0)</f>
        <v>0</v>
      </c>
      <c r="AG37" t="str">
        <f>IF(AND(C37="Skema 1",B37="ma"),Arbejdstidsoversigt!$E$77,"")</f>
        <v/>
      </c>
      <c r="AH37" t="str">
        <f>IF(AND(C37="Skema 1",B37="ti"),Arbejdstidsoversigt!$E$78,"")</f>
        <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9"/>
        <v>0</v>
      </c>
      <c r="BC37" s="1">
        <f t="shared" si="29"/>
        <v>0</v>
      </c>
      <c r="BD37" s="1">
        <f t="shared" si="10"/>
        <v>0</v>
      </c>
      <c r="BE37" s="1">
        <f t="shared" si="11"/>
        <v>0</v>
      </c>
      <c r="BF37" s="1">
        <f t="shared" si="12"/>
        <v>0</v>
      </c>
      <c r="BG37" s="207" t="str">
        <f>IF(AND(C37="Skema 1",B37="ma"),Skemaoplysninger!$E$46,"")</f>
        <v/>
      </c>
      <c r="BH37" s="207" t="str">
        <f>IF(AND(C37="Skema 1",B37="ti"),Skemaoplysninger!$G$46,"")</f>
        <v/>
      </c>
      <c r="BI37" s="207" t="str">
        <f>IF(AND(C37="Skema 1",B37="on"),Skemaoplysninger!$I$46,"")</f>
        <v/>
      </c>
      <c r="BJ37" s="207" t="str">
        <f>IF(AND(C37="Skema 1",B37="to"),Skemaoplysninger!$K$46,"")</f>
        <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0</v>
      </c>
      <c r="CB37" s="1">
        <f t="shared" si="13"/>
        <v>0</v>
      </c>
      <c r="CC37" s="1">
        <f t="shared" si="14"/>
        <v>0</v>
      </c>
      <c r="CD37" s="207" t="str">
        <f>IF(AND(C37="Skema 1",B37="ma"),Skemaoplysninger!$E$47,"")</f>
        <v/>
      </c>
      <c r="CE37" s="207" t="str">
        <f>IF(AND(C37="Skema 1",B37="ti"),Skemaoplysninger!$G$47,"")</f>
        <v/>
      </c>
      <c r="CF37" s="207" t="str">
        <f>IF(AND(C37="Skema 1",B37="on"),Skemaoplysninger!$I$47,"")</f>
        <v/>
      </c>
      <c r="CG37" s="207" t="str">
        <f>IF(AND(C37="Skema 1",B37="to"),Skemaoplysninger!$K$47,"")</f>
        <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5"/>
        <v/>
      </c>
      <c r="DL37" t="str">
        <f t="shared" si="15"/>
        <v/>
      </c>
      <c r="DM37" t="str">
        <f t="shared" si="15"/>
        <v/>
      </c>
      <c r="DN37" t="str">
        <f t="shared" si="35"/>
        <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6"/>
        <v>0</v>
      </c>
      <c r="FZ37" s="634">
        <f t="shared" si="17"/>
        <v>0</v>
      </c>
      <c r="GA37">
        <f t="shared" si="18"/>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9"/>
        <v>0</v>
      </c>
      <c r="GL37">
        <f t="shared" si="20"/>
        <v>0</v>
      </c>
      <c r="GM37">
        <f t="shared" si="21"/>
        <v>0</v>
      </c>
      <c r="GN37" s="713">
        <f t="shared" si="22"/>
        <v>0</v>
      </c>
      <c r="GO37">
        <f t="shared" si="37"/>
        <v>0</v>
      </c>
      <c r="GP37" s="647">
        <f t="shared" si="38"/>
        <v>0</v>
      </c>
    </row>
    <row r="38" spans="1:198">
      <c r="A38" s="239">
        <f t="shared" si="23"/>
        <v>25</v>
      </c>
      <c r="B38" s="125" t="str">
        <f t="shared" si="0"/>
        <v>to</v>
      </c>
      <c r="C38" s="126" t="s">
        <v>117</v>
      </c>
      <c r="D38" s="127" t="str">
        <f t="shared" si="1"/>
        <v/>
      </c>
      <c r="E38" s="1060" t="s">
        <v>104</v>
      </c>
      <c r="F38" s="1061"/>
      <c r="G38" s="1062"/>
      <c r="H38" s="292"/>
      <c r="I38" s="746" t="str">
        <f>IF(GO38=1,"X","")</f>
        <v/>
      </c>
      <c r="J38" s="746" t="str">
        <f t="shared" si="2"/>
        <v/>
      </c>
      <c r="K38" s="368"/>
      <c r="L38" s="368"/>
      <c r="M38" s="368"/>
      <c r="N38" s="311">
        <f t="shared" si="24"/>
        <v>0</v>
      </c>
      <c r="O38" s="311">
        <f t="shared" si="25"/>
        <v>0</v>
      </c>
      <c r="P38" s="311">
        <f>IF(Stamoplysninger!$H$34="JA",Marts!DG38,CX38)</f>
        <v>0</v>
      </c>
      <c r="Q38" s="311">
        <f t="shared" si="26"/>
        <v>0</v>
      </c>
      <c r="R38" s="751"/>
      <c r="S38" s="315"/>
      <c r="T38" s="316"/>
      <c r="U38" s="316"/>
      <c r="V38" s="422"/>
      <c r="W38" s="400"/>
      <c r="X38" s="619"/>
      <c r="Y38">
        <f t="shared" si="27"/>
        <v>0</v>
      </c>
      <c r="Z38">
        <f t="shared" si="3"/>
        <v>0</v>
      </c>
      <c r="AA38" s="1">
        <f t="shared" si="4"/>
        <v>0</v>
      </c>
      <c r="AB38" s="1">
        <f t="shared" si="5"/>
        <v>0</v>
      </c>
      <c r="AC38" s="1">
        <f t="shared" si="6"/>
        <v>0</v>
      </c>
      <c r="AD38" s="1">
        <f t="shared" si="7"/>
        <v>0</v>
      </c>
      <c r="AE38" s="1">
        <f t="shared" si="8"/>
        <v>0</v>
      </c>
      <c r="AF38" s="1">
        <f>IF(C38="Orlov",7.4*Stamoplysninger!$E$20,0)</f>
        <v>0</v>
      </c>
      <c r="AG38" t="str">
        <f>IF(AND(C38="Skema 1",B38="ma"),Arbejdstidsoversigt!$E$77,"")</f>
        <v/>
      </c>
      <c r="AH38" t="str">
        <f>IF(AND(C38="Skema 1",B38="ti"),Arbejdstidsoversigt!$E$78,"")</f>
        <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9"/>
        <v>0</v>
      </c>
      <c r="BC38" s="1">
        <f t="shared" si="29"/>
        <v>0</v>
      </c>
      <c r="BD38" s="1">
        <f t="shared" si="10"/>
        <v>0</v>
      </c>
      <c r="BE38" s="1">
        <f t="shared" si="11"/>
        <v>0</v>
      </c>
      <c r="BF38" s="1">
        <f t="shared" si="12"/>
        <v>0</v>
      </c>
      <c r="BG38" s="207" t="str">
        <f>IF(AND(C38="Skema 1",B38="ma"),Skemaoplysninger!$E$46,"")</f>
        <v/>
      </c>
      <c r="BH38" s="207" t="str">
        <f>IF(AND(C38="Skema 1",B38="ti"),Skemaoplysninger!$G$46,"")</f>
        <v/>
      </c>
      <c r="BI38" s="207" t="str">
        <f>IF(AND(C38="Skema 1",B38="on"),Skemaoplysninger!$I$46,"")</f>
        <v/>
      </c>
      <c r="BJ38" s="207" t="str">
        <f>IF(AND(C38="Skema 1",B38="to"),Skemaoplysninger!$K$46,"")</f>
        <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0</v>
      </c>
      <c r="CB38" s="1">
        <f t="shared" si="13"/>
        <v>0</v>
      </c>
      <c r="CC38" s="1">
        <f t="shared" si="14"/>
        <v>0</v>
      </c>
      <c r="CD38" s="207" t="str">
        <f>IF(AND(C38="Skema 1",B38="ma"),Skemaoplysninger!$E$47,"")</f>
        <v/>
      </c>
      <c r="CE38" s="207" t="str">
        <f>IF(AND(C38="Skema 1",B38="ti"),Skemaoplysninger!$G$47,"")</f>
        <v/>
      </c>
      <c r="CF38" s="207" t="str">
        <f>IF(AND(C38="Skema 1",B38="on"),Skemaoplysninger!$I$47,"")</f>
        <v/>
      </c>
      <c r="CG38" s="207" t="str">
        <f>IF(AND(C38="Skema 1",B38="to"),Skemaoplysninger!$K$47,"")</f>
        <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t="str">
        <f t="shared" si="33"/>
        <v>Skærtorsdag</v>
      </c>
      <c r="DJ38" t="str">
        <f t="shared" si="34"/>
        <v/>
      </c>
      <c r="DK38" t="str">
        <f t="shared" si="15"/>
        <v/>
      </c>
      <c r="DL38" t="str">
        <f t="shared" si="15"/>
        <v>Skærtorsdag</v>
      </c>
      <c r="DM38" t="str">
        <f t="shared" si="15"/>
        <v/>
      </c>
      <c r="DN38" t="str">
        <f t="shared" si="35"/>
        <v>Skærtorsdag</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6"/>
        <v>0</v>
      </c>
      <c r="FZ38" s="634">
        <f t="shared" si="17"/>
        <v>0</v>
      </c>
      <c r="GA38">
        <f t="shared" si="18"/>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9"/>
        <v>0</v>
      </c>
      <c r="GL38">
        <f t="shared" si="20"/>
        <v>0</v>
      </c>
      <c r="GM38">
        <f t="shared" si="21"/>
        <v>0</v>
      </c>
      <c r="GN38" s="713">
        <f t="shared" si="22"/>
        <v>0</v>
      </c>
      <c r="GO38">
        <f t="shared" si="37"/>
        <v>0</v>
      </c>
      <c r="GP38" s="647">
        <f t="shared" si="38"/>
        <v>0</v>
      </c>
    </row>
    <row r="39" spans="1:198">
      <c r="A39" s="239">
        <f t="shared" si="23"/>
        <v>26</v>
      </c>
      <c r="B39" s="125" t="str">
        <f t="shared" si="0"/>
        <v>fr</v>
      </c>
      <c r="C39" s="126" t="s">
        <v>117</v>
      </c>
      <c r="D39" s="127" t="str">
        <f t="shared" si="1"/>
        <v/>
      </c>
      <c r="E39" s="1060" t="s">
        <v>165</v>
      </c>
      <c r="F39" s="1061"/>
      <c r="G39" s="1062"/>
      <c r="H39" s="292"/>
      <c r="I39" s="746" t="str">
        <f>IF(GO39=1,"X","")</f>
        <v/>
      </c>
      <c r="J39" s="746" t="str">
        <f t="shared" si="2"/>
        <v/>
      </c>
      <c r="K39" s="368"/>
      <c r="L39" s="368"/>
      <c r="M39" s="368"/>
      <c r="N39" s="311">
        <f t="shared" si="24"/>
        <v>0</v>
      </c>
      <c r="O39" s="311">
        <f t="shared" si="25"/>
        <v>0</v>
      </c>
      <c r="P39" s="311">
        <f>IF(Stamoplysninger!$H$34="JA",Marts!DG39,CX39)</f>
        <v>0</v>
      </c>
      <c r="Q39" s="311">
        <f t="shared" si="26"/>
        <v>0</v>
      </c>
      <c r="R39" s="751"/>
      <c r="S39" s="315"/>
      <c r="T39" s="316"/>
      <c r="U39" s="316"/>
      <c r="V39" s="422"/>
      <c r="W39" s="400"/>
      <c r="X39" s="619"/>
      <c r="Y39">
        <f t="shared" si="27"/>
        <v>0</v>
      </c>
      <c r="Z39">
        <f t="shared" si="3"/>
        <v>0</v>
      </c>
      <c r="AA39" s="1">
        <f t="shared" si="4"/>
        <v>0</v>
      </c>
      <c r="AB39" s="1">
        <f t="shared" si="5"/>
        <v>0</v>
      </c>
      <c r="AC39" s="1">
        <f t="shared" si="6"/>
        <v>0</v>
      </c>
      <c r="AD39" s="1">
        <f t="shared" si="7"/>
        <v>0</v>
      </c>
      <c r="AE39" s="1">
        <f t="shared" si="8"/>
        <v>0</v>
      </c>
      <c r="AF39" s="1">
        <f>IF(C39="Orlov",7.4*Stamoplysninger!$E$20,0)</f>
        <v>0</v>
      </c>
      <c r="AG39" t="str">
        <f>IF(AND(C39="Skema 1",B39="ma"),Arbejdstidsoversigt!$E$77,"")</f>
        <v/>
      </c>
      <c r="AH39" t="str">
        <f>IF(AND(C39="Skema 1",B39="ti"),Arbejdstidsoversigt!$E$78,"")</f>
        <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9"/>
        <v>0</v>
      </c>
      <c r="BC39" s="1">
        <f t="shared" si="29"/>
        <v>0</v>
      </c>
      <c r="BD39" s="1">
        <f t="shared" si="10"/>
        <v>0</v>
      </c>
      <c r="BE39" s="1">
        <f t="shared" si="11"/>
        <v>0</v>
      </c>
      <c r="BF39" s="1">
        <f t="shared" si="12"/>
        <v>0</v>
      </c>
      <c r="BG39" s="207" t="str">
        <f>IF(AND(C39="Skema 1",B39="ma"),Skemaoplysninger!$E$46,"")</f>
        <v/>
      </c>
      <c r="BH39" s="207" t="str">
        <f>IF(AND(C39="Skema 1",B39="ti"),Skemaoplysninger!$G$46,"")</f>
        <v/>
      </c>
      <c r="BI39" s="207" t="str">
        <f>IF(AND(C39="Skema 1",B39="on"),Skemaoplysninger!$I$46,"")</f>
        <v/>
      </c>
      <c r="BJ39" s="207" t="str">
        <f>IF(AND(C39="Skema 1",B39="to"),Skemaoplysninger!$K$46,"")</f>
        <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0</v>
      </c>
      <c r="CB39" s="1">
        <f t="shared" si="13"/>
        <v>0</v>
      </c>
      <c r="CC39" s="1">
        <f t="shared" si="14"/>
        <v>0</v>
      </c>
      <c r="CD39" s="207" t="str">
        <f>IF(AND(C39="Skema 1",B39="ma"),Skemaoplysninger!$E$47,"")</f>
        <v/>
      </c>
      <c r="CE39" s="207" t="str">
        <f>IF(AND(C39="Skema 1",B39="ti"),Skemaoplysninger!$G$47,"")</f>
        <v/>
      </c>
      <c r="CF39" s="207" t="str">
        <f>IF(AND(C39="Skema 1",B39="on"),Skemaoplysninger!$I$47,"")</f>
        <v/>
      </c>
      <c r="CG39" s="207" t="str">
        <f>IF(AND(C39="Skema 1",B39="to"),Skemaoplysninger!$K$47,"")</f>
        <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t="str">
        <f t="shared" si="33"/>
        <v>Langfredag</v>
      </c>
      <c r="DJ39" t="str">
        <f t="shared" si="34"/>
        <v/>
      </c>
      <c r="DK39" t="str">
        <f t="shared" si="15"/>
        <v/>
      </c>
      <c r="DL39" t="str">
        <f t="shared" si="15"/>
        <v>Langfredag</v>
      </c>
      <c r="DM39" t="str">
        <f t="shared" si="15"/>
        <v/>
      </c>
      <c r="DN39" t="str">
        <f t="shared" si="35"/>
        <v>Langfredag</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6"/>
        <v>0</v>
      </c>
      <c r="FZ39" s="634">
        <f t="shared" si="17"/>
        <v>0</v>
      </c>
      <c r="GA39">
        <f t="shared" si="18"/>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9"/>
        <v>0</v>
      </c>
      <c r="GL39">
        <f t="shared" si="20"/>
        <v>0</v>
      </c>
      <c r="GM39">
        <f t="shared" si="21"/>
        <v>0</v>
      </c>
      <c r="GN39" s="713">
        <f t="shared" si="22"/>
        <v>0</v>
      </c>
      <c r="GO39">
        <f t="shared" si="37"/>
        <v>0</v>
      </c>
      <c r="GP39" s="647">
        <f t="shared" si="38"/>
        <v>0</v>
      </c>
    </row>
    <row r="40" spans="1:198">
      <c r="A40" s="239">
        <f t="shared" si="23"/>
        <v>27</v>
      </c>
      <c r="B40" s="125" t="str">
        <f t="shared" si="0"/>
        <v>lø</v>
      </c>
      <c r="C40" s="126" t="s">
        <v>118</v>
      </c>
      <c r="D40" s="127" t="str">
        <f t="shared" si="1"/>
        <v/>
      </c>
      <c r="E40" s="1060"/>
      <c r="F40" s="1061"/>
      <c r="G40" s="1062"/>
      <c r="H40" s="292"/>
      <c r="I40" s="746" t="str">
        <f>IF(GO40=1,"X","")</f>
        <v/>
      </c>
      <c r="J40" s="746" t="str">
        <f t="shared" si="2"/>
        <v/>
      </c>
      <c r="K40" s="368"/>
      <c r="L40" s="368"/>
      <c r="M40" s="368"/>
      <c r="N40" s="311">
        <f t="shared" si="24"/>
        <v>0</v>
      </c>
      <c r="O40" s="311">
        <f t="shared" si="25"/>
        <v>0</v>
      </c>
      <c r="P40" s="311">
        <f>IF(Stamoplysninger!$H$34="JA",Marts!DG40,CX40)</f>
        <v>0</v>
      </c>
      <c r="Q40" s="311">
        <f t="shared" si="26"/>
        <v>0</v>
      </c>
      <c r="R40" s="751"/>
      <c r="S40" s="315"/>
      <c r="T40" s="316"/>
      <c r="U40" s="316"/>
      <c r="V40" s="422"/>
      <c r="W40" s="400"/>
      <c r="X40" s="619"/>
      <c r="Y40">
        <f t="shared" si="27"/>
        <v>0</v>
      </c>
      <c r="Z40">
        <f t="shared" si="3"/>
        <v>0</v>
      </c>
      <c r="AA40" s="1">
        <f t="shared" si="4"/>
        <v>0</v>
      </c>
      <c r="AB40" s="1">
        <f t="shared" si="5"/>
        <v>0</v>
      </c>
      <c r="AC40" s="1">
        <f t="shared" si="6"/>
        <v>0</v>
      </c>
      <c r="AD40" s="1">
        <f t="shared" si="7"/>
        <v>0</v>
      </c>
      <c r="AE40" s="1">
        <f t="shared" si="8"/>
        <v>0</v>
      </c>
      <c r="AF40" s="1">
        <f>IF(C40="Orlov",7.4*Stamoplysninger!$E$20,0)</f>
        <v>0</v>
      </c>
      <c r="AG40" t="str">
        <f>IF(AND(C40="Skema 1",B40="ma"),Arbejdstidsoversigt!$E$77,"")</f>
        <v/>
      </c>
      <c r="AH40" t="str">
        <f>IF(AND(C40="Skema 1",B40="ti"),Arbejdstidsoversigt!$E$78,"")</f>
        <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0</v>
      </c>
      <c r="BB40" s="224">
        <f t="shared" si="9"/>
        <v>0</v>
      </c>
      <c r="BC40" s="1">
        <f t="shared" si="29"/>
        <v>0</v>
      </c>
      <c r="BD40" s="1">
        <f t="shared" si="10"/>
        <v>0</v>
      </c>
      <c r="BE40" s="1">
        <f t="shared" si="11"/>
        <v>0</v>
      </c>
      <c r="BF40" s="1">
        <f t="shared" si="12"/>
        <v>0</v>
      </c>
      <c r="BG40" s="207" t="str">
        <f>IF(AND(C40="Skema 1",B40="ma"),Skemaoplysninger!$E$46,"")</f>
        <v/>
      </c>
      <c r="BH40" s="207" t="str">
        <f>IF(AND(C40="Skema 1",B40="ti"),Skemaoplysninger!$G$46,"")</f>
        <v/>
      </c>
      <c r="BI40" s="207" t="str">
        <f>IF(AND(C40="Skema 1",B40="on"),Skemaoplysninger!$I$46,"")</f>
        <v/>
      </c>
      <c r="BJ40" s="207" t="str">
        <f>IF(AND(C40="Skema 1",B40="to"),Skemaoplysninger!$K$46,"")</f>
        <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0"/>
        <v>0</v>
      </c>
      <c r="CB40" s="1">
        <f t="shared" si="13"/>
        <v>0</v>
      </c>
      <c r="CC40" s="1">
        <f t="shared" si="14"/>
        <v>0</v>
      </c>
      <c r="CD40" s="207" t="str">
        <f>IF(AND(C40="Skema 1",B40="ma"),Skemaoplysninger!$E$47,"")</f>
        <v/>
      </c>
      <c r="CE40" s="207" t="str">
        <f>IF(AND(C40="Skema 1",B40="ti"),Skemaoplysninger!$G$47,"")</f>
        <v/>
      </c>
      <c r="CF40" s="207" t="str">
        <f>IF(AND(C40="Skema 1",B40="on"),Skemaoplysninger!$I$47,"")</f>
        <v/>
      </c>
      <c r="CG40" s="207" t="str">
        <f>IF(AND(C40="Skema 1",B40="to"),Skemaoplysninger!$K$47,"")</f>
        <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5"/>
        <v/>
      </c>
      <c r="DL40" t="str">
        <f t="shared" si="15"/>
        <v/>
      </c>
      <c r="DM40" t="str">
        <f t="shared" si="15"/>
        <v/>
      </c>
      <c r="DN40" t="str">
        <f t="shared" si="35"/>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6"/>
        <v>0</v>
      </c>
      <c r="FZ40" s="634">
        <f t="shared" si="17"/>
        <v>0</v>
      </c>
      <c r="GA40">
        <f t="shared" si="18"/>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9"/>
        <v>0</v>
      </c>
      <c r="GL40">
        <f t="shared" si="20"/>
        <v>0</v>
      </c>
      <c r="GM40">
        <f t="shared" si="21"/>
        <v>0</v>
      </c>
      <c r="GN40" s="713">
        <f t="shared" si="22"/>
        <v>0</v>
      </c>
      <c r="GO40">
        <f t="shared" si="37"/>
        <v>0</v>
      </c>
      <c r="GP40" s="647">
        <f t="shared" si="38"/>
        <v>0</v>
      </c>
    </row>
    <row r="41" spans="1:198">
      <c r="A41" s="239">
        <f t="shared" si="23"/>
        <v>28</v>
      </c>
      <c r="B41" s="125" t="str">
        <f t="shared" si="0"/>
        <v>sø</v>
      </c>
      <c r="C41" s="126" t="s">
        <v>118</v>
      </c>
      <c r="D41" s="127" t="str">
        <f t="shared" si="1"/>
        <v/>
      </c>
      <c r="E41" s="1060"/>
      <c r="F41" s="1061"/>
      <c r="G41" s="1062"/>
      <c r="H41" s="292"/>
      <c r="I41" s="746" t="str">
        <f>IF(GO41=1,"X","")</f>
        <v/>
      </c>
      <c r="J41" s="746" t="str">
        <f t="shared" si="2"/>
        <v/>
      </c>
      <c r="K41" s="368"/>
      <c r="L41" s="368"/>
      <c r="M41" s="368"/>
      <c r="N41" s="311">
        <f t="shared" si="24"/>
        <v>0</v>
      </c>
      <c r="O41" s="311">
        <f t="shared" si="25"/>
        <v>0</v>
      </c>
      <c r="P41" s="311">
        <f>IF(Stamoplysninger!$H$34="JA",Marts!DG41,CX41)</f>
        <v>0</v>
      </c>
      <c r="Q41" s="311">
        <f t="shared" si="26"/>
        <v>0</v>
      </c>
      <c r="R41" s="751"/>
      <c r="S41" s="315"/>
      <c r="T41" s="316"/>
      <c r="U41" s="316"/>
      <c r="V41" s="422"/>
      <c r="W41" s="400"/>
      <c r="X41" s="619"/>
      <c r="Y41">
        <f t="shared" si="27"/>
        <v>0</v>
      </c>
      <c r="Z41">
        <f t="shared" si="3"/>
        <v>0</v>
      </c>
      <c r="AA41" s="1">
        <f t="shared" si="4"/>
        <v>0</v>
      </c>
      <c r="AB41" s="1">
        <f t="shared" si="5"/>
        <v>0</v>
      </c>
      <c r="AC41" s="1">
        <f t="shared" si="6"/>
        <v>0</v>
      </c>
      <c r="AD41" s="1">
        <f t="shared" si="7"/>
        <v>0</v>
      </c>
      <c r="AE41" s="1">
        <f t="shared" si="8"/>
        <v>0</v>
      </c>
      <c r="AF41" s="1">
        <f>IF(C41="Orlov",7.4*Stamoplysninger!$E$20,0)</f>
        <v>0</v>
      </c>
      <c r="AG41" t="str">
        <f>IF(AND(C41="Skema 1",B41="ma"),Arbejdstidsoversigt!$E$77,"")</f>
        <v/>
      </c>
      <c r="AH41" t="str">
        <f>IF(AND(C41="Skema 1",B41="ti"),Arbejdstidsoversigt!$E$78,"")</f>
        <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9"/>
        <v>0</v>
      </c>
      <c r="BC41" s="1">
        <f t="shared" si="29"/>
        <v>0</v>
      </c>
      <c r="BD41" s="1">
        <f t="shared" si="10"/>
        <v>0</v>
      </c>
      <c r="BE41" s="1">
        <f t="shared" si="11"/>
        <v>0</v>
      </c>
      <c r="BF41" s="1">
        <f t="shared" si="12"/>
        <v>0</v>
      </c>
      <c r="BG41" s="207" t="str">
        <f>IF(AND(C41="Skema 1",B41="ma"),Skemaoplysninger!$E$46,"")</f>
        <v/>
      </c>
      <c r="BH41" s="207" t="str">
        <f>IF(AND(C41="Skema 1",B41="ti"),Skemaoplysninger!$G$46,"")</f>
        <v/>
      </c>
      <c r="BI41" s="207" t="str">
        <f>IF(AND(C41="Skema 1",B41="on"),Skemaoplysninger!$I$46,"")</f>
        <v/>
      </c>
      <c r="BJ41" s="207" t="str">
        <f>IF(AND(C41="Skema 1",B41="to"),Skemaoplysninger!$K$46,"")</f>
        <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0"/>
        <v>0</v>
      </c>
      <c r="CB41" s="1">
        <f t="shared" si="13"/>
        <v>0</v>
      </c>
      <c r="CC41" s="1">
        <f t="shared" si="14"/>
        <v>0</v>
      </c>
      <c r="CD41" s="207" t="str">
        <f>IF(AND(C41="Skema 1",B41="ma"),Skemaoplysninger!$E$47,"")</f>
        <v/>
      </c>
      <c r="CE41" s="207" t="str">
        <f>IF(AND(C41="Skema 1",B41="ti"),Skemaoplysninger!$G$47,"")</f>
        <v/>
      </c>
      <c r="CF41" s="207" t="str">
        <f>IF(AND(C41="Skema 1",B41="on"),Skemaoplysninger!$I$47,"")</f>
        <v/>
      </c>
      <c r="CG41" s="207" t="str">
        <f>IF(AND(C41="Skema 1",B41="to"),Skemaoplysninger!$K$47,"")</f>
        <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5"/>
        <v/>
      </c>
      <c r="DL41" t="str">
        <f t="shared" si="15"/>
        <v/>
      </c>
      <c r="DM41" t="str">
        <f t="shared" si="15"/>
        <v/>
      </c>
      <c r="DN41" t="str">
        <f t="shared" si="35"/>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6"/>
        <v>0</v>
      </c>
      <c r="FZ41" s="634">
        <f t="shared" si="17"/>
        <v>0</v>
      </c>
      <c r="GA41">
        <f t="shared" si="18"/>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9"/>
        <v>0</v>
      </c>
      <c r="GL41">
        <f t="shared" si="20"/>
        <v>0</v>
      </c>
      <c r="GM41">
        <f t="shared" si="21"/>
        <v>0</v>
      </c>
      <c r="GN41" s="713">
        <f t="shared" si="22"/>
        <v>0</v>
      </c>
      <c r="GO41">
        <f t="shared" si="37"/>
        <v>0</v>
      </c>
      <c r="GP41" s="647">
        <f t="shared" si="38"/>
        <v>0</v>
      </c>
    </row>
    <row r="42" spans="1:198">
      <c r="A42" s="239">
        <f>IF(ISNUMBER(A41),A41+1,1)</f>
        <v>29</v>
      </c>
      <c r="B42" s="125" t="str">
        <f t="shared" si="0"/>
        <v>ma</v>
      </c>
      <c r="C42" s="126" t="s">
        <v>117</v>
      </c>
      <c r="D42" s="127">
        <f t="shared" si="1"/>
        <v>13.428571428571429</v>
      </c>
      <c r="E42" s="1060" t="s">
        <v>675</v>
      </c>
      <c r="F42" s="1061"/>
      <c r="G42" s="1062"/>
      <c r="H42" s="292"/>
      <c r="I42" s="746" t="str">
        <f>IF(GO42=1,"X","")</f>
        <v/>
      </c>
      <c r="J42" s="746" t="str">
        <f t="shared" si="2"/>
        <v/>
      </c>
      <c r="K42" s="368"/>
      <c r="L42" s="368"/>
      <c r="M42" s="368"/>
      <c r="N42" s="311">
        <f t="shared" si="24"/>
        <v>0</v>
      </c>
      <c r="O42" s="311">
        <f t="shared" si="25"/>
        <v>0</v>
      </c>
      <c r="P42" s="311">
        <f>IF(Stamoplysninger!$H$34="JA",Marts!DG42,CX42)</f>
        <v>0</v>
      </c>
      <c r="Q42" s="311">
        <f t="shared" si="26"/>
        <v>0</v>
      </c>
      <c r="R42" s="751"/>
      <c r="S42" s="315"/>
      <c r="T42" s="316"/>
      <c r="U42" s="316"/>
      <c r="V42" s="422"/>
      <c r="W42" s="400"/>
      <c r="X42" s="619"/>
      <c r="Y42">
        <f t="shared" si="27"/>
        <v>0</v>
      </c>
      <c r="Z42">
        <f t="shared" si="3"/>
        <v>0</v>
      </c>
      <c r="AA42" s="1">
        <f t="shared" si="4"/>
        <v>0</v>
      </c>
      <c r="AB42" s="1">
        <f t="shared" si="5"/>
        <v>0</v>
      </c>
      <c r="AC42" s="1">
        <f t="shared" si="6"/>
        <v>0</v>
      </c>
      <c r="AD42" s="1">
        <f t="shared" si="7"/>
        <v>0</v>
      </c>
      <c r="AE42" s="1">
        <f t="shared" si="8"/>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0</v>
      </c>
      <c r="BB42" s="224">
        <f t="shared" si="9"/>
        <v>0</v>
      </c>
      <c r="BC42" s="1">
        <f t="shared" si="29"/>
        <v>0</v>
      </c>
      <c r="BD42" s="1">
        <f t="shared" si="10"/>
        <v>0</v>
      </c>
      <c r="BE42" s="1">
        <f t="shared" si="11"/>
        <v>0</v>
      </c>
      <c r="BF42" s="1">
        <f t="shared" si="12"/>
        <v>0</v>
      </c>
      <c r="BG42" s="207" t="str">
        <f>IF(AND(C42="Skema 1",B42="ma"),Skemaoplysninger!$E$46,"")</f>
        <v/>
      </c>
      <c r="BH42" s="207" t="str">
        <f>IF(AND(C42="Skema 1",B42="ti"),Skemaoplysninger!$G$46,"")</f>
        <v/>
      </c>
      <c r="BI42" s="207" t="str">
        <f>IF(AND(C42="Skema 1",B42="on"),Skemaoplysninger!$I$46,"")</f>
        <v/>
      </c>
      <c r="BJ42" s="207" t="str">
        <f>IF(AND(C42="Skema 1",B42="to"),Skemaoplysninger!$K$46,"")</f>
        <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 t="shared" si="30"/>
        <v>0</v>
      </c>
      <c r="CB42" s="1">
        <f t="shared" si="13"/>
        <v>0</v>
      </c>
      <c r="CC42" s="1">
        <f t="shared" si="14"/>
        <v>0</v>
      </c>
      <c r="CD42" s="207" t="str">
        <f>IF(AND(C42="Skema 1",B42="ma"),Skemaoplysninger!$E$47,"")</f>
        <v/>
      </c>
      <c r="CE42" s="207" t="str">
        <f>IF(AND(C42="Skema 1",B42="ti"),Skemaoplysninger!$G$47,"")</f>
        <v/>
      </c>
      <c r="CF42" s="207" t="str">
        <f>IF(AND(C42="Skema 1",B42="on"),Skemaoplysninger!$I$47,"")</f>
        <v/>
      </c>
      <c r="CG42" s="207" t="str">
        <f>IF(AND(C42="Skema 1",B42="to"),Skemaoplysninger!$K$47,"")</f>
        <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t="str">
        <f t="shared" si="33"/>
        <v>2. Påskedag</v>
      </c>
      <c r="DJ42" t="str">
        <f t="shared" si="34"/>
        <v/>
      </c>
      <c r="DK42" t="str">
        <f t="shared" si="15"/>
        <v/>
      </c>
      <c r="DL42" t="str">
        <f t="shared" si="15"/>
        <v>2. Påskedag</v>
      </c>
      <c r="DM42" t="str">
        <f t="shared" si="15"/>
        <v/>
      </c>
      <c r="DN42" t="str">
        <f t="shared" si="35"/>
        <v>2. Påskedag</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6"/>
        <v>0</v>
      </c>
      <c r="FZ42" s="634">
        <f t="shared" si="17"/>
        <v>0</v>
      </c>
      <c r="GA42">
        <f t="shared" si="18"/>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9"/>
        <v>0</v>
      </c>
      <c r="GL42">
        <f t="shared" si="20"/>
        <v>0</v>
      </c>
      <c r="GM42">
        <f t="shared" si="21"/>
        <v>0</v>
      </c>
      <c r="GN42" s="713">
        <f t="shared" si="22"/>
        <v>0</v>
      </c>
      <c r="GO42">
        <f t="shared" si="37"/>
        <v>0</v>
      </c>
      <c r="GP42" s="647">
        <f t="shared" si="38"/>
        <v>0</v>
      </c>
    </row>
    <row r="43" spans="1:198">
      <c r="A43" s="239">
        <f t="shared" si="23"/>
        <v>30</v>
      </c>
      <c r="B43" s="125" t="str">
        <f t="shared" si="0"/>
        <v>ti</v>
      </c>
      <c r="C43" s="126" t="s">
        <v>203</v>
      </c>
      <c r="D43" s="127" t="str">
        <f t="shared" si="1"/>
        <v/>
      </c>
      <c r="E43" s="1060"/>
      <c r="F43" s="1061"/>
      <c r="G43" s="1062"/>
      <c r="H43" s="292"/>
      <c r="I43" s="745"/>
      <c r="J43" s="746" t="str">
        <f t="shared" si="2"/>
        <v/>
      </c>
      <c r="K43" s="368"/>
      <c r="L43" s="368"/>
      <c r="M43" s="368"/>
      <c r="N43" s="311">
        <f t="shared" si="24"/>
        <v>8.11</v>
      </c>
      <c r="O43" s="311">
        <f t="shared" si="25"/>
        <v>4.5</v>
      </c>
      <c r="P43" s="311">
        <f>IF(Stamoplysninger!$H$34="JA",Marts!DG43,CX43)</f>
        <v>1.9166666666666665</v>
      </c>
      <c r="Q43" s="311">
        <f t="shared" si="26"/>
        <v>1.6933333333333329</v>
      </c>
      <c r="R43" s="751"/>
      <c r="S43" s="315"/>
      <c r="T43" s="316"/>
      <c r="U43" s="428"/>
      <c r="V43" s="422"/>
      <c r="W43" s="400"/>
      <c r="X43" s="619"/>
      <c r="Y43">
        <f t="shared" si="27"/>
        <v>0</v>
      </c>
      <c r="Z43">
        <f t="shared" si="3"/>
        <v>0</v>
      </c>
      <c r="AA43" s="1">
        <f t="shared" si="4"/>
        <v>0</v>
      </c>
      <c r="AB43" s="1">
        <f t="shared" si="5"/>
        <v>0</v>
      </c>
      <c r="AC43" s="1">
        <f t="shared" si="6"/>
        <v>0</v>
      </c>
      <c r="AD43" s="1">
        <f t="shared" si="7"/>
        <v>0</v>
      </c>
      <c r="AE43" s="1">
        <f t="shared" si="8"/>
        <v>0</v>
      </c>
      <c r="AF43" s="1">
        <f>IF(C43="Orlov",7.4*Stamoplysninger!$E$20,0)</f>
        <v>0</v>
      </c>
      <c r="AG43" t="str">
        <f>IF(AND(C43="Skema 1",B43="ma"),Arbejdstidsoversigt!$E$77,"")</f>
        <v/>
      </c>
      <c r="AH43">
        <f>IF(AND(C43="Skema 1",B43="ti"),Arbejdstidsoversigt!$E$78,"")</f>
        <v>8.11</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8.11</v>
      </c>
      <c r="BB43" s="224">
        <f t="shared" si="9"/>
        <v>194.64</v>
      </c>
      <c r="BC43" s="1">
        <f t="shared" si="29"/>
        <v>0</v>
      </c>
      <c r="BD43" s="1">
        <f t="shared" si="10"/>
        <v>0</v>
      </c>
      <c r="BE43" s="1">
        <f t="shared" si="11"/>
        <v>0</v>
      </c>
      <c r="BF43" s="1">
        <f t="shared" si="12"/>
        <v>0</v>
      </c>
      <c r="BG43" s="207" t="str">
        <f>IF(AND(C43="Skema 1",B43="ma"),Skemaoplysninger!$E$46,"")</f>
        <v/>
      </c>
      <c r="BH43" s="207">
        <f>IF(AND(C43="Skema 1",B43="ti"),Skemaoplysninger!$G$46,"")</f>
        <v>0.1875</v>
      </c>
      <c r="BI43" s="207" t="str">
        <f>IF(AND(C43="Skema 1",B43="on"),Skemaoplysninger!$I$46,"")</f>
        <v/>
      </c>
      <c r="BJ43" s="207" t="str">
        <f>IF(AND(C43="Skema 1",B43="to"),Skemaoplysninger!$K$46,"")</f>
        <v/>
      </c>
      <c r="BK43" s="207" t="str">
        <f>IF(AND(C43="Skema 1",B43="fr"),Skemaoplysninger!$M$46,"")</f>
        <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 t="shared" si="30"/>
        <v>4.5</v>
      </c>
      <c r="CB43" s="1">
        <f t="shared" si="13"/>
        <v>0</v>
      </c>
      <c r="CC43" s="1">
        <f t="shared" si="14"/>
        <v>0</v>
      </c>
      <c r="CD43" s="207" t="str">
        <f>IF(AND(C43="Skema 1",B43="ma"),Skemaoplysninger!$E$47,"")</f>
        <v/>
      </c>
      <c r="CE43" s="207">
        <f>IF(AND(C43="Skema 1",B43="ti"),Skemaoplysninger!$G$47,"")</f>
        <v>7.9861111111111105E-2</v>
      </c>
      <c r="CF43" s="207" t="str">
        <f>IF(AND(C43="Skema 1",B43="on"),Skemaoplysninger!$I$47,"")</f>
        <v/>
      </c>
      <c r="CG43" s="207" t="str">
        <f>IF(AND(C43="Skema 1",B43="to"),Skemaoplysninger!$K$47,"")</f>
        <v/>
      </c>
      <c r="CH43" s="207" t="str">
        <f>IF(AND(C43="Skema 1",B43="fr"),Skemaoplysninger!$M$47,"")</f>
        <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1.9166666666666665</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f t="shared" si="33"/>
        <v>0</v>
      </c>
      <c r="DJ43">
        <f t="shared" si="34"/>
        <v>0</v>
      </c>
      <c r="DK43" t="str">
        <f t="shared" si="15"/>
        <v/>
      </c>
      <c r="DL43" t="str">
        <f t="shared" si="15"/>
        <v/>
      </c>
      <c r="DM43" t="str">
        <f t="shared" si="15"/>
        <v/>
      </c>
      <c r="DN43" t="str">
        <f t="shared" si="35"/>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6"/>
        <v>0</v>
      </c>
      <c r="FZ43" s="634">
        <f t="shared" si="17"/>
        <v>0</v>
      </c>
      <c r="GA43">
        <f t="shared" si="18"/>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9"/>
        <v>0</v>
      </c>
      <c r="GL43">
        <f t="shared" si="20"/>
        <v>0</v>
      </c>
      <c r="GM43">
        <f t="shared" si="21"/>
        <v>0</v>
      </c>
      <c r="GN43" s="713">
        <f t="shared" si="22"/>
        <v>0</v>
      </c>
      <c r="GO43">
        <f t="shared" si="37"/>
        <v>0</v>
      </c>
      <c r="GP43" s="647">
        <f t="shared" si="38"/>
        <v>0</v>
      </c>
    </row>
    <row r="44" spans="1:198" ht="17" thickBot="1">
      <c r="A44" s="239">
        <f>IF(ISNUMBER(A43),A43+1,1)</f>
        <v>31</v>
      </c>
      <c r="B44" s="125" t="str">
        <f t="shared" si="0"/>
        <v>on</v>
      </c>
      <c r="C44" s="126" t="s">
        <v>203</v>
      </c>
      <c r="D44" s="127" t="str">
        <f t="shared" si="1"/>
        <v/>
      </c>
      <c r="E44" s="1123"/>
      <c r="F44" s="1124"/>
      <c r="G44" s="1125"/>
      <c r="H44" s="291"/>
      <c r="I44" s="745"/>
      <c r="J44" s="746" t="str">
        <f t="shared" si="2"/>
        <v/>
      </c>
      <c r="K44" s="368"/>
      <c r="L44" s="368"/>
      <c r="M44" s="368"/>
      <c r="N44" s="311">
        <f t="shared" si="24"/>
        <v>8.11</v>
      </c>
      <c r="O44" s="311">
        <f t="shared" si="25"/>
        <v>2.75</v>
      </c>
      <c r="P44" s="311">
        <f>IF(Stamoplysninger!$H$34="JA",Marts!DG44,CX44)</f>
        <v>1.25</v>
      </c>
      <c r="Q44" s="311">
        <f t="shared" si="26"/>
        <v>4.1099999999999994</v>
      </c>
      <c r="R44" s="751"/>
      <c r="S44" s="315"/>
      <c r="T44" s="316"/>
      <c r="U44" s="211"/>
      <c r="V44" s="422"/>
      <c r="W44" s="400"/>
      <c r="X44" s="620"/>
      <c r="Y44">
        <f t="shared" si="27"/>
        <v>0</v>
      </c>
      <c r="Z44">
        <f t="shared" si="3"/>
        <v>0</v>
      </c>
      <c r="AA44" s="1">
        <f t="shared" si="4"/>
        <v>0</v>
      </c>
      <c r="AB44" s="1">
        <f t="shared" si="5"/>
        <v>0</v>
      </c>
      <c r="AC44" s="1">
        <f t="shared" si="6"/>
        <v>0</v>
      </c>
      <c r="AD44" s="1">
        <f t="shared" si="7"/>
        <v>0</v>
      </c>
      <c r="AE44" s="1">
        <f t="shared" si="8"/>
        <v>0</v>
      </c>
      <c r="AF44" s="1">
        <f>IF(C44="Orlov",7.4*Stamoplysninger!$E$20,0)</f>
        <v>0</v>
      </c>
      <c r="AG44" t="str">
        <f>IF(AND(C44="Skema 1",B44="ma"),Arbejdstidsoversigt!$E$77,"")</f>
        <v/>
      </c>
      <c r="AH44" t="str">
        <f>IF(AND(C44="Skema 1",B44="ti"),Arbejdstidsoversigt!$E$78,"")</f>
        <v/>
      </c>
      <c r="AI44">
        <f>IF(AND(C44="Skema 1",B44="on"),Arbejdstidsoversigt!$E$79,"")</f>
        <v>8.11</v>
      </c>
      <c r="AJ44" t="str">
        <f>IF(AND(C44="Skema 1",B44="to"),Arbejdstidsoversigt!$E$80,"")</f>
        <v/>
      </c>
      <c r="AK44" t="str">
        <f>IF(AND(C44="Skema 1",B44="fr"),Arbejdstidsoversigt!$E$81,"")</f>
        <v/>
      </c>
      <c r="AL44" t="str">
        <f>IF(AND(C44="Skema 2",B44="ma"),Arbejdstidsoversigt!$E$86,"")</f>
        <v/>
      </c>
      <c r="AM44" t="str">
        <f>IF(AND(C44="Skema 2",B44="ti"),Arbejdstidsoversigt!$E$87,"")</f>
        <v/>
      </c>
      <c r="AN44" t="str">
        <f>IF(AND(C44="Skema 2",B44="on"),Arbejdstidsoversigt!$E$88,"")</f>
        <v/>
      </c>
      <c r="AO44" t="str">
        <f>IF(AND(C44="Skema 2",B44="to"),Arbejdstidsoversigt!$E$89,"")</f>
        <v/>
      </c>
      <c r="AP44" t="str">
        <f>IF(AND(C44="Skema 2",B44="fr"),Arbejdstidsoversigt!$E$90,"")</f>
        <v/>
      </c>
      <c r="AQ44" t="str">
        <f>IF(AND(C44="Skema 3",B44="ma"),Arbejdstidsoversigt!$E$95,"")</f>
        <v/>
      </c>
      <c r="AR44" t="str">
        <f>IF(AND(C44="Skema 3",B44="ti"),Arbejdstidsoversigt!$E$96,"")</f>
        <v/>
      </c>
      <c r="AS44" t="str">
        <f>IF(AND(C44="Skema 3",B44="on"),Arbejdstidsoversigt!$E$97,"")</f>
        <v/>
      </c>
      <c r="AT44" t="str">
        <f>IF(AND(C44="Skema 3",B44="to"),Arbejdstidsoversigt!$E$98,"")</f>
        <v/>
      </c>
      <c r="AU44" t="str">
        <f>IF(AND(C44="Skema 3",B44="fr"),Arbejdstidsoversigt!$E$99,"")</f>
        <v/>
      </c>
      <c r="AV44" t="str">
        <f>IF(AND(C44="Skema 4",B44="ma"),Arbejdstidsoversigt!$E$104,"")</f>
        <v/>
      </c>
      <c r="AW44" t="str">
        <f>IF(AND(C44="Skema 4",B44="ti"),Arbejdstidsoversigt!$E$105,"")</f>
        <v/>
      </c>
      <c r="AX44" t="str">
        <f>IF(AND(C44="Skema 4",B44="on"),Arbejdstidsoversigt!$E$106,"")</f>
        <v/>
      </c>
      <c r="AY44" t="str">
        <f>IF(AND(C44="Skema 4",B44="to"),Arbejdstidsoversigt!$E$107,"")</f>
        <v/>
      </c>
      <c r="AZ44" t="str">
        <f>IF(AND(C44="Skema 4",B44="fr"),Arbejdstidsoversigt!$E$108,"")</f>
        <v/>
      </c>
      <c r="BA44" s="1">
        <f t="shared" si="28"/>
        <v>8.11</v>
      </c>
      <c r="BB44" s="224">
        <f t="shared" si="9"/>
        <v>194.64</v>
      </c>
      <c r="BC44" s="1">
        <f t="shared" si="29"/>
        <v>0</v>
      </c>
      <c r="BD44" s="1">
        <f t="shared" si="10"/>
        <v>0</v>
      </c>
      <c r="BE44" s="1">
        <f t="shared" si="11"/>
        <v>0</v>
      </c>
      <c r="BF44" s="1">
        <f t="shared" si="12"/>
        <v>0</v>
      </c>
      <c r="BG44" s="207" t="str">
        <f>IF(AND(C44="Skema 1",B44="ma"),Skemaoplysninger!$E$46,"")</f>
        <v/>
      </c>
      <c r="BH44" s="207" t="str">
        <f>IF(AND(C44="Skema 1",B44="ti"),Skemaoplysninger!$G$46,"")</f>
        <v/>
      </c>
      <c r="BI44" s="207">
        <f>IF(AND(C44="Skema 1",B44="on"),Skemaoplysninger!$I$46,"")</f>
        <v>0.11458333333333333</v>
      </c>
      <c r="BJ44" s="207" t="str">
        <f>IF(AND(C44="Skema 1",B44="to"),Skemaoplysninger!$K$46,"")</f>
        <v/>
      </c>
      <c r="BK44" s="207" t="str">
        <f>IF(AND(C44="Skema 1",B44="fr"),Skemaoplysninger!$M$46,"")</f>
        <v/>
      </c>
      <c r="BL44" s="207" t="str">
        <f>IF(AND(C44="Skema 2",B44="ma"),Skemaoplysninger!$S$46,"")</f>
        <v/>
      </c>
      <c r="BM44" s="207" t="str">
        <f>IF(AND(C44="Skema 2",B44="ti"),Skemaoplysninger!$U$46,"")</f>
        <v/>
      </c>
      <c r="BN44" s="207" t="str">
        <f>IF(AND(C44="Skema 2",B44="on"),Skemaoplysninger!$W$46,"")</f>
        <v/>
      </c>
      <c r="BO44" s="207" t="str">
        <f>IF(AND(C44="Skema 2",B44="to"),Skemaoplysninger!$Y$46,"")</f>
        <v/>
      </c>
      <c r="BP44" s="207" t="str">
        <f>IF(AND(C44="Skema 2",B44="fr"),Skemaoplysninger!$AA$46,"")</f>
        <v/>
      </c>
      <c r="BQ44" s="207" t="str">
        <f>IF(AND(C44="Skema 3",B44="ma"),Skemaoplysninger!$AG$46,"")</f>
        <v/>
      </c>
      <c r="BR44" s="207" t="str">
        <f>IF(AND(C44="Skema 3",B44="ti"),Skemaoplysninger!$AI$46,"")</f>
        <v/>
      </c>
      <c r="BS44" s="207" t="str">
        <f>IF(AND(C44="Skema 3",B44="on"),Skemaoplysninger!$AK$46,"")</f>
        <v/>
      </c>
      <c r="BT44" s="207" t="str">
        <f>IF(AND(C44="Skema 3",B44="to"),Skemaoplysninger!$AM$46,"")</f>
        <v/>
      </c>
      <c r="BU44" s="207" t="str">
        <f>IF(AND(C44="Skema 3",B44="fr"),Skemaoplysninger!$AO$46,"")</f>
        <v/>
      </c>
      <c r="BV44" s="207" t="str">
        <f>IF(AND(C44="Skema 4",B44="ma"),Skemaoplysninger!$AU$46,"")</f>
        <v/>
      </c>
      <c r="BW44" s="207" t="str">
        <f>IF(AND(C44="Skema 4",B44="ti"),Skemaoplysninger!$AW$46,"")</f>
        <v/>
      </c>
      <c r="BX44" s="207" t="str">
        <f>IF(AND(C44="Skema 4",B44="on"),Skemaoplysninger!$AY$46,"")</f>
        <v/>
      </c>
      <c r="BY44" s="207" t="str">
        <f>IF(AND(C44="Skema 4",B44="to"),Skemaoplysninger!$BA$46,"")</f>
        <v/>
      </c>
      <c r="BZ44" s="207" t="str">
        <f>IF(AND(C44="Skema 4",B44="fr"),Skemaoplysninger!$BC$46,"")</f>
        <v/>
      </c>
      <c r="CA44" s="1">
        <f t="shared" si="30"/>
        <v>2.75</v>
      </c>
      <c r="CB44" s="1">
        <f t="shared" si="13"/>
        <v>0</v>
      </c>
      <c r="CC44" s="1">
        <f t="shared" si="14"/>
        <v>0</v>
      </c>
      <c r="CD44" s="207" t="str">
        <f>IF(AND(C44="Skema 1",B44="ma"),Skemaoplysninger!$E$47,"")</f>
        <v/>
      </c>
      <c r="CE44" s="207" t="str">
        <f>IF(AND(C44="Skema 1",B44="ti"),Skemaoplysninger!$G$47,"")</f>
        <v/>
      </c>
      <c r="CF44" s="207">
        <f>IF(AND(C44="Skema 1",B44="on"),Skemaoplysninger!$I$47,"")</f>
        <v>5.2083333333333329E-2</v>
      </c>
      <c r="CG44" s="207" t="str">
        <f>IF(AND(C44="Skema 1",B44="to"),Skemaoplysninger!$K$47,"")</f>
        <v/>
      </c>
      <c r="CH44" s="207" t="str">
        <f>IF(AND(C44="Skema 1",B44="fr"),Skemaoplysninger!$M$47,"")</f>
        <v/>
      </c>
      <c r="CI44" s="207" t="str">
        <f>IF(AND(C44="Skema 2",B44="ma"),Skemaoplysninger!$S$47,"")</f>
        <v/>
      </c>
      <c r="CJ44" s="207" t="str">
        <f>IF(AND(C44="Skema 2",B44="ti"),Skemaoplysninger!$U$47,"")</f>
        <v/>
      </c>
      <c r="CK44" s="207" t="str">
        <f>IF(AND(C44="Skema 2",B44="on"),Skemaoplysninger!$W$47,"")</f>
        <v/>
      </c>
      <c r="CL44" s="207" t="str">
        <f>IF(AND(C44="Skema 2",B44="to"),Skemaoplysninger!$Y$48,"")</f>
        <v/>
      </c>
      <c r="CM44" s="207" t="str">
        <f>IF(AND(C44="Skema 2",B44="fr"),Skemaoplysninger!$AA$47,"")</f>
        <v/>
      </c>
      <c r="CN44" s="207" t="str">
        <f>IF(AND(C44="Skema 3",B44="ma"),Skemaoplysninger!$AG$47,"")</f>
        <v/>
      </c>
      <c r="CO44" s="207" t="str">
        <f>IF(AND(C44="Skema 3",B44="ti"),Skemaoplysninger!$AI$47,"")</f>
        <v/>
      </c>
      <c r="CP44" s="207" t="str">
        <f>IF(AND(C44="Skema 3",B44="on"),Skemaoplysninger!$AK$47,"")</f>
        <v/>
      </c>
      <c r="CQ44" s="207" t="str">
        <f>IF(AND(C44="Skema 3",B44="to"),Skemaoplysninger!$AM$47,"")</f>
        <v/>
      </c>
      <c r="CR44" s="207" t="str">
        <f>IF(AND(C44="Skema 3",B44="fr"),Skemaoplysninger!$AO$47,"")</f>
        <v/>
      </c>
      <c r="CS44" s="207" t="str">
        <f>IF(AND(C44="Skema 4",B44="ma"),Skemaoplysninger!$AU$47,"")</f>
        <v/>
      </c>
      <c r="CT44" s="207" t="str">
        <f>IF(AND(C44="Skema 4",B44="ti"),Skemaoplysninger!$AW$47,"")</f>
        <v/>
      </c>
      <c r="CU44" s="207" t="str">
        <f>IF(AND(C44="Skema 4",B44="on"),Skemaoplysninger!$AY$47,"")</f>
        <v/>
      </c>
      <c r="CV44" s="207" t="str">
        <f>IF(AND(C44="Skema 4",B44="to"),Skemaoplysninger!$BA$47,"")</f>
        <v/>
      </c>
      <c r="CW44" s="207" t="str">
        <f>IF(AND(C44="Skema 4",B44="fr"),Skemaoplysninger!$BC$47,"")</f>
        <v/>
      </c>
      <c r="CX44" s="243">
        <f>IF(Stamoplysninger!$H$34="NEJ",SUM(CD44:CW44)*24+CB44+CC44,0)</f>
        <v>1.25</v>
      </c>
      <c r="CY44" s="243">
        <f>IF(C44="Skema 1",Stamoplysninger!$H$35/200,0)</f>
        <v>0</v>
      </c>
      <c r="CZ44" s="243">
        <f>IF(C44="Skema 2",Stamoplysninger!$H$35/200,0)</f>
        <v>0</v>
      </c>
      <c r="DA44" s="243">
        <f>IF(C44="Skema 3",Stamoplysninger!$H$35/200,0)</f>
        <v>0</v>
      </c>
      <c r="DB44" s="243">
        <f>IF(C44="Skema 4",Stamoplysninger!$H$35/200,0)</f>
        <v>0</v>
      </c>
      <c r="DC44" s="243">
        <f>IF(C44="fagdag",Stamoplysninger!$H$35/200,0)</f>
        <v>0</v>
      </c>
      <c r="DD44" s="243">
        <f>IF(C44="emnedag",Stamoplysninger!$H$35/200,0)</f>
        <v>0</v>
      </c>
      <c r="DE44" s="243">
        <f>IF(C44="lejrskole",Stamoplysninger!$H$35/200,0)</f>
        <v>0</v>
      </c>
      <c r="DF44" s="243">
        <f>IF(C44="ekskursion",Stamoplysninger!$H$35/200,0)</f>
        <v>0</v>
      </c>
      <c r="DG44" s="243">
        <f t="shared" si="31"/>
        <v>0</v>
      </c>
      <c r="DH44" t="str">
        <f t="shared" si="32"/>
        <v/>
      </c>
      <c r="DI44">
        <f t="shared" si="33"/>
        <v>0</v>
      </c>
      <c r="DJ44">
        <f t="shared" si="34"/>
        <v>0</v>
      </c>
      <c r="DK44" t="str">
        <f>IF(DH44=0,"",DH44)</f>
        <v/>
      </c>
      <c r="DL44" t="str">
        <f>IF(DI44=0,"",DI44)</f>
        <v/>
      </c>
      <c r="DM44" t="str">
        <f>IF(DJ44=0,"",DJ44)</f>
        <v/>
      </c>
      <c r="DN44" t="str">
        <f t="shared" si="35"/>
        <v/>
      </c>
      <c r="DO44" s="628">
        <f>IF(AND(Stamoplysninger!$B$27="Ulempetillæg udbetales med 25% af nettotimelønnen.",H44&gt;0),(R44/4),0)</f>
        <v>0</v>
      </c>
      <c r="DP44">
        <f>IF(AND(AND(Stamoplysninger!$B$27="Ulempetillæg udbetales med 25% af nettotimelønnen.",I44="X",J44="")),K44/4,0)</f>
        <v>0</v>
      </c>
      <c r="DQ44">
        <f>IF(AND(Stamoplysninger!$B$27="Ulempetillæg udbetales med 25% af nettotimelønnen.",U44="X"),(X44/4),0)</f>
        <v>0</v>
      </c>
      <c r="DR44">
        <f>IF(AND(AND(AND(Stamoplysninger!$B$27="Ulempetillæg udbetales med 25% af nettotimelønnen.",S44="X",I44="X",J44=""))),V44/4,0)</f>
        <v>0</v>
      </c>
      <c r="DS44" s="647">
        <f>IF(AND(AND(Stamoplysninger!$B$27="Ulempetillæg udbetales med 25% af nettotimelønnen.",C44="ikke relevant",H44&gt;"")),(R44)/4,0)</f>
        <v>0</v>
      </c>
      <c r="DT44" s="647">
        <f>IF(AND(AND(Stamoplysninger!$B$27="Ulempetillæg udbetales med 25% af nettotimelønnen.",I44="X",C44="Ikke relevant")),K44/4,0)</f>
        <v>0</v>
      </c>
      <c r="DU44" s="647">
        <f>IF(AND(AND(Stamoplysninger!$B$27="Ulempetillæg udbetales med 25% af nettotimelønnen.",C44="ikke relevant",U44="X")),(X44/4),0)</f>
        <v>0</v>
      </c>
      <c r="DV44" s="648">
        <f>IF(AND(AND(AND(Stamoplysninger!$B$27="Ulempetillæg udbetales med 25% af nettotimelønnen.",I44="X",C44="Ikke relevant",U44="X"))),X44/4,0)</f>
        <v>0</v>
      </c>
      <c r="DW44" s="628">
        <f>IF(AND(Stamoplysninger!$B$27="Ulempetillæg afspadseres med 25%(Kræver en aftale imellem ledelsen og den ansatte)",H44&gt;0),R44/4,0)</f>
        <v>0</v>
      </c>
      <c r="DX44">
        <f>IF(AND(AND(Stamoplysninger!$B$27="Ulempetillæg afspadseres med 25%(Kræver en aftale imellem ledelsen og den ansatte)",I44="X",J44="")),K44/4,0)</f>
        <v>0</v>
      </c>
      <c r="DY44">
        <f>IF(AND(Stamoplysninger!$B$27="Ulempetillæg afspadseres med 25%(Kræver en aftale imellem ledelsen og den ansatte)",U44="X"),X44/4,0)</f>
        <v>0</v>
      </c>
      <c r="DZ44">
        <f>IF(AND(AND(AND(Stamoplysninger!$B$27="Ulempetillæg afspadseres med 25%(Kræver en aftale imellem ledelsen og den ansatte)",I44="X",S44="X",J44=""))),V44/4,0)</f>
        <v>0</v>
      </c>
      <c r="EA44" s="647">
        <f>IF(AND(Stamoplysninger!$B$27="Ulempetillæg afspadseres med 25%(Kræver en aftale imellem ledelsen og den ansatte)",C44="ikke relevant"),(R44)/4,0)</f>
        <v>0</v>
      </c>
      <c r="EB44" s="647">
        <f>IF(AND(AND(Stamoplysninger!$B$27="Ulempetillæg afspadseres med 25%(Kræver en aftale imellem ledelsen og den ansatte)",I44="X",C44="Ikke relevant")),K44/4,0)</f>
        <v>0</v>
      </c>
      <c r="EC44" s="647">
        <f>IF(AND(AND(Stamoplysninger!$B$27="Ulempetillæg afspadseres med 25%(Kræver en aftale imellem ledelsen og den ansatte)",U44="X",C44="Ikke relevant")),X44/4,0)</f>
        <v>0</v>
      </c>
      <c r="ED44" s="647">
        <f>IF(AND(AND(AND(Stamoplysninger!$B$27="Ulempetillæg afspadseres med 25%(Kræver en aftale imellem ledelsen og den ansatte)",I44="X",C44="Ikke relevant",S44="X"))),V44/4,0)</f>
        <v>0</v>
      </c>
      <c r="EE44" s="277">
        <f>IF(AND(AND(Stamoplysninger!$B$31="Weekendtimer og weekendtillæg afspadseres.",I44="X",J44="")),K44*1.5,0)</f>
        <v>0</v>
      </c>
      <c r="EF44" s="245">
        <f>IF(AND(AND(AND(Stamoplysninger!$B$31="Weekendtimer og weekendtillæg afspadseres.",I44="X",S44="X",J44=""))),V44*1.5,0)</f>
        <v>0</v>
      </c>
      <c r="EG44" s="650">
        <f>IF(AND(AND(Stamoplysninger!$B$31="Weekendtimer og weekendtillæg afspadseres.",I44="X",C44="ikke relevant")),K44*1.5,0)</f>
        <v>0</v>
      </c>
      <c r="EH44" s="651">
        <f>IF(AND(AND(AND(Stamoplysninger!$B$31="Weekendtimer og weekendtillæg afspadseres.",I44="X",C44="ikke relevant",S44="X"))),(V44*1.5),0)</f>
        <v>0</v>
      </c>
      <c r="EI44" s="277">
        <f>IF(AND(AND(Stamoplysninger!$B$31="Weekendtimer og weekendtillæg afspadseres.",I44="X",J44="X")),K44,0)</f>
        <v>0</v>
      </c>
      <c r="EJ44" s="718">
        <f>IF(AND(AND(AND(Stamoplysninger!$B$31="Weekendtimer og weekendtillæg afspadseres.",I44="X",S44="X",J44="X"))),V44,0)</f>
        <v>0</v>
      </c>
      <c r="EK44" s="650">
        <f>IF(AND(AND(Stamoplysninger!$B$31="Weekendtimer og weekendtillæg afspadseres.",M44="X",G44="ikke relevant")),O44*1.5,0)</f>
        <v>0</v>
      </c>
      <c r="EL44" s="651">
        <f>IF(AND(AND(AND(Stamoplysninger!$B$31="Weekendtimer og weekendtillæg afspadseres.",M44="X",G44="ikke relevant",W44="X"))),(Z44*1.5),0)</f>
        <v>0</v>
      </c>
      <c r="EM44" s="277">
        <f>IF(AND(AND(Stamoplysninger!$B$31="Weekendtimer og weekendtillæg udbetales.",I44="X",J44="")),K44*1.5,0)</f>
        <v>0</v>
      </c>
      <c r="EN44" s="245">
        <f>IF(AND(AND(AND(Stamoplysninger!$B$31="Weekendtimer og weekendtillæg udbetales.",I44="X",S44="X",J44=""))),V44*1.5,0)</f>
        <v>0</v>
      </c>
      <c r="EO44" s="650">
        <f>IF(AND(AND(Stamoplysninger!$B$31="Weekendtimer og weekendtillæg udbetales.",I44="X",C44="ikke relevant")),K44*1.5,0)</f>
        <v>0</v>
      </c>
      <c r="EP44" s="651">
        <f>IF(AND(AND(AND(Stamoplysninger!$B$31="Weekendtimer og weekendtillæg udbetales.",I44="X",C44="ikke relevant",S44="X"))),(V44*1.5),0)</f>
        <v>0</v>
      </c>
      <c r="EQ44" s="277">
        <f>IF(AND(AND(Stamoplysninger!$B$31="Weekendtimer og weekendtillæg udbetales.",I44="X",J44="X")),K44,0)</f>
        <v>0</v>
      </c>
      <c r="ER44" s="718">
        <f>IF(AND(AND(AND(Stamoplysninger!$B$31="Weekendtimer og weekendtillæg udbetales.",I44="X",S44="X",J44="x"))),V44,0)</f>
        <v>0</v>
      </c>
      <c r="ES44" s="650">
        <f>IF(AND(AND(Stamoplysninger!$B$31="Weekendtimer og weekendtillæg udbetales.",M44="X",G44="ikke relevant")),O44*1.5,0)</f>
        <v>0</v>
      </c>
      <c r="ET44" s="651">
        <f>IF(AND(AND(AND(Stamoplysninger!$B$31="Weekendtimer og weekendtillæg udbetales.",M44="X",G44="ikke relevant",W44="X"))),(Z44*1.5),0)</f>
        <v>0</v>
      </c>
      <c r="EU44" s="277">
        <f>IF(AND(AND(Stamoplysninger!$B$31="Der er indgået lokalaftale omkring weekendtimer.(Kræver aftale med TR/FSL) Weekendtillæg afspadseres.",I44="X",J44="")),K44*0.5,0)</f>
        <v>0</v>
      </c>
      <c r="EV44" s="245">
        <f>IF(AND(AND(AND(Stamoplysninger!$B$31="Der er indgået lokalaftale omkring weekendtimer.(Kræver aftale med TR/FSL) Weekendtillæg afspadseres.",I44="X",S44="X",J44=""))),V44*0.5,0)</f>
        <v>0</v>
      </c>
      <c r="EW44" s="650">
        <f>IF(AND(AND(Stamoplysninger!$B$31="Der er indgået lokalaftale omkring weekendtimer.(Kræver aftale med TR/FSL) Weekendtillæg afspadseres.",I44="X",C44="ikke relevant")),K44*0.5,0)</f>
        <v>0</v>
      </c>
      <c r="EX44" s="651">
        <f>IF(AND(AND(AND(Stamoplysninger!$B$31="Der er indgået lokalaftale omkring weekendtimer.(Kræver aftale med TR/FSL) Weekendtillæg afspadseres.",I44="X",C44="ikke relevant",S44="X"))),(V44*0.5),0)</f>
        <v>0</v>
      </c>
      <c r="EY44" s="277">
        <f>IF(AND(AND(Stamoplysninger!$B$31="Der er indgået lokalaftale omkring weekendtimer(Kræver aftale med TR/FSL). Weekendtillæg udbetales.",I44="X",J44="")),K44*0.5,0)</f>
        <v>0</v>
      </c>
      <c r="EZ44" s="245">
        <f>IF(AND(AND(AND(Stamoplysninger!$B$31="Der er indgået lokalaftale omkring weekendtimer(Kræver aftale med TR/FSL). Weekendtillæg udbetales.",I44="X",S44="X",J44=""))),V44*0.5,0)</f>
        <v>0</v>
      </c>
      <c r="FA44" s="650">
        <f>IF(AND(AND(Stamoplysninger!$B$31="Der er indgået lokalaftale omkring weekendtimer(Kræver aftale med TR/FSL). Weekendtillæg udbetales.",I44="X",C44="ikke relevant")),K44*0.5,0)</f>
        <v>0</v>
      </c>
      <c r="FB44" s="651">
        <f>IF(AND(AND(AND(Stamoplysninger!$B$31="Der er indgået lokalaftale omkring weekendtimer(Kræver aftale med TR/FSL). Weekendtillæg udbetales.",I44="X",C44="ikke relevant",S44="X"))),(V44*0.5),0)</f>
        <v>0</v>
      </c>
      <c r="FC44" s="277">
        <f>IF(AND(Stamoplysninger!$B$31="Der er indgået lokalaftale omkring weekendtillæg(Kræver aftale med TR/FSL). Weekendtimerne afspadseres.",I44="X"),K44,0)</f>
        <v>0</v>
      </c>
      <c r="FD44" s="245">
        <f>IF(AND(AND(Stamoplysninger!$B$31="Der er indgået lokalaftale omkring weekendtillæg(Kræver aftale med TR/FSL). Weekendtimerne afspadseres.",I44="X",S44="X")),V44,0)</f>
        <v>0</v>
      </c>
      <c r="FE44" s="650">
        <f>IF(AND(AND(Stamoplysninger!$B$31="Der er indgået lokalaftale omkring weekendtillæg(Kræver aftale med TR/FSL). Weekendtimerne afspadseres..",I44="X",C44="ikke relevant")),K44,0)</f>
        <v>0</v>
      </c>
      <c r="FF44" s="651">
        <f>IF(AND(AND(AND(Stamoplysninger!$B$31="Der er indgået lokalaftale omkring weekendtillæg(Kræver aftale med TR/FSL). Weekendtimerne afspadseres.",I44="X",C44="ikke relevant",S44="X"))),(V44),0)</f>
        <v>0</v>
      </c>
      <c r="FG44" s="277">
        <f>IF(AND(Stamoplysninger!$B$31="Der er indgået lokalaftale omkring weekendtillæg(Kræver aftale med TR/FSL). Weekendtimerne udbetales.",I44="X"),K44,0)</f>
        <v>0</v>
      </c>
      <c r="FH44" s="245">
        <f>IF(AND(AND(Stamoplysninger!$B$31="Der er indgået lokalaftale omkring weekendtillæg(Kræver aftale med TR/FSL). Weekendtimerne udbetales.",I44="X",S44="X")),V44,0)</f>
        <v>0</v>
      </c>
      <c r="FI44" s="650">
        <f>IF(AND(AND(Stamoplysninger!$B$31="Der er indgået lokalaftale omkring weekendtillæg(Kræver aftale med TR/FSL). Weekendtimerne udbetales.",I44="X",C44="ikke relevant")),K44,0)</f>
        <v>0</v>
      </c>
      <c r="FJ44" s="651">
        <f>IF(AND(AND(AND(Stamoplysninger!$B$31="Der er indgået lokalaftale omkring weekendtillæg(Kræver aftale med TR/FSL). Weekendtimerne udbetales.",I44="X",C44="ikke relevant",S44="X"))),(V44),0)</f>
        <v>0</v>
      </c>
      <c r="FK44" s="277">
        <f>IF(AND(AND(Stamoplysninger!$B$31="Weekendtimer og weekendtillæg afspadseres.",I44="X",J44="")),K44,0)</f>
        <v>0</v>
      </c>
      <c r="FL44" s="245">
        <f>IF(AND(Stamoplysninger!$B$31="Weekendtimer og weekendtillæg afspadseres.",Y44="X"),(AA44+AL44)/2,0)</f>
        <v>0</v>
      </c>
      <c r="FM44" s="650">
        <f>IF(AND(AND(Stamoplysninger!$B$31="Weekendtimer og weekendtillæg afspadseres.",I44="X",C44="ikke relevant")),K44,0)</f>
        <v>0</v>
      </c>
      <c r="FN44" s="651">
        <f>IF(AND(AND(Stamoplysninger!$B$31="Weekendtimer og weekendtillæg afspadseres.",Y44="X",S44="ikke relevant")),(AA44+AL44)/2,0)</f>
        <v>0</v>
      </c>
      <c r="FO44" s="277">
        <f>IF(AND(AND(Stamoplysninger!$B$31="Weekendtimer og weekendtillæg afspadseres.",I44="X",J44="X")),K44,0)</f>
        <v>0</v>
      </c>
      <c r="FP44" s="245">
        <f>IF(AND(Stamoplysninger!$B$31="Weekendtimer og weekendtillæg afspadseres.",AC44="X"),(AE44+AP44)/2,0)</f>
        <v>0</v>
      </c>
      <c r="FQ44" s="650">
        <f>IF(AND(AND(Stamoplysninger!$B$31="Weekendtimer og weekendtillæg afspadseres.",M44="X",G44="ikke relevant")),O44,0)</f>
        <v>0</v>
      </c>
      <c r="FR44" s="651">
        <f>IF(AND(AND(Stamoplysninger!$B$31="Weekendtimer og weekendtillæg afspadseres.",AC44="X",W44="ikke relevant")),(AE44+AP44)/2,0)</f>
        <v>0</v>
      </c>
      <c r="FS44" s="277">
        <f>IF(AND(Stamoplysninger!$B$31="Der er indgået lokalaftale omkring weekendtillæg(Kræver aftale med TR/FSL). Weekendtimerne afspadseres.",I44="X"),K44,0)</f>
        <v>0</v>
      </c>
      <c r="FT44" s="650">
        <f>IF(AND(AND(Stamoplysninger!$B$31="Der er indgået lokalaftale omkring weekendtillæg(Kræver aftale med TR/FSL). Weekendtimerne afspadseres.",I44="X",C44="ikke relevant")),K44,0)</f>
        <v>0</v>
      </c>
      <c r="FU44" s="277">
        <f>IF(AND(Stamoplysninger!$B$31="Weekendtimer og weekendtillæg udbetales.",I44="X"),K44,0)</f>
        <v>0</v>
      </c>
      <c r="FV44" s="245">
        <f>IF(AND(Stamoplysninger!$B$31="Weekendtimer og weekendtillæg udbetales.",AA44="X"),(AC44+AN44)/2,0)</f>
        <v>0</v>
      </c>
      <c r="FW44" s="650">
        <f>IF(AND(AND(Stamoplysninger!$B$31="Weekendtimer og weekendtillæg udbetales.",I44="X",C44="ikke relevant")),K44,0)</f>
        <v>0</v>
      </c>
      <c r="FX44" s="664">
        <f>IF(AND(AND(Stamoplysninger!$B$31="Weekendtimer og weekendtillæg udbetales.",AA44="X",U44="ikke relevant")),(AC44+AN44)/2,0)</f>
        <v>0</v>
      </c>
      <c r="FY44" s="277">
        <f t="shared" si="16"/>
        <v>0</v>
      </c>
      <c r="FZ44" s="634">
        <f t="shared" si="17"/>
        <v>0</v>
      </c>
      <c r="GA44">
        <f t="shared" si="18"/>
        <v>0</v>
      </c>
      <c r="GB44" s="277">
        <f>IF(AND(Stamoplysninger!$B$31="Der er indgået lokalaftale omkring weekendtimer.(Kræver aftale med TR/FSL) Weekendtillæg afspadseres.",I44="X"),K44,0)</f>
        <v>0</v>
      </c>
      <c r="GC44" s="650">
        <f>IF(AND(AND(Stamoplysninger!$B$31="Der er indgået lokalaftale omkring weekendtimer.(Kræver aftale med TR/FSL) Weekendtillæg afspadseres.",I44="X",C44="ikke relevant")),K44,0)</f>
        <v>0</v>
      </c>
      <c r="GD44" s="277">
        <f>IF(AND(Stamoplysninger!$B$31="Der er indgået lokalaftale omkring weekendtimer(Kræver aftale med TR/FSL). Weekendtillæg udbetales.",I44="X"),K44,0)</f>
        <v>0</v>
      </c>
      <c r="GE44" s="650">
        <f>IF(AND(AND(Stamoplysninger!$B$31="Der er indgået lokalaftale omkring weekendtimer(Kræver aftale med TR/FSL). Weekendtillæg udbetales.",I44="X",C44="ikke relevant")),K44,0)</f>
        <v>0</v>
      </c>
      <c r="GF44" s="277">
        <f>IF(AND(Stamoplysninger!$B$31="Der er indgået lokalaftale omkring weekendtillæg(Kræver aftale med TR/FSL). Weekendtimerne udbetales.",I44="X"),K44,0)</f>
        <v>0</v>
      </c>
      <c r="GG44" s="650">
        <f>IF(AND(AND(Stamoplysninger!$B$31="Der er indgået lokalaftale omkring weekendtillæg(Kræver aftale med TR/FSL). Weekendtimerne udbetales.",I44="X",C44="ikke relevant")),K44,0)</f>
        <v>0</v>
      </c>
      <c r="GH44" s="277">
        <f>IF(AND(Stamoplysninger!$B$31="Der er indgået lokalaftale omkring weekendtimer og weekendtillæg.(Kræver aftale med TR/FSL).",I44="X"),K44,0)</f>
        <v>0</v>
      </c>
      <c r="GI44" s="650">
        <f>IF(AND(AND(Stamoplysninger!$B$31="Der er indgået lokalaftale omkring weekendtimer og weekendtillæg.(Kræver aftale med TR/FSL).",I44="X",C44="ikke relevant")),K44,0)</f>
        <v>0</v>
      </c>
      <c r="GJ44">
        <f t="shared" si="36"/>
        <v>0</v>
      </c>
      <c r="GK44">
        <f t="shared" si="19"/>
        <v>0</v>
      </c>
      <c r="GL44">
        <f t="shared" si="20"/>
        <v>0</v>
      </c>
      <c r="GM44">
        <f t="shared" si="21"/>
        <v>0</v>
      </c>
      <c r="GN44" s="713">
        <f t="shared" si="22"/>
        <v>0</v>
      </c>
      <c r="GO44">
        <f t="shared" si="37"/>
        <v>0</v>
      </c>
      <c r="GP44" s="647">
        <f t="shared" si="38"/>
        <v>0</v>
      </c>
    </row>
    <row r="45" spans="1:198" ht="17" thickBot="1">
      <c r="A45" s="1100" t="s">
        <v>257</v>
      </c>
      <c r="B45" s="1101"/>
      <c r="C45" s="1101"/>
      <c r="D45" s="1101"/>
      <c r="E45" s="1101"/>
      <c r="F45" s="1101"/>
      <c r="G45" s="1101"/>
      <c r="H45" s="1101"/>
      <c r="I45" s="1102"/>
      <c r="J45" s="306"/>
      <c r="K45" s="313"/>
      <c r="L45" s="313"/>
      <c r="M45" s="313"/>
      <c r="N45" s="314">
        <f>SUM(N14:N44)</f>
        <v>144.30000000000001</v>
      </c>
      <c r="O45" s="314">
        <f>SUM(O14:O44)</f>
        <v>60.5</v>
      </c>
      <c r="P45" s="314">
        <f>SUM(P14:P44)</f>
        <v>23</v>
      </c>
      <c r="Q45" s="314">
        <f>SUM(Q14:Q44)</f>
        <v>45.8</v>
      </c>
      <c r="R45" s="752">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IF(H44&gt;0,R44,0)</f>
        <v>6</v>
      </c>
      <c r="S45" s="419"/>
      <c r="T45" s="420"/>
      <c r="U45" s="420"/>
      <c r="V45"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IF(S44="x",V44,0)</f>
        <v>0</v>
      </c>
      <c r="W45" s="420">
        <f>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IF(T44="x",W44,0)</f>
        <v>0</v>
      </c>
      <c r="X45" s="421">
        <f>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IF(U44="x",X44,0)</f>
        <v>0</v>
      </c>
      <c r="Y45" s="208">
        <f>SUM(Y14:Y44)</f>
        <v>0</v>
      </c>
      <c r="Z45" s="386">
        <f>Z14+Z15+Z16+Z17+Z18+Z19+Z20+Z21+Z22+Z23+Z24+Z25+Z26+Z27+Z28+Z29+Z30+Z31+Z32+Z33+Z34+Z35+Z36+Z37+Z38+Z39+Z40+Z41+Z42+Z43+Z44</f>
        <v>0</v>
      </c>
      <c r="AA45" s="229">
        <f t="shared" ref="AA45:AF45" si="39">SUM(AA14:AA44)</f>
        <v>0</v>
      </c>
      <c r="AB45" s="229">
        <f t="shared" si="39"/>
        <v>7</v>
      </c>
      <c r="AC45" s="229">
        <f t="shared" si="39"/>
        <v>15</v>
      </c>
      <c r="AD45" s="229">
        <f t="shared" si="39"/>
        <v>0</v>
      </c>
      <c r="AE45" s="229">
        <f t="shared" si="39"/>
        <v>0</v>
      </c>
      <c r="AF45" s="229">
        <f t="shared" si="39"/>
        <v>0</v>
      </c>
      <c r="BA45" s="1">
        <f>SUM(BA14:BA44)</f>
        <v>144.30000000000001</v>
      </c>
      <c r="BB45" s="109"/>
      <c r="BC45" s="229">
        <f>SUM(BC14:BC44)</f>
        <v>0</v>
      </c>
      <c r="BD45" s="229">
        <f>SUM(BD14:BD44)</f>
        <v>0</v>
      </c>
      <c r="BE45" s="229">
        <f>SUM(BE14:BE44)</f>
        <v>3.75</v>
      </c>
      <c r="BF45" s="229">
        <f>SUM(BF14:BF44)</f>
        <v>0</v>
      </c>
      <c r="CA45" s="229">
        <f>SUM(CA14:CA44)</f>
        <v>60.5</v>
      </c>
      <c r="CB45" s="229">
        <f>SUM(CB14:CB44)</f>
        <v>1.5</v>
      </c>
      <c r="CC45" s="229">
        <f>SUM(CC14:CC44)</f>
        <v>0</v>
      </c>
      <c r="CX45" s="243"/>
      <c r="CY45" s="243">
        <f t="shared" ref="CY45:DG45" si="40">SUM(CY14:CY44)</f>
        <v>0</v>
      </c>
      <c r="CZ45" s="243">
        <f t="shared" si="40"/>
        <v>0</v>
      </c>
      <c r="DA45" s="243">
        <f t="shared" si="40"/>
        <v>0</v>
      </c>
      <c r="DB45" s="243">
        <f t="shared" si="40"/>
        <v>0</v>
      </c>
      <c r="DC45" s="243">
        <f t="shared" si="40"/>
        <v>0</v>
      </c>
      <c r="DD45" s="243">
        <f t="shared" si="40"/>
        <v>0</v>
      </c>
      <c r="DE45" s="243">
        <f t="shared" si="40"/>
        <v>0</v>
      </c>
      <c r="DF45" s="243">
        <f t="shared" si="40"/>
        <v>0</v>
      </c>
      <c r="DG45" s="243">
        <f t="shared" si="40"/>
        <v>0</v>
      </c>
      <c r="DO45" s="645">
        <f>SUM(DO14:DO44)</f>
        <v>1.5</v>
      </c>
      <c r="DP45" s="646">
        <f t="shared" ref="DP45:GI45" si="41">SUM(DP14:DP44)</f>
        <v>1.25</v>
      </c>
      <c r="DQ45" s="646">
        <f t="shared" si="41"/>
        <v>0</v>
      </c>
      <c r="DR45" s="646">
        <f t="shared" si="41"/>
        <v>0</v>
      </c>
      <c r="DS45" s="649">
        <f t="shared" si="41"/>
        <v>0</v>
      </c>
      <c r="DT45" s="649">
        <f t="shared" si="41"/>
        <v>0</v>
      </c>
      <c r="DU45" s="646">
        <f t="shared" si="41"/>
        <v>0</v>
      </c>
      <c r="DV45" s="649">
        <f t="shared" si="41"/>
        <v>0</v>
      </c>
      <c r="DW45" s="646">
        <f t="shared" si="41"/>
        <v>0</v>
      </c>
      <c r="DX45" s="646">
        <f t="shared" si="41"/>
        <v>0</v>
      </c>
      <c r="DY45" s="646">
        <f t="shared" si="41"/>
        <v>0</v>
      </c>
      <c r="DZ45" s="646">
        <f t="shared" si="41"/>
        <v>0</v>
      </c>
      <c r="EA45" s="649">
        <f t="shared" si="41"/>
        <v>0</v>
      </c>
      <c r="EB45" s="649">
        <f t="shared" si="41"/>
        <v>0</v>
      </c>
      <c r="EC45" s="649">
        <f t="shared" si="41"/>
        <v>0</v>
      </c>
      <c r="ED45" s="649">
        <f t="shared" si="41"/>
        <v>0</v>
      </c>
      <c r="EE45" s="646">
        <f t="shared" si="41"/>
        <v>7.5</v>
      </c>
      <c r="EF45" s="646">
        <f t="shared" si="41"/>
        <v>0</v>
      </c>
      <c r="EG45" s="649">
        <f t="shared" si="41"/>
        <v>0</v>
      </c>
      <c r="EH45" s="649">
        <f t="shared" si="41"/>
        <v>0</v>
      </c>
      <c r="EI45" s="646">
        <f t="shared" si="41"/>
        <v>0</v>
      </c>
      <c r="EJ45" s="646">
        <f t="shared" si="41"/>
        <v>0</v>
      </c>
      <c r="EK45" s="649">
        <f t="shared" si="41"/>
        <v>0</v>
      </c>
      <c r="EL45" s="649">
        <f t="shared" si="41"/>
        <v>0</v>
      </c>
      <c r="EM45" s="646">
        <f t="shared" si="41"/>
        <v>0</v>
      </c>
      <c r="EN45" s="646">
        <f t="shared" si="41"/>
        <v>0</v>
      </c>
      <c r="EO45" s="649">
        <f t="shared" si="41"/>
        <v>0</v>
      </c>
      <c r="EP45" s="652">
        <f t="shared" si="41"/>
        <v>0</v>
      </c>
      <c r="EQ45" s="646">
        <f t="shared" si="41"/>
        <v>0</v>
      </c>
      <c r="ER45" s="646">
        <f t="shared" si="41"/>
        <v>0</v>
      </c>
      <c r="ES45" s="649">
        <f t="shared" si="41"/>
        <v>0</v>
      </c>
      <c r="ET45" s="652">
        <f t="shared" si="41"/>
        <v>0</v>
      </c>
      <c r="EU45" s="646">
        <f t="shared" si="41"/>
        <v>0</v>
      </c>
      <c r="EV45" s="646">
        <f t="shared" si="41"/>
        <v>0</v>
      </c>
      <c r="EW45" s="649">
        <f t="shared" si="41"/>
        <v>0</v>
      </c>
      <c r="EX45" s="652">
        <f t="shared" si="41"/>
        <v>0</v>
      </c>
      <c r="EY45" s="646">
        <f t="shared" si="41"/>
        <v>0</v>
      </c>
      <c r="EZ45" s="646">
        <f t="shared" si="41"/>
        <v>0</v>
      </c>
      <c r="FA45" s="649">
        <f t="shared" si="41"/>
        <v>0</v>
      </c>
      <c r="FB45" s="652">
        <f t="shared" si="41"/>
        <v>0</v>
      </c>
      <c r="FC45" s="646">
        <f t="shared" si="41"/>
        <v>0</v>
      </c>
      <c r="FD45" s="646">
        <f t="shared" si="41"/>
        <v>0</v>
      </c>
      <c r="FE45" s="649">
        <f t="shared" si="41"/>
        <v>0</v>
      </c>
      <c r="FF45" s="652">
        <f t="shared" si="41"/>
        <v>0</v>
      </c>
      <c r="FG45" s="646">
        <f t="shared" si="41"/>
        <v>0</v>
      </c>
      <c r="FH45" s="646">
        <f t="shared" si="41"/>
        <v>0</v>
      </c>
      <c r="FI45" s="649">
        <f t="shared" si="41"/>
        <v>0</v>
      </c>
      <c r="FJ45" s="652">
        <f t="shared" si="41"/>
        <v>0</v>
      </c>
      <c r="FK45" s="661">
        <f t="shared" si="41"/>
        <v>5</v>
      </c>
      <c r="FL45" s="646">
        <f t="shared" si="41"/>
        <v>0</v>
      </c>
      <c r="FM45" s="661">
        <f t="shared" si="41"/>
        <v>0</v>
      </c>
      <c r="FN45" s="649">
        <f t="shared" si="41"/>
        <v>0</v>
      </c>
      <c r="FO45" s="661">
        <f t="shared" si="41"/>
        <v>0</v>
      </c>
      <c r="FP45" s="646">
        <f t="shared" si="41"/>
        <v>0</v>
      </c>
      <c r="FQ45" s="661">
        <f t="shared" si="41"/>
        <v>0</v>
      </c>
      <c r="FR45" s="649">
        <f t="shared" si="41"/>
        <v>0</v>
      </c>
      <c r="FS45" s="661">
        <f t="shared" si="41"/>
        <v>0</v>
      </c>
      <c r="FT45" s="661">
        <f t="shared" si="41"/>
        <v>0</v>
      </c>
      <c r="FU45" s="661">
        <f t="shared" si="41"/>
        <v>0</v>
      </c>
      <c r="FV45" s="646">
        <f t="shared" si="41"/>
        <v>0</v>
      </c>
      <c r="FW45" s="661">
        <f t="shared" si="41"/>
        <v>0</v>
      </c>
      <c r="FX45" s="652">
        <f t="shared" si="41"/>
        <v>0</v>
      </c>
      <c r="FY45" s="665">
        <f t="shared" si="41"/>
        <v>0</v>
      </c>
      <c r="FZ45" s="666">
        <f t="shared" si="41"/>
        <v>0</v>
      </c>
      <c r="GA45" s="666">
        <f t="shared" si="41"/>
        <v>0</v>
      </c>
      <c r="GB45" s="665">
        <f>SUM(GB14:GB44)</f>
        <v>0</v>
      </c>
      <c r="GC45" s="666">
        <f t="shared" si="41"/>
        <v>0</v>
      </c>
      <c r="GD45" s="665">
        <f t="shared" si="41"/>
        <v>0</v>
      </c>
      <c r="GE45" s="666">
        <f t="shared" si="41"/>
        <v>0</v>
      </c>
      <c r="GF45" s="661">
        <f t="shared" si="41"/>
        <v>0</v>
      </c>
      <c r="GG45" s="661">
        <f t="shared" si="41"/>
        <v>0</v>
      </c>
      <c r="GH45" s="661">
        <f t="shared" si="41"/>
        <v>0</v>
      </c>
      <c r="GI45" s="661">
        <f t="shared" si="41"/>
        <v>0</v>
      </c>
      <c r="GP45" s="647">
        <f>SUM(GP14:GP44)</f>
        <v>0</v>
      </c>
    </row>
    <row r="46" spans="1:198" ht="26" thickBot="1">
      <c r="A46" s="227"/>
      <c r="B46" s="227"/>
      <c r="C46" s="227"/>
      <c r="D46" s="227"/>
      <c r="E46" s="227"/>
      <c r="F46" s="227"/>
      <c r="G46" s="227"/>
      <c r="H46" s="227"/>
      <c r="I46" s="227"/>
      <c r="J46" s="227"/>
      <c r="K46" s="233"/>
      <c r="L46" s="233"/>
      <c r="M46" s="233"/>
      <c r="N46" s="233"/>
      <c r="O46" s="233"/>
      <c r="P46" s="233"/>
      <c r="Q46" s="233"/>
      <c r="R46" s="233"/>
      <c r="S46" s="433"/>
      <c r="T46" s="433"/>
      <c r="U46" s="433"/>
      <c r="V46" s="433"/>
      <c r="W46" s="433"/>
      <c r="X46" s="433"/>
      <c r="Y46" s="229"/>
      <c r="Z46" s="208"/>
      <c r="AA46" s="229"/>
      <c r="AB46" s="208"/>
      <c r="AC46" s="208"/>
      <c r="AD46" s="229"/>
      <c r="AE46" s="229"/>
      <c r="AG46" s="229"/>
      <c r="BC46" s="229"/>
      <c r="BD46" s="229"/>
      <c r="BE46" s="229"/>
      <c r="BF46" s="229"/>
      <c r="BG46" s="109"/>
      <c r="CB46" s="229"/>
      <c r="CC46" s="229"/>
      <c r="CD46" s="109"/>
      <c r="CX46" s="242"/>
      <c r="CZ46"/>
      <c r="DO46" s="728"/>
      <c r="DP46" s="728"/>
      <c r="DQ46" s="728"/>
      <c r="DR46" s="728"/>
      <c r="DS46" s="728"/>
      <c r="DT46" s="728"/>
      <c r="DU46" s="728"/>
      <c r="DV46" s="728"/>
      <c r="DW46" s="729"/>
      <c r="DX46" s="729"/>
      <c r="DY46" s="729"/>
      <c r="DZ46" s="729"/>
      <c r="EA46" s="729"/>
      <c r="EB46" s="729"/>
      <c r="EC46" s="729"/>
      <c r="ED46" s="729"/>
      <c r="EE46" s="732"/>
      <c r="EF46" s="732"/>
      <c r="EG46" s="732"/>
      <c r="EH46" s="732"/>
      <c r="EI46" s="732"/>
      <c r="EJ46" s="732"/>
      <c r="EM46" s="734"/>
      <c r="EN46" s="734"/>
      <c r="EO46" s="734"/>
      <c r="EP46" s="734"/>
      <c r="EQ46" s="734"/>
      <c r="ER46" s="734"/>
      <c r="EU46" s="736"/>
      <c r="EV46" s="736"/>
      <c r="EW46" s="736"/>
      <c r="EX46" s="736"/>
      <c r="EY46" s="738"/>
      <c r="EZ46" s="738"/>
      <c r="FA46" s="738"/>
      <c r="FB46" s="738"/>
      <c r="FC46" s="740"/>
      <c r="FD46" s="740"/>
      <c r="FE46" s="740"/>
      <c r="FF46" s="740"/>
      <c r="FG46" s="742"/>
      <c r="FH46" s="742"/>
      <c r="FI46" s="742"/>
      <c r="FJ46" s="742"/>
      <c r="FK46" s="726"/>
      <c r="FM46" s="744"/>
      <c r="FO46" s="726"/>
      <c r="FS46" s="726"/>
      <c r="FT46" s="744"/>
      <c r="FU46" s="726"/>
      <c r="FW46" s="744"/>
      <c r="GA46" s="744"/>
      <c r="GB46" s="726"/>
      <c r="GC46" s="744"/>
      <c r="GD46" s="726"/>
      <c r="GE46" s="744"/>
      <c r="GF46" s="726"/>
      <c r="GG46" s="744"/>
      <c r="GH46" s="726"/>
      <c r="GI46" s="744"/>
      <c r="GP46" s="743" t="s">
        <v>663</v>
      </c>
    </row>
    <row r="47" spans="1:198" ht="70" customHeight="1">
      <c r="A47" s="1086" t="str">
        <f>"Arbejdstid for "&amp;A12&amp;" måned:"</f>
        <v>Arbejdstid for Marts måned:</v>
      </c>
      <c r="B47" s="1087"/>
      <c r="C47" s="1087"/>
      <c r="D47" s="1087"/>
      <c r="E47" s="1087"/>
      <c r="F47" s="1087"/>
      <c r="G47" s="1087"/>
      <c r="H47" s="321" t="s">
        <v>252</v>
      </c>
      <c r="I47" s="1087" t="s">
        <v>218</v>
      </c>
      <c r="J47" s="1088"/>
      <c r="K47" s="1089"/>
      <c r="L47" s="256"/>
      <c r="M47" s="1134" t="str">
        <f>"Ulempetimer og weekendtimer i "&amp;A10&amp;""</f>
        <v>Ulempetimer og weekendtimer i Marts måneds kalender for: Beate Simonsen. Måneden vedr. normperioden:  - .</v>
      </c>
      <c r="N47" s="1117"/>
      <c r="O47" s="1117"/>
      <c r="P47" s="1117"/>
      <c r="Q47" s="1117"/>
      <c r="R47" s="1117"/>
      <c r="S47" s="1117"/>
      <c r="T47" s="1117"/>
      <c r="U47" s="1117"/>
      <c r="V47" s="1117"/>
      <c r="W47" s="1117"/>
      <c r="X47" s="1118"/>
      <c r="Y47" s="233"/>
      <c r="Z47" s="233"/>
      <c r="AD47" s="87"/>
      <c r="AE47" s="87"/>
      <c r="BM47" s="1"/>
      <c r="CJ47" s="1"/>
      <c r="CU47" s="242"/>
      <c r="CV47" s="242"/>
      <c r="CY47"/>
      <c r="CZ47"/>
    </row>
    <row r="48" spans="1:198">
      <c r="A48" s="1090" t="str">
        <f>August!A49</f>
        <v>Arbejdstid eks. lørdage og søndage</v>
      </c>
      <c r="B48" s="1091"/>
      <c r="C48" s="1091"/>
      <c r="D48" s="1091"/>
      <c r="E48" s="1091"/>
      <c r="F48" s="1091"/>
      <c r="G48" s="1091"/>
      <c r="H48" s="250">
        <f>D83</f>
        <v>23</v>
      </c>
      <c r="I48" s="1103">
        <f>IF(Stamoplysninger!$E$17="Ja",1924/Arbejdstidsoversigt!$K$14*Stamoplysninger!$E$20*H48,H48*7.4*Stamoplysninger!$E$20)</f>
        <v>170.20000000000002</v>
      </c>
      <c r="J48" s="1104"/>
      <c r="K48" s="1105"/>
      <c r="L48" s="252"/>
      <c r="M48" s="1135" t="s">
        <v>308</v>
      </c>
      <c r="N48" s="1136"/>
      <c r="O48" s="1136"/>
      <c r="P48" s="1136"/>
      <c r="Q48" s="1136"/>
      <c r="R48" s="1136"/>
      <c r="S48" s="1136"/>
      <c r="T48" s="1136"/>
      <c r="U48" s="1137"/>
      <c r="V48" s="1138">
        <f>P70+P74+P77+P79</f>
        <v>2.75</v>
      </c>
      <c r="W48" s="1139"/>
      <c r="X48" s="1140"/>
      <c r="Y48" s="233"/>
      <c r="Z48" s="233"/>
      <c r="AD48" s="87"/>
      <c r="AE48" s="87"/>
      <c r="BM48" s="1"/>
      <c r="CJ48" s="1"/>
      <c r="CU48" s="242"/>
      <c r="CV48" s="242"/>
      <c r="CY48"/>
      <c r="CZ48"/>
    </row>
    <row r="49" spans="1:110">
      <c r="A49" s="1090" t="str">
        <f>"Ferie "&amp;A12&amp;" måned"</f>
        <v>Ferie Marts måned</v>
      </c>
      <c r="B49" s="1091"/>
      <c r="C49" s="1091"/>
      <c r="D49" s="1091"/>
      <c r="E49" s="1091"/>
      <c r="F49" s="1091"/>
      <c r="G49" s="1091"/>
      <c r="H49" s="251" t="str">
        <f>IF(D78&gt;0,$D$78,"0")</f>
        <v>0</v>
      </c>
      <c r="I49" s="1092">
        <f>H49*7.4*Stamoplysninger!$E$20</f>
        <v>0</v>
      </c>
      <c r="J49" s="1093"/>
      <c r="K49" s="1094"/>
      <c r="L49" s="252"/>
      <c r="M49" s="1141" t="s">
        <v>256</v>
      </c>
      <c r="N49" s="1142"/>
      <c r="O49" s="1142"/>
      <c r="P49" s="1142"/>
      <c r="Q49" s="1142"/>
      <c r="R49" s="1142"/>
      <c r="S49" s="1142"/>
      <c r="T49" s="1142"/>
      <c r="U49" s="1143"/>
      <c r="V49" s="1144">
        <f>Q71+Q73+Q76+Q78</f>
        <v>7.5</v>
      </c>
      <c r="W49" s="1145"/>
      <c r="X49" s="1146"/>
      <c r="Y49" s="233"/>
      <c r="Z49" s="233"/>
      <c r="AD49" s="87"/>
      <c r="AE49" s="87"/>
      <c r="BM49" s="1"/>
      <c r="CJ49" s="1"/>
      <c r="CU49" s="242"/>
      <c r="CV49" s="242"/>
      <c r="CY49"/>
      <c r="CZ49"/>
    </row>
    <row r="50" spans="1:110">
      <c r="A50" s="1090" t="str">
        <f>"Søgnehelligdage i "&amp;A12&amp;" måned"</f>
        <v>Søgnehelligdage i Marts måned</v>
      </c>
      <c r="B50" s="1091"/>
      <c r="C50" s="1091"/>
      <c r="D50" s="1091"/>
      <c r="E50" s="1091"/>
      <c r="F50" s="1091"/>
      <c r="G50" s="1091"/>
      <c r="H50" s="251">
        <f>IF(D77&gt;0,D77,0)</f>
        <v>3</v>
      </c>
      <c r="I50" s="1092">
        <f>H50*7.4*Stamoplysninger!$E$20</f>
        <v>22.200000000000003</v>
      </c>
      <c r="J50" s="1093"/>
      <c r="K50" s="1094"/>
      <c r="L50" s="253"/>
      <c r="M50" s="1286" t="s">
        <v>292</v>
      </c>
      <c r="N50" s="1287"/>
      <c r="O50" s="1287"/>
      <c r="P50" s="1287"/>
      <c r="Q50" s="1287"/>
      <c r="R50" s="1287"/>
      <c r="S50" s="1287"/>
      <c r="T50" s="1287"/>
      <c r="U50" s="1288"/>
      <c r="V50" s="1291">
        <f>Februar!V56</f>
        <v>0</v>
      </c>
      <c r="W50" s="1292"/>
      <c r="X50" s="1293"/>
      <c r="Y50" s="233"/>
      <c r="Z50" s="233"/>
      <c r="AD50" s="87"/>
      <c r="AE50" s="87"/>
      <c r="BM50" s="1"/>
      <c r="CJ50" s="1"/>
      <c r="CU50" s="242"/>
      <c r="CV50" s="242"/>
      <c r="CY50"/>
      <c r="CZ50"/>
    </row>
    <row r="51" spans="1:110">
      <c r="A51" s="1090" t="str">
        <f>"Nettoarbejdstid ialt i "&amp;A12&amp;" måned"</f>
        <v>Nettoarbejdstid ialt i Marts måned</v>
      </c>
      <c r="B51" s="1091"/>
      <c r="C51" s="1091"/>
      <c r="D51" s="1091"/>
      <c r="E51" s="1091"/>
      <c r="F51" s="1091"/>
      <c r="G51" s="1091"/>
      <c r="H51" s="254">
        <f>H48-H49-H50</f>
        <v>20</v>
      </c>
      <c r="I51" s="1092">
        <f>I48-I49-I50</f>
        <v>148</v>
      </c>
      <c r="J51" s="1093"/>
      <c r="K51" s="1094"/>
      <c r="L51" s="253"/>
      <c r="M51" s="1149" t="s">
        <v>298</v>
      </c>
      <c r="N51" s="1150"/>
      <c r="O51" s="1150"/>
      <c r="P51" s="1150"/>
      <c r="Q51" s="1150"/>
      <c r="R51" s="1150"/>
      <c r="S51" s="1150"/>
      <c r="T51" s="1150"/>
      <c r="U51" s="1151"/>
      <c r="V51" s="1152">
        <f>V49+V50</f>
        <v>7.5</v>
      </c>
      <c r="W51" s="1153"/>
      <c r="X51" s="1294"/>
      <c r="Y51" s="233"/>
      <c r="Z51" s="233"/>
      <c r="AD51" s="87"/>
      <c r="AE51" s="87"/>
      <c r="BM51" s="1"/>
      <c r="CJ51" s="1"/>
      <c r="CU51" s="242"/>
      <c r="CV51" s="242"/>
      <c r="CY51"/>
      <c r="CZ51"/>
    </row>
    <row r="52" spans="1:110">
      <c r="A52" s="1106" t="str">
        <f>"Planlagt arbejdstid efter ovennstående "&amp;A12&amp;" måned kalender"</f>
        <v>Planlagt arbejdstid efter ovennstående Marts måned kalender</v>
      </c>
      <c r="B52" s="1107"/>
      <c r="C52" s="1107"/>
      <c r="D52" s="1107"/>
      <c r="E52" s="1107"/>
      <c r="F52" s="1107"/>
      <c r="G52" s="1107"/>
      <c r="H52" s="461">
        <f>D69+D70+D71+D72+D73+D74+D75</f>
        <v>18</v>
      </c>
      <c r="I52" s="1108">
        <f>N45+R45+V111</f>
        <v>150.30000000000001</v>
      </c>
      <c r="J52" s="1109"/>
      <c r="K52" s="1110"/>
      <c r="L52" s="375"/>
      <c r="M52" s="1161" t="s">
        <v>290</v>
      </c>
      <c r="N52" s="1162"/>
      <c r="O52" s="1162"/>
      <c r="P52" s="1162"/>
      <c r="Q52" s="1162"/>
      <c r="R52" s="1162"/>
      <c r="S52" s="1162"/>
      <c r="T52" s="1162"/>
      <c r="U52" s="1162"/>
      <c r="V52" s="1162"/>
      <c r="W52" s="1162"/>
      <c r="X52" s="1289"/>
      <c r="Y52" s="233"/>
      <c r="Z52" s="233"/>
      <c r="AD52" s="87"/>
      <c r="AE52" s="87"/>
      <c r="BM52" s="1"/>
      <c r="CJ52" s="1"/>
      <c r="CU52" s="242"/>
      <c r="CV52" s="242"/>
      <c r="CY52"/>
      <c r="CZ52"/>
    </row>
    <row r="53" spans="1:110">
      <c r="A53" s="1114" t="s">
        <v>671</v>
      </c>
      <c r="B53" s="1115"/>
      <c r="C53" s="1115"/>
      <c r="D53" s="1115"/>
      <c r="E53" s="1115"/>
      <c r="F53" s="1115"/>
      <c r="G53" s="1115"/>
      <c r="H53" s="1116"/>
      <c r="I53" s="1111">
        <f>(FK45+FO45+FS45+FU45+GB45+GD45+GF45+GH45)*-1+FM45+FT45+FW45+GC45+GE45+GG45+GI45+GA45</f>
        <v>-5</v>
      </c>
      <c r="J53" s="1112"/>
      <c r="K53" s="1113"/>
      <c r="L53" s="376"/>
      <c r="M53" s="1164" t="s">
        <v>450</v>
      </c>
      <c r="N53" s="1165"/>
      <c r="O53" s="1165"/>
      <c r="P53" s="1165"/>
      <c r="Q53" s="1165"/>
      <c r="R53" s="1165"/>
      <c r="S53" s="1165"/>
      <c r="T53" s="1165"/>
      <c r="U53" s="1166"/>
      <c r="V53" s="1167" t="s">
        <v>218</v>
      </c>
      <c r="W53" s="1168"/>
      <c r="X53" s="1290"/>
      <c r="Y53" s="233"/>
      <c r="Z53" s="233"/>
      <c r="AD53" s="87"/>
      <c r="AE53" s="87"/>
      <c r="BM53" s="1"/>
      <c r="CJ53" s="1"/>
      <c r="CU53" s="242"/>
      <c r="CV53" s="242"/>
      <c r="CY53"/>
      <c r="CZ53"/>
    </row>
    <row r="54" spans="1:110">
      <c r="A54" s="1128" t="str">
        <f>"Arbejde særligt planlagt for "&amp;A12&amp;" måned efter fanen skemaoplysninger"</f>
        <v>Arbejde særligt planlagt for Marts måned efter fanen skemaoplysninger</v>
      </c>
      <c r="B54" s="1129"/>
      <c r="C54" s="1129"/>
      <c r="D54" s="1129"/>
      <c r="E54" s="1129"/>
      <c r="F54" s="1129"/>
      <c r="G54" s="1129"/>
      <c r="H54" s="1130"/>
      <c r="I54" s="1109">
        <f>IF(I52&gt;0,Skemaoplysninger!R107,0)</f>
        <v>0</v>
      </c>
      <c r="J54" s="1126"/>
      <c r="K54" s="1127"/>
      <c r="L54" s="235"/>
      <c r="M54" s="1036"/>
      <c r="N54" s="1037"/>
      <c r="O54" s="1037"/>
      <c r="P54" s="1037"/>
      <c r="Q54" s="1037"/>
      <c r="R54" s="1037"/>
      <c r="S54" s="1037"/>
      <c r="T54" s="1037"/>
      <c r="U54" s="1038"/>
      <c r="V54" s="1170"/>
      <c r="W54" s="1170"/>
      <c r="X54" s="1171"/>
      <c r="Y54"/>
      <c r="Z54" s="233"/>
      <c r="AA54" s="233"/>
      <c r="AG54" s="87"/>
      <c r="AH54" s="87"/>
      <c r="BA54" s="233"/>
      <c r="BO54" s="1"/>
      <c r="CL54" s="1"/>
      <c r="CV54" s="242"/>
      <c r="CW54" s="242"/>
      <c r="CY54"/>
      <c r="CZ54"/>
    </row>
    <row r="55" spans="1:110">
      <c r="A55" s="1095" t="s">
        <v>439</v>
      </c>
      <c r="B55" s="1096"/>
      <c r="C55" s="1096"/>
      <c r="D55" s="1096"/>
      <c r="E55" s="1096"/>
      <c r="F55" s="1096"/>
      <c r="G55" s="1096"/>
      <c r="H55" s="1096"/>
      <c r="I55" s="1097">
        <f>V45+X45+R111-GP45+T111</f>
        <v>0</v>
      </c>
      <c r="J55" s="1098"/>
      <c r="K55" s="1099"/>
      <c r="L55" s="235"/>
      <c r="M55" s="1036"/>
      <c r="N55" s="1037"/>
      <c r="O55" s="1037"/>
      <c r="P55" s="1037"/>
      <c r="Q55" s="1037"/>
      <c r="R55" s="1037"/>
      <c r="S55" s="1037"/>
      <c r="T55" s="1037"/>
      <c r="U55" s="1038"/>
      <c r="V55" s="1039"/>
      <c r="W55" s="1040"/>
      <c r="X55" s="1041"/>
      <c r="Y55"/>
      <c r="Z55" s="233"/>
      <c r="AA55" s="233"/>
      <c r="AE55" s="87"/>
      <c r="AF55" s="241"/>
      <c r="AG55" s="87"/>
      <c r="BN55" s="1"/>
      <c r="CK55" s="1"/>
      <c r="CV55" s="242"/>
      <c r="CW55" s="242"/>
      <c r="CY55"/>
      <c r="CZ55"/>
    </row>
    <row r="56" spans="1:110" ht="17" thickBot="1">
      <c r="A56" s="255" t="str">
        <f>"Faktisk arbejdstid ialt i "&amp;A12&amp;" måned"</f>
        <v>Faktisk arbejdstid ialt i Marts måned</v>
      </c>
      <c r="B56" s="307"/>
      <c r="C56" s="308"/>
      <c r="D56" s="308"/>
      <c r="E56" s="308"/>
      <c r="F56" s="308"/>
      <c r="G56" s="308"/>
      <c r="H56" s="309"/>
      <c r="I56" s="1131">
        <f>I52+I55+I54+I53</f>
        <v>145.30000000000001</v>
      </c>
      <c r="J56" s="1132"/>
      <c r="K56" s="1133"/>
      <c r="L56" s="235"/>
      <c r="M56" s="1036"/>
      <c r="N56" s="1037"/>
      <c r="O56" s="1037"/>
      <c r="P56" s="1037"/>
      <c r="Q56" s="1037"/>
      <c r="R56" s="1037"/>
      <c r="S56" s="1037"/>
      <c r="T56" s="1037"/>
      <c r="U56" s="1038"/>
      <c r="V56" s="1039"/>
      <c r="W56" s="1040"/>
      <c r="X56" s="1041"/>
      <c r="Y56" s="233"/>
      <c r="Z56" s="233"/>
      <c r="AA56" s="211"/>
      <c r="AB56" s="241"/>
      <c r="AC56" s="241"/>
      <c r="AD56" s="241"/>
      <c r="AE56" s="233"/>
      <c r="AF56" s="241"/>
      <c r="AH56" s="233"/>
      <c r="AI56" s="233"/>
      <c r="AM56" s="87"/>
      <c r="AN56" s="87"/>
      <c r="BU56" s="1"/>
      <c r="CR56" s="1"/>
      <c r="CY56"/>
      <c r="CZ56"/>
      <c r="DC56" s="242"/>
      <c r="DD56" s="242"/>
    </row>
    <row r="57" spans="1:110" ht="17" thickBot="1">
      <c r="A57" s="249"/>
      <c r="B57" s="249"/>
      <c r="C57" s="249"/>
      <c r="D57" s="249"/>
      <c r="E57" s="249"/>
      <c r="F57" s="249"/>
      <c r="G57" s="249"/>
      <c r="H57" s="249"/>
      <c r="I57" s="507"/>
      <c r="J57" s="507"/>
      <c r="K57" s="507"/>
      <c r="L57" s="485"/>
      <c r="M57" s="1036"/>
      <c r="N57" s="1037"/>
      <c r="O57" s="1037"/>
      <c r="P57" s="1037"/>
      <c r="Q57" s="1037"/>
      <c r="R57" s="1037"/>
      <c r="S57" s="1037"/>
      <c r="T57" s="1037"/>
      <c r="U57" s="1038"/>
      <c r="V57" s="1039"/>
      <c r="W57" s="1040"/>
      <c r="X57" s="1041"/>
      <c r="Y57" s="233"/>
      <c r="Z57" s="233"/>
      <c r="AA57" s="233"/>
      <c r="AB57" s="233"/>
      <c r="AC57" s="211"/>
      <c r="AD57" s="241"/>
      <c r="AE57" s="241"/>
      <c r="AF57" s="241"/>
      <c r="AG57" s="241"/>
      <c r="AH57" s="233"/>
      <c r="AJ57" s="233"/>
      <c r="AK57" s="233"/>
      <c r="AO57" s="87"/>
      <c r="AP57" s="87"/>
      <c r="BW57" s="1"/>
      <c r="CT57" s="1"/>
      <c r="CY57"/>
      <c r="CZ57"/>
      <c r="DE57" s="242"/>
      <c r="DF57" s="242"/>
    </row>
    <row r="58" spans="1:110" ht="25" thickBot="1">
      <c r="A58" s="1086" t="s">
        <v>463</v>
      </c>
      <c r="B58" s="1087"/>
      <c r="C58" s="1087"/>
      <c r="D58" s="1087"/>
      <c r="E58" s="1087"/>
      <c r="F58" s="1087"/>
      <c r="G58" s="1087"/>
      <c r="H58" s="681" t="s">
        <v>608</v>
      </c>
      <c r="I58" s="1276" t="s">
        <v>462</v>
      </c>
      <c r="J58" s="1276"/>
      <c r="K58" s="1277"/>
      <c r="L58" s="485"/>
      <c r="M58" s="1155" t="s">
        <v>291</v>
      </c>
      <c r="N58" s="1156"/>
      <c r="O58" s="1156"/>
      <c r="P58" s="1156"/>
      <c r="Q58" s="1156"/>
      <c r="R58" s="1156"/>
      <c r="S58" s="1156"/>
      <c r="T58" s="1156"/>
      <c r="U58" s="1157"/>
      <c r="V58" s="1247">
        <f>V51-SUM(V54:X57)</f>
        <v>7.5</v>
      </c>
      <c r="W58" s="1248"/>
      <c r="X58" s="1249"/>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121"/>
      <c r="B59" s="1122"/>
      <c r="C59" s="1122"/>
      <c r="D59" s="1122"/>
      <c r="E59" s="1122"/>
      <c r="F59" s="1122"/>
      <c r="G59" s="1122"/>
      <c r="H59" s="589">
        <f>Februar!H65</f>
        <v>0</v>
      </c>
      <c r="I59" s="1250">
        <f>Februar!I65</f>
        <v>0</v>
      </c>
      <c r="J59" s="1250"/>
      <c r="K59" s="1251"/>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16" customHeight="1">
      <c r="A60" s="1235" t="s">
        <v>466</v>
      </c>
      <c r="B60" s="1236"/>
      <c r="C60" s="1236"/>
      <c r="D60" s="1236"/>
      <c r="E60" s="1236"/>
      <c r="F60" s="1236"/>
      <c r="G60" s="1237"/>
      <c r="H60" s="587"/>
      <c r="I60" s="1238"/>
      <c r="J60" s="1239"/>
      <c r="K60" s="1240"/>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7" customHeight="1">
      <c r="A61" s="1033" t="s">
        <v>609</v>
      </c>
      <c r="B61" s="1034"/>
      <c r="C61" s="1034"/>
      <c r="D61" s="1034"/>
      <c r="E61" s="1034"/>
      <c r="F61" s="1034"/>
      <c r="G61" s="1034"/>
      <c r="H61" s="1034"/>
      <c r="I61" s="1034"/>
      <c r="J61" s="1034"/>
      <c r="K61" s="1035"/>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ht="35" customHeight="1">
      <c r="A62" s="1079" t="s">
        <v>610</v>
      </c>
      <c r="B62" s="1080"/>
      <c r="C62" s="1052" t="s">
        <v>492</v>
      </c>
      <c r="D62" s="1053"/>
      <c r="E62" s="1081" t="s">
        <v>493</v>
      </c>
      <c r="F62" s="1034"/>
      <c r="G62" s="1082"/>
      <c r="H62" s="1083" t="s">
        <v>464</v>
      </c>
      <c r="I62" s="1083"/>
      <c r="J62" s="1083"/>
      <c r="K62" s="1084"/>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050"/>
      <c r="B63" s="1051"/>
      <c r="C63" s="1026"/>
      <c r="D63" s="1025"/>
      <c r="E63" s="1021"/>
      <c r="F63" s="1022"/>
      <c r="G63" s="1023"/>
      <c r="H63" s="588"/>
      <c r="I63" s="1019"/>
      <c r="J63" s="1019"/>
      <c r="K63" s="1020"/>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1024"/>
      <c r="B64" s="1025"/>
      <c r="C64" s="1026"/>
      <c r="D64" s="1025"/>
      <c r="E64" s="1021"/>
      <c r="F64" s="1022"/>
      <c r="G64" s="1023"/>
      <c r="H64" s="588"/>
      <c r="I64" s="1019"/>
      <c r="J64" s="1019"/>
      <c r="K64" s="1020"/>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c r="A65" s="1024"/>
      <c r="B65" s="1025"/>
      <c r="C65" s="1026"/>
      <c r="D65" s="1025"/>
      <c r="E65" s="1021"/>
      <c r="F65" s="1022"/>
      <c r="G65" s="1023"/>
      <c r="H65" s="588"/>
      <c r="I65" s="1019"/>
      <c r="J65" s="1019"/>
      <c r="K65" s="1020"/>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c r="A66" s="1024"/>
      <c r="B66" s="1025"/>
      <c r="C66" s="1026"/>
      <c r="D66" s="1025"/>
      <c r="E66" s="1021"/>
      <c r="F66" s="1022"/>
      <c r="G66" s="1023"/>
      <c r="H66" s="588"/>
      <c r="I66" s="1019"/>
      <c r="J66" s="1019"/>
      <c r="K66" s="1020"/>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0" ht="17" thickBot="1">
      <c r="A67" s="1054" t="s">
        <v>465</v>
      </c>
      <c r="B67" s="1055"/>
      <c r="C67" s="1056"/>
      <c r="D67" s="1056"/>
      <c r="E67" s="1056"/>
      <c r="F67" s="1056"/>
      <c r="G67" s="1056"/>
      <c r="H67" s="590">
        <f>H60+H59-SUM(H63:H66)</f>
        <v>0</v>
      </c>
      <c r="I67" s="1063">
        <f>I59+I60-SUM(I63:K66)</f>
        <v>0</v>
      </c>
      <c r="J67" s="1064"/>
      <c r="K67" s="1065"/>
      <c r="L67" s="485"/>
      <c r="M67" s="508"/>
      <c r="N67" s="508"/>
      <c r="O67" s="508"/>
      <c r="P67" s="508"/>
      <c r="Q67" s="509"/>
      <c r="R67" s="510"/>
      <c r="S67" s="510"/>
      <c r="T67" s="510"/>
      <c r="U67" s="510"/>
      <c r="V67" s="508"/>
      <c r="W67" s="511"/>
      <c r="X67" s="508"/>
      <c r="Y67" s="233"/>
      <c r="Z67" s="233"/>
      <c r="AA67" s="233"/>
      <c r="AB67" s="233"/>
      <c r="AC67" s="211"/>
      <c r="AD67" s="241"/>
      <c r="AE67" s="241"/>
      <c r="AF67" s="241"/>
      <c r="AG67" s="241"/>
      <c r="AH67" s="233"/>
      <c r="AJ67" s="233"/>
      <c r="AK67" s="233"/>
      <c r="AO67" s="87"/>
      <c r="AP67" s="87"/>
      <c r="BW67" s="1"/>
      <c r="CT67" s="1"/>
      <c r="CY67"/>
      <c r="CZ67"/>
      <c r="DE67" s="242"/>
      <c r="DF67" s="242"/>
    </row>
    <row r="68" spans="1:110" hidden="1">
      <c r="A68" s="249"/>
      <c r="B68" s="249"/>
      <c r="C68" s="249"/>
      <c r="D68" s="249"/>
      <c r="E68" s="249"/>
      <c r="F68" s="249"/>
      <c r="G68" s="249"/>
      <c r="H68" s="437"/>
      <c r="I68" s="491"/>
      <c r="J68" s="491"/>
      <c r="K68" s="481"/>
      <c r="L68" s="635"/>
      <c r="M68" s="635"/>
      <c r="N68" s="635"/>
      <c r="O68" s="635"/>
      <c r="P68" s="635"/>
      <c r="Q68" s="509"/>
      <c r="R68" s="510"/>
      <c r="S68" s="510"/>
      <c r="T68" s="510"/>
      <c r="U68" s="510"/>
      <c r="V68" s="508" t="s">
        <v>538</v>
      </c>
      <c r="W68" s="511"/>
      <c r="X68" s="508"/>
      <c r="Y68"/>
      <c r="Z68"/>
      <c r="AA68" s="87"/>
      <c r="AB68" s="87"/>
      <c r="BI68" s="1"/>
      <c r="CF68" s="1"/>
      <c r="CQ68" s="242"/>
      <c r="CR68" s="242"/>
      <c r="CY68"/>
      <c r="CZ68"/>
    </row>
    <row r="69" spans="1:110" hidden="1">
      <c r="A69" s="120" t="s">
        <v>203</v>
      </c>
      <c r="B69" s="120"/>
      <c r="C69" s="120"/>
      <c r="D69" s="120">
        <f>COUNTIF([0]!Marts,"Skema 1")</f>
        <v>15</v>
      </c>
      <c r="E69" s="383"/>
      <c r="F69" s="120" t="s">
        <v>183</v>
      </c>
      <c r="G69" s="120">
        <f>COUNTIFS($B$14:$B$44,"ma",[0]!Marts,"Skema 1")</f>
        <v>3</v>
      </c>
      <c r="H69" s="120"/>
      <c r="I69" s="496"/>
      <c r="J69" s="635"/>
      <c r="K69" s="635"/>
      <c r="L69" s="496"/>
      <c r="M69" s="636"/>
      <c r="N69" s="635"/>
      <c r="O69" s="636"/>
      <c r="P69" s="654" t="s">
        <v>551</v>
      </c>
      <c r="Q69" s="656" t="s">
        <v>562</v>
      </c>
      <c r="R69" s="225"/>
      <c r="S69" s="225"/>
      <c r="T69" s="225"/>
      <c r="U69" s="225"/>
      <c r="V69" s="225"/>
      <c r="W69" s="115"/>
      <c r="X69" s="115"/>
      <c r="Y69"/>
      <c r="Z69"/>
      <c r="AA69" s="87"/>
      <c r="AB69" s="87"/>
      <c r="BI69" s="1"/>
      <c r="CF69" s="1"/>
      <c r="CQ69" s="242"/>
      <c r="CR69" s="242"/>
      <c r="CY69"/>
      <c r="CZ69"/>
    </row>
    <row r="70" spans="1:110" hidden="1">
      <c r="A70" s="1271" t="s">
        <v>204</v>
      </c>
      <c r="B70" s="1271"/>
      <c r="C70" s="1271"/>
      <c r="D70" s="483">
        <f>COUNTIF([0]!Marts,"Skema 2")</f>
        <v>0</v>
      </c>
      <c r="E70" s="484"/>
      <c r="F70" s="483" t="s">
        <v>184</v>
      </c>
      <c r="G70" s="483">
        <f>COUNTIFS($B$14:$B$44,"ti",[0]!Marts,"Skema 1")</f>
        <v>3</v>
      </c>
      <c r="H70" s="120"/>
      <c r="I70" s="496" t="s">
        <v>552</v>
      </c>
      <c r="J70" s="635"/>
      <c r="K70" s="496"/>
      <c r="L70" s="638"/>
      <c r="M70" s="636"/>
      <c r="N70" s="636"/>
      <c r="O70" s="639"/>
      <c r="P70" s="654">
        <f>IF(Stamoplysninger!$B$27="Ulempetillæg udbetales med 25% af nettotimelønnen.",SUM(DO45:DR45)-SUM(DS45:DV45),0)</f>
        <v>2.75</v>
      </c>
      <c r="Q70" s="656"/>
      <c r="R70" s="730"/>
      <c r="S70" s="225"/>
      <c r="T70" s="225"/>
      <c r="U70" s="225"/>
      <c r="V70" s="225"/>
      <c r="W70" s="115"/>
      <c r="X70" s="115"/>
      <c r="Y70"/>
      <c r="Z70"/>
      <c r="AA70" s="87"/>
      <c r="AB70" s="87"/>
      <c r="BI70" s="1"/>
      <c r="CF70" s="1"/>
      <c r="CQ70" s="242"/>
      <c r="CR70" s="242"/>
      <c r="CY70"/>
      <c r="CZ70"/>
    </row>
    <row r="71" spans="1:110" hidden="1">
      <c r="A71" s="1271" t="s">
        <v>205</v>
      </c>
      <c r="B71" s="1271"/>
      <c r="C71" s="1271"/>
      <c r="D71" s="483">
        <f>COUNTIF([0]!Marts,"Skema 3")</f>
        <v>0</v>
      </c>
      <c r="E71" s="484"/>
      <c r="F71" s="483" t="s">
        <v>185</v>
      </c>
      <c r="G71" s="483">
        <f>COUNTIFS($B$14:$B$44,"on",[0]!Marts,"Skema 1")</f>
        <v>4</v>
      </c>
      <c r="H71" s="483"/>
      <c r="I71" s="653" t="s">
        <v>553</v>
      </c>
      <c r="J71" s="635"/>
      <c r="K71" s="496"/>
      <c r="L71" s="638"/>
      <c r="M71" s="636"/>
      <c r="N71" s="636"/>
      <c r="O71" s="636"/>
      <c r="P71" s="654"/>
      <c r="Q71" s="656">
        <f>IF(Stamoplysninger!$B$27="Ulempetillæg afspadseres med 25%(Kræver en aftale imellem ledelsen og den ansatte)",DW45+DX45+DY45+DZ45-EA45-EB45-EC45-ED45,0)</f>
        <v>0</v>
      </c>
      <c r="R71" s="731"/>
      <c r="S71" s="225"/>
      <c r="T71" s="225"/>
      <c r="U71" s="225"/>
      <c r="V71" s="225"/>
      <c r="W71" s="115"/>
      <c r="X71" s="115"/>
      <c r="Y71"/>
      <c r="Z71"/>
      <c r="AA71" s="87"/>
      <c r="AB71" s="87"/>
      <c r="BI71" s="1"/>
      <c r="CF71" s="1"/>
      <c r="CQ71" s="242"/>
      <c r="CR71" s="242"/>
      <c r="CY71"/>
      <c r="CZ71"/>
    </row>
    <row r="72" spans="1:110" hidden="1">
      <c r="A72" s="1271" t="s">
        <v>206</v>
      </c>
      <c r="B72" s="1271"/>
      <c r="C72" s="1271"/>
      <c r="D72" s="483">
        <f>COUNTIF([0]!Marts,"Skema 4")</f>
        <v>0</v>
      </c>
      <c r="E72" s="484"/>
      <c r="F72" s="483" t="s">
        <v>187</v>
      </c>
      <c r="G72" s="483">
        <f>COUNTIFS($B$14:$B$44,"to",[0]!Marts,"Skema 1")</f>
        <v>3</v>
      </c>
      <c r="H72" s="483"/>
      <c r="I72" s="653" t="s">
        <v>554</v>
      </c>
      <c r="J72" s="635"/>
      <c r="K72" s="496"/>
      <c r="L72" s="638"/>
      <c r="M72" s="641"/>
      <c r="N72" s="641"/>
      <c r="O72" s="4"/>
      <c r="P72" s="654"/>
      <c r="Q72" s="656"/>
      <c r="R72" s="225"/>
      <c r="S72" s="225"/>
      <c r="T72" s="225"/>
      <c r="U72" s="225"/>
      <c r="V72" s="225"/>
      <c r="W72" s="115"/>
      <c r="X72" s="115"/>
      <c r="Y72" s="233"/>
      <c r="Z72" s="233"/>
      <c r="AA72" s="233"/>
      <c r="AB72" s="211"/>
      <c r="AC72" s="241"/>
      <c r="AD72" s="241"/>
      <c r="AE72" s="241"/>
      <c r="AF72" s="211"/>
      <c r="AG72" s="233"/>
      <c r="AI72" s="233"/>
      <c r="AJ72" s="233"/>
      <c r="AN72" s="87"/>
      <c r="AO72" s="87"/>
      <c r="BV72" s="1"/>
      <c r="CS72" s="1"/>
      <c r="CY72"/>
      <c r="CZ72"/>
      <c r="DD72" s="242"/>
      <c r="DE72" s="242"/>
    </row>
    <row r="73" spans="1:110" hidden="1">
      <c r="A73" s="483" t="s">
        <v>111</v>
      </c>
      <c r="B73" s="483"/>
      <c r="C73" s="483"/>
      <c r="D73" s="483">
        <f>COUNTIF([0]!Marts,"Fagdag")+COUNTIF([0]!Marts,"emnedag")</f>
        <v>1</v>
      </c>
      <c r="E73" s="484"/>
      <c r="F73" s="483" t="s">
        <v>186</v>
      </c>
      <c r="G73" s="483">
        <f>COUNTIFS($B$14:$B$44,"fr",[0]!Marts,"Skema 1")</f>
        <v>2</v>
      </c>
      <c r="H73" s="483"/>
      <c r="I73" s="638" t="s">
        <v>555</v>
      </c>
      <c r="J73" s="635"/>
      <c r="K73" s="496"/>
      <c r="L73" s="638"/>
      <c r="M73" s="641"/>
      <c r="N73" s="641"/>
      <c r="O73" s="4"/>
      <c r="P73" s="654"/>
      <c r="Q73" s="656">
        <f>IF(Stamoplysninger!$B$31="Weekendtimer og weekendtillæg afspadseres.",EE45+EF45-EG45-EH45+EI45+EJ45,0)</f>
        <v>7.5</v>
      </c>
      <c r="R73" s="733"/>
      <c r="S73" s="225"/>
      <c r="T73" s="225"/>
      <c r="U73" s="225"/>
      <c r="V73" s="225"/>
      <c r="W73" s="115"/>
      <c r="X73" s="115"/>
      <c r="Y73" s="233"/>
      <c r="Z73" s="233"/>
      <c r="AA73" s="233"/>
      <c r="AB73" s="211"/>
      <c r="AC73" s="241"/>
      <c r="AD73" s="241"/>
      <c r="AE73" s="241"/>
      <c r="AF73" s="211"/>
      <c r="AG73" s="233"/>
      <c r="AI73" s="233"/>
      <c r="AJ73" s="233"/>
      <c r="AN73" s="87"/>
      <c r="AO73" s="87"/>
      <c r="BV73" s="1"/>
      <c r="CS73" s="1"/>
      <c r="CY73"/>
      <c r="CZ73"/>
      <c r="DD73" s="242"/>
      <c r="DE73" s="242"/>
    </row>
    <row r="74" spans="1:110" hidden="1">
      <c r="A74" s="487" t="s">
        <v>110</v>
      </c>
      <c r="B74" s="483"/>
      <c r="C74" s="483"/>
      <c r="D74" s="483">
        <f>COUNTIF([0]!Marts,"Lejrskole")+COUNTIF([0]!Marts,"Ekskursion")</f>
        <v>0</v>
      </c>
      <c r="E74" s="484"/>
      <c r="F74" s="483"/>
      <c r="G74" s="483"/>
      <c r="H74" s="483"/>
      <c r="I74" s="638" t="s">
        <v>556</v>
      </c>
      <c r="J74" s="638"/>
      <c r="K74" s="638"/>
      <c r="L74" s="638"/>
      <c r="M74" s="642"/>
      <c r="N74" s="642"/>
      <c r="O74" s="4"/>
      <c r="P74" s="655">
        <f>IF(Stamoplysninger!$B$31="Weekendtimer og weekendtillæg udbetales.",EM45+EN45-EO45-EP45+EQ45+ER45,0)</f>
        <v>0</v>
      </c>
      <c r="Q74" s="656"/>
      <c r="R74" s="735"/>
      <c r="S74" s="225"/>
      <c r="T74" s="225"/>
      <c r="U74" s="225"/>
      <c r="V74" s="225"/>
      <c r="W74" s="115"/>
      <c r="X74" s="115"/>
      <c r="Y74" s="233"/>
      <c r="Z74" s="233"/>
      <c r="AA74" s="233"/>
      <c r="AB74" s="211"/>
      <c r="AC74" s="241"/>
      <c r="AD74" s="241"/>
      <c r="AE74" s="241"/>
      <c r="AF74" s="211"/>
      <c r="AG74" s="233"/>
      <c r="AI74" s="233"/>
      <c r="AJ74" s="233"/>
      <c r="AN74" s="87"/>
      <c r="AO74" s="87"/>
      <c r="BV74" s="1"/>
      <c r="CS74" s="1"/>
      <c r="CY74"/>
      <c r="CZ74"/>
      <c r="DD74" s="242"/>
      <c r="DE74" s="242"/>
    </row>
    <row r="75" spans="1:110" hidden="1">
      <c r="A75" s="483" t="s">
        <v>109</v>
      </c>
      <c r="B75" s="483"/>
      <c r="C75" s="483"/>
      <c r="D75" s="483">
        <f>COUNTIF([0]!Marts,"Pæd.dag")</f>
        <v>2</v>
      </c>
      <c r="E75" s="484"/>
      <c r="F75" s="483" t="s">
        <v>188</v>
      </c>
      <c r="G75" s="483">
        <f>COUNTIFS($B$14:$B$44,"ma",[0]!Marts,"Skema 2")</f>
        <v>0</v>
      </c>
      <c r="H75" s="483"/>
      <c r="I75" s="638" t="s">
        <v>557</v>
      </c>
      <c r="J75" s="638"/>
      <c r="K75" s="638"/>
      <c r="L75" s="638"/>
      <c r="M75" s="642"/>
      <c r="N75" s="642"/>
      <c r="O75" s="4"/>
      <c r="P75" s="654"/>
      <c r="Q75" s="656"/>
      <c r="R75" s="225"/>
      <c r="S75" s="225"/>
      <c r="T75" s="225"/>
      <c r="U75" s="225"/>
      <c r="V75" s="225"/>
      <c r="W75" s="115"/>
      <c r="X75" s="115"/>
      <c r="Y75" s="233"/>
      <c r="Z75" s="233"/>
      <c r="AA75" s="233"/>
      <c r="AB75" s="211"/>
      <c r="AC75" s="241"/>
      <c r="AD75" s="241"/>
      <c r="AE75" s="241"/>
      <c r="AG75" s="233"/>
      <c r="AI75" s="233"/>
      <c r="AJ75" s="233"/>
      <c r="AN75" s="87"/>
      <c r="AO75" s="87"/>
      <c r="BV75" s="1"/>
      <c r="CS75" s="1"/>
      <c r="CY75"/>
      <c r="CZ75"/>
      <c r="DD75" s="242"/>
      <c r="DE75" s="242"/>
    </row>
    <row r="76" spans="1:110" hidden="1">
      <c r="A76" s="483" t="s">
        <v>118</v>
      </c>
      <c r="B76" s="483"/>
      <c r="C76" s="483"/>
      <c r="D76" s="483">
        <f>COUNTIF([0]!Marts,"Weekend")</f>
        <v>7</v>
      </c>
      <c r="E76" s="484"/>
      <c r="F76" s="483" t="s">
        <v>189</v>
      </c>
      <c r="G76" s="483">
        <f>COUNTIFS($B$14:$B$44,"ti",[0]!Marts,"Skema 2")</f>
        <v>0</v>
      </c>
      <c r="H76" s="483"/>
      <c r="I76" s="638" t="s">
        <v>558</v>
      </c>
      <c r="J76" s="638"/>
      <c r="K76" s="638"/>
      <c r="L76" s="638"/>
      <c r="M76" s="643"/>
      <c r="N76" s="643"/>
      <c r="O76" s="4"/>
      <c r="P76" s="654"/>
      <c r="Q76" s="657">
        <f>IF(Stamoplysninger!$B$31="Der er indgået lokalaftale omkring weekendtimer.(Kræver aftale med TR/FSL) Weekendtillæg afspadseres.",EU45+EV45-EW45-EX45,0)</f>
        <v>0</v>
      </c>
      <c r="R76" s="737"/>
      <c r="S76" s="225"/>
      <c r="T76" s="225"/>
      <c r="U76" s="225"/>
      <c r="V76" s="225"/>
      <c r="W76" s="115"/>
      <c r="X76" s="115"/>
      <c r="Y76"/>
      <c r="Z76"/>
      <c r="AM76" s="1"/>
      <c r="BJ76" s="1"/>
      <c r="BU76" s="242"/>
      <c r="BV76" s="242"/>
      <c r="CY76"/>
      <c r="CZ76"/>
    </row>
    <row r="77" spans="1:110" hidden="1">
      <c r="A77" s="483" t="s">
        <v>125</v>
      </c>
      <c r="B77" s="483"/>
      <c r="C77" s="483"/>
      <c r="D77" s="483">
        <f>COUNTIF([0]!Marts,"SH-dag")</f>
        <v>3</v>
      </c>
      <c r="E77" s="484"/>
      <c r="F77" s="483" t="s">
        <v>190</v>
      </c>
      <c r="G77" s="483">
        <f>COUNTIFS($B$14:$B$44,"on",[0]!Marts,"Skema 2")</f>
        <v>0</v>
      </c>
      <c r="H77" s="483"/>
      <c r="I77" s="638" t="s">
        <v>559</v>
      </c>
      <c r="J77" s="638"/>
      <c r="K77" s="638"/>
      <c r="L77" s="638"/>
      <c r="M77" s="643"/>
      <c r="N77" s="643"/>
      <c r="O77" s="4"/>
      <c r="P77" s="654">
        <f>IF(Stamoplysninger!$B$31="Der er indgået lokalaftale omkring weekendtimer(Kræver aftale med TR/FSL). Weekendtillæg udbetales.",EY45+EZ45-FA45-FB45,0)</f>
        <v>0</v>
      </c>
      <c r="Q77" s="656"/>
      <c r="R77" s="739"/>
      <c r="S77" s="225"/>
      <c r="T77" s="225"/>
      <c r="U77" s="225"/>
      <c r="V77" s="225"/>
      <c r="W77" s="115"/>
      <c r="X77" s="115"/>
      <c r="Y77"/>
      <c r="Z77"/>
      <c r="AM77" s="1"/>
      <c r="BJ77" s="1"/>
      <c r="BU77" s="242"/>
      <c r="BV77" s="242"/>
      <c r="CY77"/>
      <c r="CZ77"/>
    </row>
    <row r="78" spans="1:110" hidden="1">
      <c r="A78" s="483" t="s">
        <v>108</v>
      </c>
      <c r="B78" s="483"/>
      <c r="C78" s="483"/>
      <c r="D78" s="483">
        <f>COUNTIF([0]!Marts,"Feriedag")</f>
        <v>0</v>
      </c>
      <c r="E78" s="484"/>
      <c r="F78" s="483" t="s">
        <v>191</v>
      </c>
      <c r="G78" s="483">
        <f>COUNTIFS($B$14:$B$44,"to",[0]!Marts,"Skema 2")</f>
        <v>0</v>
      </c>
      <c r="H78" s="483"/>
      <c r="I78" s="638" t="s">
        <v>560</v>
      </c>
      <c r="J78" s="638"/>
      <c r="K78" s="638"/>
      <c r="L78" s="638"/>
      <c r="M78" s="643"/>
      <c r="N78" s="643"/>
      <c r="O78" s="4"/>
      <c r="P78" s="654"/>
      <c r="Q78" s="610">
        <f>IF(Stamoplysninger!$B$31="Der er indgået lokalaftale omkring weekendtillæg(Kræver aftale med TR/FSL). Weekendtimerne afspadseres.",FC45+FD45-FE45-FF45,0)</f>
        <v>0</v>
      </c>
      <c r="R78" s="741"/>
      <c r="S78" s="38"/>
      <c r="T78" s="38"/>
      <c r="Y78"/>
      <c r="Z78"/>
      <c r="AM78" s="1"/>
      <c r="BJ78" s="1"/>
      <c r="BU78" s="242"/>
      <c r="BV78" s="242"/>
      <c r="CY78"/>
      <c r="CZ78"/>
    </row>
    <row r="79" spans="1:110" hidden="1">
      <c r="A79" s="483" t="s">
        <v>175</v>
      </c>
      <c r="B79" s="483"/>
      <c r="C79" s="483"/>
      <c r="D79" s="483">
        <f>COUNTIF([0]!Marts,"Nul-dag")</f>
        <v>3</v>
      </c>
      <c r="E79" s="484"/>
      <c r="F79" s="483" t="s">
        <v>192</v>
      </c>
      <c r="G79" s="483">
        <f>COUNTIFS($B$14:$B$44,"fr",[0]!Marts,"Skema 2")</f>
        <v>0</v>
      </c>
      <c r="H79" s="483"/>
      <c r="I79" s="638" t="s">
        <v>561</v>
      </c>
      <c r="J79" s="638"/>
      <c r="K79" s="638"/>
      <c r="L79" s="638"/>
      <c r="M79" s="643"/>
      <c r="N79" s="643"/>
      <c r="O79" s="4"/>
      <c r="P79" s="654">
        <f>IF(Stamoplysninger!$B$31="Der er indgået lokalaftale omkring weekendtillæg(Kræver aftale med TR/FSL). Weekendtimerne udbetales.",FG45+FH45-FI45-FJ45,0)</f>
        <v>0</v>
      </c>
      <c r="Q79" s="610"/>
      <c r="R79" s="742"/>
      <c r="V79" t="s">
        <v>612</v>
      </c>
      <c r="Y79"/>
      <c r="Z79"/>
      <c r="AM79" s="1"/>
      <c r="BJ79" s="1"/>
      <c r="BU79" s="242"/>
      <c r="BV79" s="242"/>
      <c r="CY79"/>
      <c r="CZ79"/>
    </row>
    <row r="80" spans="1:110" hidden="1">
      <c r="A80" s="483" t="s">
        <v>406</v>
      </c>
      <c r="B80" s="483"/>
      <c r="C80" s="483"/>
      <c r="D80" s="483">
        <f>COUNTIF([0]!Marts,"Orlov")</f>
        <v>0</v>
      </c>
      <c r="E80" s="484"/>
      <c r="F80" s="489"/>
      <c r="G80" s="489"/>
      <c r="H80" s="489"/>
      <c r="I80" s="638" t="s">
        <v>567</v>
      </c>
      <c r="J80" s="638"/>
      <c r="K80" s="638"/>
      <c r="L80" s="638"/>
      <c r="M80" s="644"/>
      <c r="N80" s="644"/>
      <c r="O80" s="4"/>
      <c r="P80" s="637"/>
      <c r="R80" s="727">
        <f>IF(AND(C14="ikke relevant",S14="X"),V14*-1,0)</f>
        <v>0</v>
      </c>
      <c r="T80" s="727">
        <f>IF(AND(C14="ikke relevant",U14="X"),X14*-1,0)</f>
        <v>0</v>
      </c>
      <c r="V80">
        <f>IF(AND(C14="ikke relevant",H14&gt;""),R14*-1,0)</f>
        <v>0</v>
      </c>
      <c r="Y80"/>
      <c r="Z80"/>
      <c r="AM80" s="1"/>
      <c r="BJ80" s="1"/>
      <c r="BU80" s="242"/>
      <c r="BV80" s="242"/>
      <c r="CY80"/>
      <c r="CZ80"/>
    </row>
    <row r="81" spans="1:104" hidden="1">
      <c r="A81" s="483" t="s">
        <v>158</v>
      </c>
      <c r="B81" s="483"/>
      <c r="C81" s="483"/>
      <c r="D81" s="483">
        <f>COUNTIF([0]!Marts,"Ikke relevant")</f>
        <v>0</v>
      </c>
      <c r="E81" s="484"/>
      <c r="F81" s="483" t="s">
        <v>193</v>
      </c>
      <c r="G81" s="483">
        <f>COUNTIFS($B$14:$B$44,"ma",[0]!Marts,"Skema 3")</f>
        <v>0</v>
      </c>
      <c r="H81" s="483"/>
      <c r="I81" s="638"/>
      <c r="J81" s="638"/>
      <c r="K81" s="638"/>
      <c r="L81" s="496"/>
      <c r="M81" s="644"/>
      <c r="N81" s="644"/>
      <c r="O81" s="4"/>
      <c r="P81" s="637"/>
      <c r="R81" s="727">
        <f t="shared" ref="R81:R109" si="42">IF(AND(C15="ikke relevant",S15="X"),V15*-1,0)</f>
        <v>0</v>
      </c>
      <c r="T81" s="727">
        <f t="shared" ref="T81:T110" si="43">IF(AND(C15="ikke relevant",U15="X"),X15*-1,0)</f>
        <v>0</v>
      </c>
      <c r="V81">
        <f t="shared" ref="V81:V110" si="44">IF(AND(C15="ikke relevant",H15&gt;""),R15*-1,0)</f>
        <v>0</v>
      </c>
      <c r="Y81"/>
      <c r="Z81"/>
      <c r="AM81" s="1"/>
      <c r="BJ81" s="1"/>
      <c r="BU81" s="242"/>
      <c r="BV81" s="242"/>
      <c r="CY81"/>
      <c r="CZ81"/>
    </row>
    <row r="82" spans="1:104" hidden="1">
      <c r="A82" s="483" t="s">
        <v>107</v>
      </c>
      <c r="B82" s="483"/>
      <c r="C82" s="483"/>
      <c r="D82" s="483">
        <f>SUM(D69:D81)</f>
        <v>31</v>
      </c>
      <c r="E82" s="483"/>
      <c r="F82" s="483" t="s">
        <v>194</v>
      </c>
      <c r="G82" s="483">
        <f>COUNTIFS($B$14:$B$44,"ti",[0]!Marts,"Skema 3")</f>
        <v>0</v>
      </c>
      <c r="H82" s="483"/>
      <c r="I82" s="638"/>
      <c r="J82" s="638"/>
      <c r="K82" s="638"/>
      <c r="L82" s="496"/>
      <c r="M82" s="644"/>
      <c r="N82" s="644"/>
      <c r="O82" s="4"/>
      <c r="P82" s="637"/>
      <c r="R82" s="727">
        <f t="shared" si="42"/>
        <v>0</v>
      </c>
      <c r="T82" s="727">
        <f t="shared" si="43"/>
        <v>0</v>
      </c>
      <c r="V82">
        <f t="shared" si="44"/>
        <v>0</v>
      </c>
      <c r="Y82"/>
      <c r="Z82" s="1"/>
      <c r="AX82" s="1"/>
      <c r="BI82" s="242"/>
      <c r="BJ82" s="242"/>
      <c r="CY82"/>
      <c r="CZ82"/>
    </row>
    <row r="83" spans="1:104" hidden="1">
      <c r="A83" s="483" t="s">
        <v>236</v>
      </c>
      <c r="B83" s="483"/>
      <c r="C83" s="483"/>
      <c r="D83" s="483">
        <f>D82-D76-A92-D81</f>
        <v>23</v>
      </c>
      <c r="E83" s="490"/>
      <c r="F83" s="483" t="s">
        <v>195</v>
      </c>
      <c r="G83" s="483">
        <f>COUNTIFS($B$14:$B$44,"on",[0]!Marts,"Skema 3")</f>
        <v>0</v>
      </c>
      <c r="H83" s="483"/>
      <c r="I83" s="638"/>
      <c r="J83" s="638"/>
      <c r="K83" s="638"/>
      <c r="L83" s="496"/>
      <c r="M83" s="644"/>
      <c r="N83" s="644"/>
      <c r="O83" s="4"/>
      <c r="P83" s="637"/>
      <c r="R83" s="727">
        <f t="shared" si="42"/>
        <v>0</v>
      </c>
      <c r="T83" s="727">
        <f t="shared" si="43"/>
        <v>0</v>
      </c>
      <c r="V83">
        <f t="shared" si="44"/>
        <v>0</v>
      </c>
      <c r="Y83"/>
      <c r="Z83" s="1"/>
      <c r="AX83" s="1"/>
      <c r="BI83" s="242"/>
      <c r="BJ83" s="242"/>
      <c r="CY83"/>
      <c r="CZ83"/>
    </row>
    <row r="84" spans="1:104" hidden="1">
      <c r="A84" s="483"/>
      <c r="B84" s="483"/>
      <c r="C84" s="483"/>
      <c r="D84" s="483"/>
      <c r="E84" s="483"/>
      <c r="F84" s="483" t="s">
        <v>196</v>
      </c>
      <c r="G84" s="483">
        <f>COUNTIFS($B$14:$B$44,"to",[0]!Marts,"Skema 3")</f>
        <v>0</v>
      </c>
      <c r="H84" s="483"/>
      <c r="I84" s="640"/>
      <c r="J84" s="638"/>
      <c r="K84" s="638"/>
      <c r="L84" s="496"/>
      <c r="M84" s="636"/>
      <c r="N84" s="636"/>
      <c r="O84" s="4"/>
      <c r="P84" s="637"/>
      <c r="R84" s="727">
        <f t="shared" si="42"/>
        <v>0</v>
      </c>
      <c r="T84" s="727">
        <f t="shared" si="43"/>
        <v>0</v>
      </c>
      <c r="V84">
        <f t="shared" si="44"/>
        <v>0</v>
      </c>
      <c r="Y84"/>
      <c r="Z84" s="1"/>
      <c r="AO84" s="1"/>
      <c r="BL84" s="1"/>
      <c r="BW84" s="242"/>
      <c r="BX84" s="242"/>
      <c r="CY84"/>
      <c r="CZ84"/>
    </row>
    <row r="85" spans="1:104" hidden="1">
      <c r="A85" s="483"/>
      <c r="B85" s="483"/>
      <c r="C85" s="483"/>
      <c r="D85" s="483"/>
      <c r="E85" s="483"/>
      <c r="F85" s="483" t="s">
        <v>197</v>
      </c>
      <c r="G85" s="483">
        <f>COUNTIFS($B$14:$B$44,"fr",[0]!Marts,"Skema 3")</f>
        <v>0</v>
      </c>
      <c r="H85" s="483"/>
      <c r="I85" s="491"/>
      <c r="J85" s="496"/>
      <c r="K85" s="496"/>
      <c r="L85" s="496"/>
      <c r="M85" s="4"/>
      <c r="N85" s="4"/>
      <c r="O85" s="4"/>
      <c r="P85" s="4"/>
      <c r="R85" s="727">
        <f t="shared" si="42"/>
        <v>0</v>
      </c>
      <c r="T85" s="727">
        <f t="shared" si="43"/>
        <v>0</v>
      </c>
      <c r="V85">
        <f t="shared" si="44"/>
        <v>0</v>
      </c>
      <c r="Y85"/>
      <c r="Z85" s="1"/>
      <c r="AO85" s="1"/>
      <c r="BL85" s="1"/>
      <c r="BW85" s="242"/>
      <c r="BX85" s="242"/>
      <c r="CY85"/>
      <c r="CZ85"/>
    </row>
    <row r="86" spans="1:104" hidden="1">
      <c r="A86" s="483" t="s">
        <v>289</v>
      </c>
      <c r="B86" s="483"/>
      <c r="C86" s="483"/>
      <c r="D86" s="483"/>
      <c r="E86" s="483"/>
      <c r="F86" s="483"/>
      <c r="G86" s="483"/>
      <c r="H86" s="483"/>
      <c r="I86" s="491"/>
      <c r="J86" s="496"/>
      <c r="K86" s="496"/>
      <c r="L86" s="496"/>
      <c r="M86" s="4"/>
      <c r="N86" s="4"/>
      <c r="O86" s="4"/>
      <c r="P86" s="4"/>
      <c r="R86" s="727">
        <f t="shared" si="42"/>
        <v>0</v>
      </c>
      <c r="T86" s="727">
        <f t="shared" si="43"/>
        <v>0</v>
      </c>
      <c r="V86">
        <f t="shared" si="44"/>
        <v>0</v>
      </c>
      <c r="Y86"/>
      <c r="Z86" s="1"/>
      <c r="AO86" s="1"/>
      <c r="BL86" s="1"/>
      <c r="BW86" s="242"/>
      <c r="BX86" s="242"/>
      <c r="CY86"/>
      <c r="CZ86"/>
    </row>
    <row r="87" spans="1:104" hidden="1">
      <c r="A87" s="483">
        <f>COUNTIF(C19:C20,"Skema 1")+COUNTIF(C19:C20,"Skema 2")+COUNTIF(C19:C20,"Skema 3")+COUNTIF(C19:C20,"Skema 4")+COUNTIF(C19:C20,"Fagdag")+COUNTIF(C19:C20,"Emnedag")+COUNTIF(C19:C20,"Lejrskole")+COUNTIF(C19:C20,"Ekskursion")+COUNTIF(C19:C20,"Pæd.dag")</f>
        <v>1</v>
      </c>
      <c r="B87" s="483"/>
      <c r="C87" s="483"/>
      <c r="D87" s="483"/>
      <c r="E87" s="483"/>
      <c r="F87" s="483" t="s">
        <v>198</v>
      </c>
      <c r="G87" s="483">
        <f>COUNTIFS($B$14:$B$44,"ma",[0]!Marts,"Skema 4")</f>
        <v>0</v>
      </c>
      <c r="H87" s="483"/>
      <c r="I87" s="491"/>
      <c r="J87" s="496"/>
      <c r="K87" s="496"/>
      <c r="L87" s="496"/>
      <c r="M87" s="4"/>
      <c r="N87" s="4"/>
      <c r="O87" s="4"/>
      <c r="P87" s="4"/>
      <c r="R87" s="727">
        <f t="shared" si="42"/>
        <v>0</v>
      </c>
      <c r="T87" s="727">
        <f t="shared" si="43"/>
        <v>0</v>
      </c>
      <c r="V87">
        <f t="shared" si="44"/>
        <v>0</v>
      </c>
      <c r="Y87"/>
      <c r="Z87" s="1"/>
      <c r="AO87" s="1"/>
      <c r="BL87" s="1"/>
      <c r="BW87" s="242"/>
      <c r="BX87" s="242"/>
      <c r="CY87"/>
      <c r="CZ87"/>
    </row>
    <row r="88" spans="1:104" hidden="1">
      <c r="A88" s="483">
        <f>COUNTIF(C26:C27,"Skema 1")+COUNTIF(C26:C27,"Skema 2")+COUNTIF(C26:C27,"Skema 3")+COUNTIF(C26:C27,"Skema 4")+COUNTIF(C26:C27,"Fagdag")+COUNTIF(C26:C27,"Emnedag")+COUNTIF(C26:C27,"Lejrskole")+COUNTIF(C26:C27,"Ekskursion")+COUNTIF(C26:C27,"Pæd.dag")</f>
        <v>0</v>
      </c>
      <c r="B88" s="483"/>
      <c r="C88" s="483"/>
      <c r="D88" s="483"/>
      <c r="E88" s="483"/>
      <c r="F88" s="483" t="s">
        <v>199</v>
      </c>
      <c r="G88" s="483">
        <f>COUNTIFS($B$14:$B$44,"ti",[0]!Marts,"Skema 4")</f>
        <v>0</v>
      </c>
      <c r="H88" s="483"/>
      <c r="I88" s="491"/>
      <c r="J88" s="496"/>
      <c r="K88" s="496"/>
      <c r="L88" s="496"/>
      <c r="M88" s="4"/>
      <c r="N88" s="4"/>
      <c r="O88" s="4"/>
      <c r="P88" s="4"/>
      <c r="R88" s="727">
        <f t="shared" si="42"/>
        <v>0</v>
      </c>
      <c r="T88" s="727">
        <f t="shared" si="43"/>
        <v>0</v>
      </c>
      <c r="V88">
        <f t="shared" si="44"/>
        <v>0</v>
      </c>
      <c r="Y88"/>
      <c r="Z88" s="1"/>
      <c r="AO88" s="1"/>
      <c r="BL88" s="1"/>
      <c r="BW88" s="242"/>
      <c r="BX88" s="242"/>
      <c r="CY88"/>
      <c r="CZ88"/>
    </row>
    <row r="89" spans="1:104" hidden="1">
      <c r="A89" s="483">
        <f>COUNTIF(C33:C34,"Skema 1")+COUNTIF(C33:C34,"Skema 2")+COUNTIF(C33:C34,"Skema 3")+COUNTIF(C33:C34,"Skema 4")+COUNTIF(C33:C34,"Fagdag")+COUNTIF(C33:C34,"Emnedag")+COUNTIF(C33:C34,"Lejrskole")+COUNTIF(C33:C34,"Ekskursion")+COUNTIF(C33:C34,"Pæd.dag")</f>
        <v>0</v>
      </c>
      <c r="B89" s="483"/>
      <c r="C89" s="483"/>
      <c r="D89" s="483"/>
      <c r="E89" s="483"/>
      <c r="F89" s="483" t="s">
        <v>200</v>
      </c>
      <c r="G89" s="483">
        <f>COUNTIFS($B$14:$B$44,"on",[0]!Marts,"Skema 4")</f>
        <v>0</v>
      </c>
      <c r="H89" s="483"/>
      <c r="I89" s="491"/>
      <c r="J89" s="496"/>
      <c r="K89" s="496"/>
      <c r="L89" s="496"/>
      <c r="M89" s="4"/>
      <c r="N89" s="4"/>
      <c r="O89" s="4"/>
      <c r="P89" s="4"/>
      <c r="R89" s="727">
        <f t="shared" si="42"/>
        <v>0</v>
      </c>
      <c r="T89" s="727">
        <f t="shared" si="43"/>
        <v>0</v>
      </c>
      <c r="V89">
        <f t="shared" si="44"/>
        <v>0</v>
      </c>
      <c r="Y89"/>
      <c r="Z89" s="1"/>
      <c r="AO89" s="1"/>
      <c r="BL89" s="1"/>
      <c r="BW89" s="242"/>
      <c r="BX89" s="242"/>
      <c r="CY89"/>
      <c r="CZ89"/>
    </row>
    <row r="90" spans="1:104" hidden="1">
      <c r="A90" s="483">
        <f>COUNTIF(C40:C41,"Skema 1")+COUNTIF(C40:C41,"Skema 2")+COUNTIF(C40:C41,"Skema 3")+COUNTIF(C40:C41,"Skema 4")+COUNTIF(C40:C41,"Fagdag")+COUNTIF(C40:C41,"Emnedag")+COUNTIF(C40:C41,"Lejrskole")+COUNTIF(C40:C41,"Ekskursion")+COUNTIF(C40:C41,"Pæd.dag")</f>
        <v>0</v>
      </c>
      <c r="B90" s="483"/>
      <c r="C90" s="483"/>
      <c r="D90" s="483"/>
      <c r="E90" s="483"/>
      <c r="F90" s="483" t="s">
        <v>201</v>
      </c>
      <c r="G90" s="483">
        <f>COUNTIFS($B$14:$B$44,"to",[0]!Marts,"Skema 4")</f>
        <v>0</v>
      </c>
      <c r="H90" s="483"/>
      <c r="I90" s="491"/>
      <c r="J90" s="496"/>
      <c r="K90" s="496"/>
      <c r="L90" s="496"/>
      <c r="M90" s="4"/>
      <c r="N90" s="4"/>
      <c r="O90" s="4"/>
      <c r="P90" s="4"/>
      <c r="R90" s="727">
        <f t="shared" si="42"/>
        <v>0</v>
      </c>
      <c r="T90" s="727">
        <f t="shared" si="43"/>
        <v>0</v>
      </c>
      <c r="V90">
        <f t="shared" si="44"/>
        <v>0</v>
      </c>
      <c r="Y90"/>
      <c r="Z90"/>
      <c r="AO90" s="1">
        <f>SUM(N90:AN90)</f>
        <v>0</v>
      </c>
      <c r="BL90" s="1">
        <f>SUM(AI90:BK90)</f>
        <v>0</v>
      </c>
      <c r="BW90" s="242"/>
      <c r="BX90" s="242"/>
      <c r="CY90"/>
      <c r="CZ90"/>
    </row>
    <row r="91" spans="1:104" hidden="1">
      <c r="A91" s="483"/>
      <c r="B91" s="483"/>
      <c r="C91" s="483"/>
      <c r="D91" s="483"/>
      <c r="E91" s="483"/>
      <c r="F91" s="483" t="s">
        <v>202</v>
      </c>
      <c r="G91" s="483">
        <f>COUNTIFS($B$14:$B$44,"fr",[0]!Marts,"Skema 4")</f>
        <v>0</v>
      </c>
      <c r="H91" s="483"/>
      <c r="I91" s="483"/>
      <c r="J91" s="486"/>
      <c r="K91" s="486"/>
      <c r="L91" s="38"/>
      <c r="R91" s="727">
        <f t="shared" si="42"/>
        <v>0</v>
      </c>
      <c r="T91" s="727">
        <f t="shared" si="43"/>
        <v>0</v>
      </c>
      <c r="V91">
        <f t="shared" si="44"/>
        <v>0</v>
      </c>
      <c r="Y91"/>
      <c r="Z91"/>
      <c r="AO91" s="1">
        <f>SUM(N91:AN91)</f>
        <v>0</v>
      </c>
      <c r="BL91" s="1">
        <f>SUM(AI91:BK91)</f>
        <v>0</v>
      </c>
      <c r="BW91" s="242"/>
      <c r="BX91" s="242"/>
      <c r="CY91"/>
      <c r="CZ91"/>
    </row>
    <row r="92" spans="1:104" hidden="1">
      <c r="A92" s="483">
        <f>SUM(A87:A91)</f>
        <v>1</v>
      </c>
      <c r="B92" s="483"/>
      <c r="C92" s="483"/>
      <c r="D92" s="483"/>
      <c r="E92" s="483"/>
      <c r="F92" s="483"/>
      <c r="G92" s="488">
        <f>SUM(G69:G91)</f>
        <v>15</v>
      </c>
      <c r="H92" s="486"/>
      <c r="I92" s="483"/>
      <c r="J92" s="486"/>
      <c r="K92" s="486"/>
      <c r="L92" s="38"/>
      <c r="R92" s="727">
        <f t="shared" si="42"/>
        <v>0</v>
      </c>
      <c r="T92" s="727">
        <f t="shared" si="43"/>
        <v>0</v>
      </c>
      <c r="V92">
        <f t="shared" si="44"/>
        <v>0</v>
      </c>
      <c r="Y92"/>
      <c r="Z92"/>
      <c r="AO92" s="1">
        <f>SUM(N92:AN92)</f>
        <v>0</v>
      </c>
      <c r="BL92" s="1">
        <f>SUM(AI92:BK92)</f>
        <v>0</v>
      </c>
      <c r="BW92" s="242"/>
      <c r="BX92" s="242"/>
      <c r="CY92"/>
      <c r="CZ92"/>
    </row>
    <row r="93" spans="1:104" hidden="1">
      <c r="A93" s="486"/>
      <c r="B93" s="486"/>
      <c r="C93" s="486"/>
      <c r="D93" s="486"/>
      <c r="E93" s="483"/>
      <c r="F93" s="483"/>
      <c r="G93" s="483"/>
      <c r="H93" s="38"/>
      <c r="I93" s="486"/>
      <c r="J93" s="486"/>
      <c r="K93" s="486"/>
      <c r="L93" s="38"/>
      <c r="R93" s="727">
        <f t="shared" si="42"/>
        <v>0</v>
      </c>
      <c r="T93" s="727">
        <f t="shared" si="43"/>
        <v>0</v>
      </c>
      <c r="V93">
        <f t="shared" si="44"/>
        <v>0</v>
      </c>
      <c r="Y93"/>
      <c r="Z93"/>
      <c r="AO93" s="1">
        <f>SUM(N93:AN93)</f>
        <v>0</v>
      </c>
      <c r="BL93" s="1">
        <f>SUM(AI93:BK93)</f>
        <v>0</v>
      </c>
      <c r="BW93" s="242"/>
      <c r="BX93" s="242"/>
      <c r="CY93"/>
      <c r="CZ93"/>
    </row>
    <row r="94" spans="1:104" hidden="1">
      <c r="A94" s="486"/>
      <c r="B94" s="486"/>
      <c r="C94" s="486"/>
      <c r="D94" s="486"/>
      <c r="E94" s="483"/>
      <c r="F94" s="483"/>
      <c r="G94" s="483"/>
      <c r="H94" s="38"/>
      <c r="I94" s="38"/>
      <c r="J94" s="486"/>
      <c r="K94" s="486"/>
      <c r="L94" s="38"/>
      <c r="R94" s="727">
        <f t="shared" si="42"/>
        <v>0</v>
      </c>
      <c r="T94" s="727">
        <f t="shared" si="43"/>
        <v>0</v>
      </c>
      <c r="V94">
        <f t="shared" si="44"/>
        <v>0</v>
      </c>
      <c r="Y94"/>
      <c r="Z94"/>
      <c r="BW94" s="242"/>
      <c r="BX94" s="242"/>
      <c r="CY94"/>
      <c r="CZ94"/>
    </row>
    <row r="95" spans="1:104" hidden="1">
      <c r="A95" s="486"/>
      <c r="B95" s="486"/>
      <c r="C95" s="486"/>
      <c r="D95" s="486"/>
      <c r="E95" s="483"/>
      <c r="F95" s="483"/>
      <c r="G95" s="483"/>
      <c r="H95" s="38"/>
      <c r="I95" s="38"/>
      <c r="J95" s="38"/>
      <c r="K95" s="38"/>
      <c r="L95" s="38"/>
      <c r="R95" s="727">
        <f t="shared" si="42"/>
        <v>0</v>
      </c>
      <c r="T95" s="727">
        <f t="shared" si="43"/>
        <v>0</v>
      </c>
      <c r="V95">
        <f t="shared" si="44"/>
        <v>0</v>
      </c>
      <c r="Y95"/>
      <c r="Z95"/>
      <c r="BW95" s="242"/>
      <c r="BX95" s="242"/>
      <c r="CY95"/>
      <c r="CZ95"/>
    </row>
    <row r="96" spans="1:104" hidden="1">
      <c r="A96" s="486"/>
      <c r="B96" s="486"/>
      <c r="C96" s="486"/>
      <c r="D96" s="486"/>
      <c r="E96" s="483"/>
      <c r="F96" s="483"/>
      <c r="G96" s="483"/>
      <c r="H96" s="38"/>
      <c r="I96" s="38"/>
      <c r="J96" s="38"/>
      <c r="K96" s="38"/>
      <c r="L96" s="38"/>
      <c r="R96" s="727">
        <f t="shared" si="42"/>
        <v>0</v>
      </c>
      <c r="T96" s="727">
        <f t="shared" si="43"/>
        <v>0</v>
      </c>
      <c r="V96">
        <f t="shared" si="44"/>
        <v>0</v>
      </c>
      <c r="Y96"/>
      <c r="Z96"/>
      <c r="BW96" s="242"/>
      <c r="BX96" s="242"/>
      <c r="CY96"/>
      <c r="CZ96"/>
    </row>
    <row r="97" spans="1:111" hidden="1">
      <c r="A97" s="486"/>
      <c r="B97" s="486"/>
      <c r="C97" s="486"/>
      <c r="D97" s="486"/>
      <c r="E97" s="483"/>
      <c r="F97" s="483"/>
      <c r="G97" s="483"/>
      <c r="I97" s="38"/>
      <c r="J97" s="38"/>
      <c r="K97" s="38"/>
      <c r="L97" s="38"/>
      <c r="R97" s="727">
        <f t="shared" si="42"/>
        <v>0</v>
      </c>
      <c r="T97" s="727">
        <f t="shared" si="43"/>
        <v>0</v>
      </c>
      <c r="V97">
        <f t="shared" si="44"/>
        <v>0</v>
      </c>
      <c r="Y97"/>
      <c r="Z97"/>
      <c r="BW97" s="242"/>
      <c r="BX97" s="242"/>
      <c r="CY97"/>
      <c r="CZ97"/>
    </row>
    <row r="98" spans="1:111" hidden="1">
      <c r="A98" s="486"/>
      <c r="B98" s="486"/>
      <c r="C98" s="486"/>
      <c r="D98" s="486"/>
      <c r="E98" s="483"/>
      <c r="F98" s="483"/>
      <c r="G98" s="483"/>
      <c r="I98" s="38"/>
      <c r="J98" s="38"/>
      <c r="K98" s="38"/>
      <c r="L98" s="38"/>
      <c r="R98" s="727">
        <f t="shared" si="42"/>
        <v>0</v>
      </c>
      <c r="T98" s="727">
        <f t="shared" si="43"/>
        <v>0</v>
      </c>
      <c r="V98">
        <f t="shared" si="44"/>
        <v>0</v>
      </c>
      <c r="Y98"/>
      <c r="Z98"/>
      <c r="AF98" s="226"/>
      <c r="BW98" s="242"/>
      <c r="BX98" s="242"/>
      <c r="CY98"/>
      <c r="CZ98"/>
    </row>
    <row r="99" spans="1:111" hidden="1">
      <c r="E99" s="87"/>
      <c r="F99" s="87"/>
      <c r="G99" s="87"/>
      <c r="I99" s="38"/>
      <c r="J99" s="38"/>
      <c r="K99" s="38"/>
      <c r="L99" s="38"/>
      <c r="R99" s="727">
        <f t="shared" si="42"/>
        <v>0</v>
      </c>
      <c r="T99" s="727">
        <f t="shared" si="43"/>
        <v>0</v>
      </c>
      <c r="V99">
        <f t="shared" si="44"/>
        <v>0</v>
      </c>
      <c r="Y99"/>
      <c r="Z99"/>
      <c r="AD99" s="4"/>
      <c r="AE99" s="226"/>
      <c r="AF99" s="226"/>
      <c r="AG99" s="226"/>
      <c r="AH99" s="226"/>
      <c r="CY99"/>
      <c r="CZ99"/>
      <c r="DF99" s="242"/>
      <c r="DG99" s="242"/>
    </row>
    <row r="100" spans="1:111" hidden="1">
      <c r="E100" s="87"/>
      <c r="F100" s="87"/>
      <c r="G100" s="87"/>
      <c r="I100" s="38"/>
      <c r="J100" s="38"/>
      <c r="K100" s="38"/>
      <c r="L100" s="38"/>
      <c r="R100" s="727">
        <f t="shared" si="42"/>
        <v>0</v>
      </c>
      <c r="T100" s="727">
        <f t="shared" si="43"/>
        <v>0</v>
      </c>
      <c r="V100">
        <f t="shared" si="44"/>
        <v>0</v>
      </c>
      <c r="Y100"/>
      <c r="Z100"/>
      <c r="AD100" s="4"/>
      <c r="AE100" s="226"/>
      <c r="AG100" s="226"/>
      <c r="AH100" s="226"/>
      <c r="CY100"/>
      <c r="CZ100"/>
      <c r="DF100" s="242"/>
      <c r="DG100" s="242"/>
    </row>
    <row r="101" spans="1:111" hidden="1">
      <c r="E101" s="87"/>
      <c r="F101" s="87"/>
      <c r="G101" s="87"/>
      <c r="I101" s="38"/>
      <c r="J101" s="38"/>
      <c r="K101" s="38"/>
      <c r="L101" s="38"/>
      <c r="R101" s="727">
        <f t="shared" si="42"/>
        <v>0</v>
      </c>
      <c r="T101" s="727">
        <f t="shared" si="43"/>
        <v>0</v>
      </c>
      <c r="V101">
        <f t="shared" si="44"/>
        <v>0</v>
      </c>
    </row>
    <row r="102" spans="1:111" hidden="1">
      <c r="E102" s="87"/>
      <c r="F102" s="87"/>
      <c r="G102" s="87"/>
      <c r="I102" s="38"/>
      <c r="J102" s="38"/>
      <c r="K102" s="38"/>
      <c r="L102" s="38"/>
      <c r="R102" s="727">
        <f t="shared" si="42"/>
        <v>0</v>
      </c>
      <c r="T102" s="727">
        <f t="shared" si="43"/>
        <v>0</v>
      </c>
      <c r="V102">
        <f t="shared" si="44"/>
        <v>0</v>
      </c>
    </row>
    <row r="103" spans="1:111" hidden="1">
      <c r="I103" s="38"/>
      <c r="J103" s="38"/>
      <c r="K103" s="38"/>
      <c r="L103" s="38"/>
      <c r="R103" s="727">
        <f t="shared" si="42"/>
        <v>0</v>
      </c>
      <c r="T103" s="727">
        <f t="shared" si="43"/>
        <v>0</v>
      </c>
      <c r="V103">
        <f t="shared" si="44"/>
        <v>0</v>
      </c>
    </row>
    <row r="104" spans="1:111" hidden="1">
      <c r="I104" s="38"/>
      <c r="J104" s="38"/>
      <c r="K104" s="38"/>
      <c r="L104" s="38"/>
      <c r="R104" s="727">
        <f t="shared" si="42"/>
        <v>0</v>
      </c>
      <c r="T104" s="727">
        <f t="shared" si="43"/>
        <v>0</v>
      </c>
      <c r="V104">
        <f t="shared" si="44"/>
        <v>0</v>
      </c>
    </row>
    <row r="105" spans="1:111" hidden="1">
      <c r="I105" s="38"/>
      <c r="J105" s="38"/>
      <c r="K105" s="38"/>
      <c r="L105" s="432"/>
      <c r="R105" s="727">
        <f t="shared" si="42"/>
        <v>0</v>
      </c>
      <c r="T105" s="727">
        <f t="shared" si="43"/>
        <v>0</v>
      </c>
      <c r="V105">
        <f t="shared" si="44"/>
        <v>0</v>
      </c>
    </row>
    <row r="106" spans="1:111" hidden="1">
      <c r="I106" s="38"/>
      <c r="J106" s="38"/>
      <c r="K106" s="38"/>
      <c r="L106" s="432"/>
      <c r="R106" s="727">
        <f t="shared" si="42"/>
        <v>0</v>
      </c>
      <c r="T106" s="727">
        <f t="shared" si="43"/>
        <v>0</v>
      </c>
      <c r="V106">
        <f t="shared" si="44"/>
        <v>0</v>
      </c>
    </row>
    <row r="107" spans="1:111" hidden="1">
      <c r="I107" s="38"/>
      <c r="J107" s="38"/>
      <c r="K107" s="38"/>
      <c r="L107" s="432"/>
      <c r="R107" s="727">
        <f t="shared" si="42"/>
        <v>0</v>
      </c>
      <c r="T107" s="727">
        <f t="shared" si="43"/>
        <v>0</v>
      </c>
      <c r="V107">
        <f t="shared" si="44"/>
        <v>0</v>
      </c>
    </row>
    <row r="108" spans="1:111" hidden="1">
      <c r="I108" s="432"/>
      <c r="J108" s="38"/>
      <c r="K108" s="38"/>
      <c r="L108" s="432"/>
      <c r="R108" s="727">
        <f t="shared" si="42"/>
        <v>0</v>
      </c>
      <c r="T108" s="727">
        <f t="shared" si="43"/>
        <v>0</v>
      </c>
      <c r="V108">
        <f t="shared" si="44"/>
        <v>0</v>
      </c>
    </row>
    <row r="109" spans="1:111" hidden="1">
      <c r="I109" s="432"/>
      <c r="J109" s="432"/>
      <c r="K109" s="432"/>
      <c r="L109" s="432"/>
      <c r="R109" s="727">
        <f t="shared" si="42"/>
        <v>0</v>
      </c>
      <c r="T109" s="727">
        <f t="shared" si="43"/>
        <v>0</v>
      </c>
      <c r="V109">
        <f t="shared" si="44"/>
        <v>0</v>
      </c>
    </row>
    <row r="110" spans="1:111" ht="17" hidden="1" thickBot="1">
      <c r="I110" s="432"/>
      <c r="J110" s="432"/>
      <c r="K110" s="432"/>
      <c r="L110" s="432"/>
      <c r="R110" s="727">
        <f>IF(AND(C44="ikke relevant",S44="X"),V44*-1,0)</f>
        <v>0</v>
      </c>
      <c r="T110" s="727">
        <f t="shared" si="43"/>
        <v>0</v>
      </c>
      <c r="V110">
        <f t="shared" si="44"/>
        <v>0</v>
      </c>
    </row>
    <row r="111" spans="1:111" ht="17" hidden="1" thickBot="1">
      <c r="I111" s="432"/>
      <c r="J111" s="432"/>
      <c r="K111" s="432"/>
      <c r="L111" s="432"/>
      <c r="P111" t="s">
        <v>664</v>
      </c>
      <c r="R111" s="669">
        <f>SUM(R80:R110)</f>
        <v>0</v>
      </c>
      <c r="S111" s="669">
        <f>SUM(S80:S110)</f>
        <v>0</v>
      </c>
      <c r="T111" s="669">
        <f>SUM(T80:T110)</f>
        <v>0</v>
      </c>
      <c r="V111">
        <f>SUM(V80:V110)</f>
        <v>0</v>
      </c>
    </row>
    <row r="112" spans="1:111" ht="16" hidden="1" customHeight="1">
      <c r="I112" s="432"/>
      <c r="J112" s="432"/>
      <c r="K112" s="432"/>
      <c r="L112" s="432"/>
      <c r="R112" s="1030" t="s">
        <v>666</v>
      </c>
      <c r="T112" s="1030" t="s">
        <v>667</v>
      </c>
    </row>
    <row r="113" spans="18:20" hidden="1">
      <c r="R113" s="884"/>
      <c r="T113" s="884"/>
    </row>
    <row r="114" spans="18:20" hidden="1">
      <c r="R114" s="884"/>
      <c r="T114" s="884"/>
    </row>
    <row r="115" spans="18:20" hidden="1">
      <c r="R115" s="884"/>
      <c r="T115" s="884"/>
    </row>
    <row r="116" spans="18:20" hidden="1"/>
    <row r="117" spans="18:20" hidden="1"/>
    <row r="118" spans="18:20" hidden="1"/>
    <row r="119" spans="18:20" hidden="1"/>
    <row r="120" spans="18:20" hidden="1"/>
    <row r="121" spans="18:20" hidden="1"/>
  </sheetData>
  <sheetProtection sheet="1" objects="1" scenarios="1"/>
  <mergeCells count="199">
    <mergeCell ref="FQ13:FR13"/>
    <mergeCell ref="DS13:DV13"/>
    <mergeCell ref="A3:H3"/>
    <mergeCell ref="A4:B4"/>
    <mergeCell ref="C4:D4"/>
    <mergeCell ref="E4:F4"/>
    <mergeCell ref="G4:H4"/>
    <mergeCell ref="I4:J4"/>
    <mergeCell ref="A5:B5"/>
    <mergeCell ref="C5:D5"/>
    <mergeCell ref="E5:F5"/>
    <mergeCell ref="G5:H5"/>
    <mergeCell ref="A6:B6"/>
    <mergeCell ref="C6:D6"/>
    <mergeCell ref="E6:F6"/>
    <mergeCell ref="G6:H6"/>
    <mergeCell ref="A7:B7"/>
    <mergeCell ref="C7:D7"/>
    <mergeCell ref="E7:F7"/>
    <mergeCell ref="G7:H7"/>
    <mergeCell ref="FI8:GC8"/>
    <mergeCell ref="FI9:FL9"/>
    <mergeCell ref="FO9:FR9"/>
    <mergeCell ref="DO11:DV11"/>
    <mergeCell ref="FO11:FR11"/>
    <mergeCell ref="FS11:FT11"/>
    <mergeCell ref="GB11:GC11"/>
    <mergeCell ref="FC10:FF10"/>
    <mergeCell ref="FG10:FJ10"/>
    <mergeCell ref="FK10:FX10"/>
    <mergeCell ref="A67:G67"/>
    <mergeCell ref="I67:K67"/>
    <mergeCell ref="A63:B63"/>
    <mergeCell ref="C63:D63"/>
    <mergeCell ref="E63:G63"/>
    <mergeCell ref="I63:K63"/>
    <mergeCell ref="A64:B64"/>
    <mergeCell ref="C64:D64"/>
    <mergeCell ref="E64:G64"/>
    <mergeCell ref="I64:K64"/>
    <mergeCell ref="A65:B65"/>
    <mergeCell ref="C65:D65"/>
    <mergeCell ref="E65:G65"/>
    <mergeCell ref="I65:K65"/>
    <mergeCell ref="M49:U49"/>
    <mergeCell ref="V49:X49"/>
    <mergeCell ref="E41:G41"/>
    <mergeCell ref="E42:G42"/>
    <mergeCell ref="A72:C72"/>
    <mergeCell ref="E37:G37"/>
    <mergeCell ref="A71:C71"/>
    <mergeCell ref="I56:K56"/>
    <mergeCell ref="M55:U55"/>
    <mergeCell ref="V55:X55"/>
    <mergeCell ref="M56:U56"/>
    <mergeCell ref="V56:X56"/>
    <mergeCell ref="A55:H55"/>
    <mergeCell ref="I55:K55"/>
    <mergeCell ref="A51:G51"/>
    <mergeCell ref="I51:K51"/>
    <mergeCell ref="A52:G52"/>
    <mergeCell ref="I52:K52"/>
    <mergeCell ref="M51:U51"/>
    <mergeCell ref="A53:H53"/>
    <mergeCell ref="A61:K61"/>
    <mergeCell ref="A62:B62"/>
    <mergeCell ref="C62:D62"/>
    <mergeCell ref="E62:G62"/>
    <mergeCell ref="H62:K62"/>
    <mergeCell ref="A66:B66"/>
    <mergeCell ref="C66:D66"/>
    <mergeCell ref="E66:G66"/>
    <mergeCell ref="A70:C70"/>
    <mergeCell ref="V51:X51"/>
    <mergeCell ref="M52:X52"/>
    <mergeCell ref="M53:U53"/>
    <mergeCell ref="V53:X53"/>
    <mergeCell ref="M54:U54"/>
    <mergeCell ref="V54:X54"/>
    <mergeCell ref="A49:G49"/>
    <mergeCell ref="I49:K49"/>
    <mergeCell ref="A50:G50"/>
    <mergeCell ref="I50:K50"/>
    <mergeCell ref="M50:U50"/>
    <mergeCell ref="V50:X50"/>
    <mergeCell ref="A54:H54"/>
    <mergeCell ref="I54:K54"/>
    <mergeCell ref="I53:K53"/>
    <mergeCell ref="M57:U57"/>
    <mergeCell ref="V57:X57"/>
    <mergeCell ref="A58:G59"/>
    <mergeCell ref="I58:K58"/>
    <mergeCell ref="M58:U58"/>
    <mergeCell ref="V58:X58"/>
    <mergeCell ref="I59:K59"/>
    <mergeCell ref="I66:K66"/>
    <mergeCell ref="E40:G40"/>
    <mergeCell ref="DA11:DE11"/>
    <mergeCell ref="A12:D13"/>
    <mergeCell ref="H12:H13"/>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AA11:AE11"/>
    <mergeCell ref="S10:X10"/>
    <mergeCell ref="A8:X8"/>
    <mergeCell ref="AG11:AK11"/>
    <mergeCell ref="E11:G13"/>
    <mergeCell ref="K11:L11"/>
    <mergeCell ref="N11:N12"/>
    <mergeCell ref="O11:O12"/>
    <mergeCell ref="E16:G16"/>
    <mergeCell ref="K13:R13"/>
    <mergeCell ref="S11:X11"/>
    <mergeCell ref="S13:U13"/>
    <mergeCell ref="V13:X13"/>
    <mergeCell ref="A48:G48"/>
    <mergeCell ref="I48:K48"/>
    <mergeCell ref="E34:G34"/>
    <mergeCell ref="E35:G35"/>
    <mergeCell ref="B2:E2"/>
    <mergeCell ref="E9:G9"/>
    <mergeCell ref="K9:L9"/>
    <mergeCell ref="A10:R10"/>
    <mergeCell ref="P11:P12"/>
    <mergeCell ref="Q11:Q12"/>
    <mergeCell ref="R11:R12"/>
    <mergeCell ref="A9:D9"/>
    <mergeCell ref="E17:G17"/>
    <mergeCell ref="I11:I13"/>
    <mergeCell ref="J11:J13"/>
    <mergeCell ref="M47:X47"/>
    <mergeCell ref="M48:U48"/>
    <mergeCell ref="V48:X48"/>
    <mergeCell ref="E43:G43"/>
    <mergeCell ref="E44:G44"/>
    <mergeCell ref="A45:I45"/>
    <mergeCell ref="E36:G36"/>
    <mergeCell ref="E38:G38"/>
    <mergeCell ref="E39:G39"/>
    <mergeCell ref="EU11:EX11"/>
    <mergeCell ref="EY11:FB11"/>
    <mergeCell ref="FC11:FF11"/>
    <mergeCell ref="FG11:FJ11"/>
    <mergeCell ref="A60:G60"/>
    <mergeCell ref="I60:K60"/>
    <mergeCell ref="E18:G18"/>
    <mergeCell ref="E19:G19"/>
    <mergeCell ref="E20:G20"/>
    <mergeCell ref="E21:G21"/>
    <mergeCell ref="E28:G28"/>
    <mergeCell ref="E29:G29"/>
    <mergeCell ref="E30:G30"/>
    <mergeCell ref="E31:G31"/>
    <mergeCell ref="E32:G32"/>
    <mergeCell ref="E22:G22"/>
    <mergeCell ref="E23:G23"/>
    <mergeCell ref="E24:G24"/>
    <mergeCell ref="E25:G25"/>
    <mergeCell ref="E26:G26"/>
    <mergeCell ref="E27:G27"/>
    <mergeCell ref="E33:G33"/>
    <mergeCell ref="A47:G47"/>
    <mergeCell ref="I47:K47"/>
    <mergeCell ref="R112:R115"/>
    <mergeCell ref="T112:T115"/>
    <mergeCell ref="FK11:FN11"/>
    <mergeCell ref="FU11:FX11"/>
    <mergeCell ref="FY11:FZ11"/>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DW11:ED11"/>
    <mergeCell ref="EE11:EH11"/>
    <mergeCell ref="EI11:EL11"/>
    <mergeCell ref="EM11:EP11"/>
    <mergeCell ref="EQ11:ET11"/>
  </mergeCells>
  <phoneticPr fontId="5" type="noConversion"/>
  <conditionalFormatting sqref="A14:H14 D15:H36 A15:C44 D37:E37 H37 D38:H44">
    <cfRule type="expression" dxfId="593" priority="122" stopIfTrue="1">
      <formula>OR($C14="Orlov")</formula>
    </cfRule>
    <cfRule type="expression" dxfId="592" priority="116">
      <formula>OR($C14="ekskursion")</formula>
    </cfRule>
    <cfRule type="expression" dxfId="591" priority="109">
      <formula>OR($C14="skema 2")</formula>
    </cfRule>
    <cfRule type="expression" dxfId="590" priority="110">
      <formula>OR($C14="Skema 3")</formula>
    </cfRule>
    <cfRule type="expression" dxfId="589" priority="111">
      <formula>OR($C14="Skema 4")</formula>
    </cfRule>
    <cfRule type="expression" dxfId="588" priority="112">
      <formula>OR($C14="Ikke relevant")</formula>
    </cfRule>
    <cfRule type="expression" dxfId="587" priority="113">
      <formula>OR($C14="pæd.dag")</formula>
    </cfRule>
    <cfRule type="expression" dxfId="586" priority="114">
      <formula>OR($C14="nul-dag")</formula>
    </cfRule>
    <cfRule type="expression" dxfId="585" priority="115">
      <formula>OR($C14="SH-dag")</formula>
    </cfRule>
    <cfRule type="expression" dxfId="584" priority="121">
      <formula>OR($C14="weekend")</formula>
    </cfRule>
    <cfRule type="expression" dxfId="583" priority="120">
      <formula>OR($C14="feriedag")</formula>
    </cfRule>
    <cfRule type="expression" dxfId="582" priority="119">
      <formula>OR($C14="fagdag")</formula>
    </cfRule>
    <cfRule type="expression" dxfId="581" priority="118">
      <formula>OR($C14="emnedag")</formula>
    </cfRule>
    <cfRule type="expression" dxfId="580" priority="108">
      <formula>OR($C14="Skema 1")</formula>
    </cfRule>
    <cfRule type="expression" dxfId="579" priority="117">
      <formula>OR($C14="lejrskole")</formula>
    </cfRule>
  </conditionalFormatting>
  <conditionalFormatting sqref="E25">
    <cfRule type="expression" dxfId="578" priority="129">
      <formula>OR($D24="fagdag")</formula>
    </cfRule>
    <cfRule type="expression" dxfId="577" priority="126">
      <formula>OR($D24="ekskursion")</formula>
    </cfRule>
    <cfRule type="expression" dxfId="576" priority="125">
      <formula>OR($D24="SH-dag")</formula>
    </cfRule>
    <cfRule type="expression" dxfId="575" priority="124">
      <formula>OR($D24="nul-dag")</formula>
    </cfRule>
    <cfRule type="expression" dxfId="574" priority="127">
      <formula>OR($D24="lejrskole")</formula>
    </cfRule>
    <cfRule type="expression" dxfId="573" priority="128">
      <formula>OR($D24="emnedag")</formula>
    </cfRule>
    <cfRule type="expression" dxfId="572" priority="130">
      <formula>OR($D24="feriedag")</formula>
    </cfRule>
    <cfRule type="expression" dxfId="571" priority="131">
      <formula>OR($D24="weekend")</formula>
    </cfRule>
    <cfRule type="expression" dxfId="570" priority="132" stopIfTrue="1">
      <formula>OR($D24="skoledag")</formula>
    </cfRule>
    <cfRule type="expression" dxfId="569" priority="133">
      <formula>OR($D24="Ikke relevant")</formula>
    </cfRule>
    <cfRule type="expression" dxfId="568" priority="123">
      <formula>OR($D24="pæd.dag")</formula>
    </cfRule>
  </conditionalFormatting>
  <conditionalFormatting sqref="H63:H66">
    <cfRule type="expression" dxfId="567" priority="61">
      <formula>OR($A63&gt;0,)</formula>
    </cfRule>
  </conditionalFormatting>
  <conditionalFormatting sqref="I63:I66">
    <cfRule type="expression" dxfId="566" priority="62">
      <formula>OR($C63&gt;0,)</formula>
    </cfRule>
  </conditionalFormatting>
  <conditionalFormatting sqref="K14:K44">
    <cfRule type="expression" dxfId="565" priority="105">
      <formula>OR($C14="Pæd.dag",)</formula>
    </cfRule>
  </conditionalFormatting>
  <conditionalFormatting sqref="K14:L44">
    <cfRule type="expression" dxfId="564" priority="107">
      <formula>OR($C14="Ekskursion",)</formula>
    </cfRule>
    <cfRule type="expression" dxfId="563" priority="106">
      <formula>OR($C14="Lejrskole",)</formula>
    </cfRule>
  </conditionalFormatting>
  <conditionalFormatting sqref="K14:M44">
    <cfRule type="expression" dxfId="562" priority="104">
      <formula>OR($C14="emnedag",)</formula>
    </cfRule>
    <cfRule type="expression" dxfId="561" priority="103">
      <formula>OR($C14="fagdag",)</formula>
    </cfRule>
  </conditionalFormatting>
  <conditionalFormatting sqref="R14:R44">
    <cfRule type="expression" dxfId="560" priority="134">
      <formula>OR($H14&gt;"0",)</formula>
    </cfRule>
  </conditionalFormatting>
  <conditionalFormatting sqref="V14:V44">
    <cfRule type="expression" dxfId="559" priority="70">
      <formula>OR($S14="X",)</formula>
    </cfRule>
  </conditionalFormatting>
  <conditionalFormatting sqref="V54:X57">
    <cfRule type="expression" dxfId="558" priority="63">
      <formula>OR($M54&gt;0,)</formula>
    </cfRule>
  </conditionalFormatting>
  <conditionalFormatting sqref="W14:W44">
    <cfRule type="expression" dxfId="557" priority="69">
      <formula>OR($T14="X",)</formula>
    </cfRule>
  </conditionalFormatting>
  <conditionalFormatting sqref="X14:X44">
    <cfRule type="expression" dxfId="556" priority="68">
      <formula>OR($U14="X",)</formula>
    </cfRule>
  </conditionalFormatting>
  <dataValidations count="1">
    <dataValidation type="list" allowBlank="1" showInputMessage="1" showErrorMessage="1" sqref="S14:T44 U14:U42 A63:D66" xr:uid="{F4D63E90-AEB6-994C-9941-9168DC196939}">
      <formula1>$W$1:$W$2</formula1>
    </dataValidation>
  </dataValidations>
  <hyperlinks>
    <hyperlink ref="E4:F4" location="Arbejdstidsoversigt!A19" display="Arbejdstids-oversigt" xr:uid="{DB647D89-D76D-A249-929A-C81EC2D530DD}"/>
    <hyperlink ref="G4:H4" location="Opgørelse!B12" display="Opgørelse" xr:uid="{26F464B9-F47D-104E-BDB3-9C163B537FC0}"/>
    <hyperlink ref="A5:B5" location="August!A12" display="August" xr:uid="{0F531D39-60E2-8740-8D6D-04D11781A8D1}"/>
    <hyperlink ref="C5:D5" location="September!A8" display="September" xr:uid="{4DD6BB27-3CFA-7147-B952-62775CF0427E}"/>
    <hyperlink ref="E5:F5" location="Oktober!A8" display="Oktober" xr:uid="{2EA29D2B-1022-4741-81DE-C85F26787624}"/>
    <hyperlink ref="G5:H5" location="November!A8" display="November" xr:uid="{4727288F-D85F-F54D-86CD-7FE05AF61F01}"/>
    <hyperlink ref="A6:B6" location="December!A8" display="December" xr:uid="{577FFFF7-88D6-7B47-8E63-371E38F15F4C}"/>
    <hyperlink ref="C6:D6" location="Januar!A8" display="Januar" xr:uid="{9675FDD3-6DBD-4E45-839E-2ABF08BD2FF4}"/>
    <hyperlink ref="E6:F6" location="Februar!A8" display="Februar" xr:uid="{E5C1A5D0-ADDF-3B4C-B454-AEBAF273D4A1}"/>
    <hyperlink ref="A7:B7" location="April!A8" display="April" xr:uid="{538DA7CD-65C6-1C48-B3E4-B74A1BA89F4C}"/>
    <hyperlink ref="C7:D7" location="Maj!A8" display="Maj" xr:uid="{E8EB29C9-3AC6-C44C-A517-ACA6D80BDB5D}"/>
    <hyperlink ref="E7:F7" location="Juni!A8" display="Juni" xr:uid="{83F89FF4-E8B7-CD4A-9E15-927EB2A78618}"/>
    <hyperlink ref="G7:H7" location="Juli!A8" display="Juli" xr:uid="{06953398-91C3-F74E-80C0-38DBF1564AE6}"/>
    <hyperlink ref="G6:H6" location="Marts!A8" display="Marts" xr:uid="{2C2C6ED3-A458-B646-8FBD-5205CAEC9511}"/>
    <hyperlink ref="I4:J4" location="Stamoplysninger!E18" display="Stamoplysninger" xr:uid="{D4884AFC-F8D7-FF4A-80E2-F2277BF3BD5E}"/>
    <hyperlink ref="C4:D4" location="Opgaver!A8" display="Opgaver" xr:uid="{0ED2FC02-CB90-EC4F-87FB-F9E1DCC982ED}"/>
    <hyperlink ref="A4:B4" location="Skemaoplysninger!A20" display="Skemaoplysninger" xr:uid="{DBB98CB3-DC66-7442-BB80-C6CAAE2201AA}"/>
  </hyperlinks>
  <pageMargins left="0.7" right="0.7" top="0.75" bottom="0.75" header="0.3" footer="0.3"/>
  <pageSetup paperSize="9" scale="59" orientation="landscape" horizontalDpi="0" verticalDpi="0"/>
  <drawing r:id="rId1"/>
  <legacyDrawing r:id="rId2"/>
  <extLst>
    <ext xmlns:x14="http://schemas.microsoft.com/office/spreadsheetml/2009/9/main" uri="{CCE6A557-97BC-4b89-ADB6-D9C93CAAB3DF}">
      <x14:dataValidations xmlns:xm="http://schemas.microsoft.com/office/excel/2006/main" count="1">
        <x14:dataValidation type="list" allowBlank="1" showInputMessage="1" xr:uid="{54CB9A82-557A-8945-AC1B-7C7EDF28BC5F}">
          <x14:formula1>
            <xm:f>August!$A$94:$A$108</xm:f>
          </x14:formula1>
          <xm:sqref>C14:C44</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AEE09-7903-0A48-8AA4-7EF2F707F10D}">
  <sheetPr>
    <tabColor theme="4" tint="-0.249977111117893"/>
    <pageSetUpPr fitToPage="1"/>
  </sheetPr>
  <dimension ref="A1:GP114"/>
  <sheetViews>
    <sheetView topLeftCell="A12" workbookViewId="0">
      <selection activeCell="E27" sqref="E27:G27"/>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3" width="10.83203125" customWidth="1"/>
    <col min="24" max="24" width="11"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5" width="10.83203125" hidden="1" customWidth="1"/>
    <col min="186" max="262"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87"/>
      <c r="Y1"/>
      <c r="Z1" s="87"/>
      <c r="AB1" s="87"/>
      <c r="AC1" s="87"/>
      <c r="AH1" s="87"/>
      <c r="AI1" s="87"/>
      <c r="CX1" s="242"/>
      <c r="CZ1"/>
    </row>
    <row r="2" spans="1:198" ht="20">
      <c r="A2" s="89">
        <v>4</v>
      </c>
      <c r="B2" s="1252"/>
      <c r="C2" s="1252"/>
      <c r="D2" s="1252"/>
      <c r="E2" s="1252"/>
      <c r="F2" s="87"/>
      <c r="G2" s="87"/>
      <c r="H2" s="273"/>
      <c r="I2" s="272"/>
      <c r="J2" s="225"/>
      <c r="K2" s="225"/>
      <c r="L2" s="225"/>
      <c r="M2" s="225"/>
      <c r="N2" s="225"/>
      <c r="O2" s="225"/>
      <c r="P2" s="87"/>
      <c r="Q2" s="87"/>
      <c r="R2" s="87"/>
      <c r="S2" s="87"/>
      <c r="T2" s="87"/>
      <c r="U2" s="87"/>
      <c r="V2" s="87"/>
      <c r="W2" s="120" t="s">
        <v>31</v>
      </c>
      <c r="X2" s="120" t="s">
        <v>31</v>
      </c>
      <c r="Y2"/>
      <c r="Z2" s="87"/>
      <c r="AB2" s="87"/>
      <c r="AC2" s="87"/>
      <c r="AH2" s="87"/>
      <c r="AI2" s="87"/>
      <c r="CX2" s="242"/>
      <c r="CZ2"/>
    </row>
    <row r="3" spans="1:198" ht="24" customHeight="1" thickBot="1">
      <c r="A3" s="864" t="s">
        <v>689</v>
      </c>
      <c r="B3" s="864"/>
      <c r="C3" s="864"/>
      <c r="D3" s="864"/>
      <c r="E3" s="864"/>
      <c r="F3" s="864"/>
      <c r="G3" s="864"/>
      <c r="H3" s="864"/>
      <c r="I3" s="723"/>
      <c r="J3" s="723"/>
      <c r="K3" s="723"/>
      <c r="L3" s="723"/>
      <c r="M3" s="723"/>
      <c r="N3" s="723"/>
      <c r="O3" s="723"/>
      <c r="P3" s="723"/>
      <c r="Q3" s="723"/>
      <c r="R3" s="723"/>
      <c r="S3" s="723"/>
      <c r="T3" s="723"/>
      <c r="Y3"/>
      <c r="Z3"/>
      <c r="AP3" s="38"/>
      <c r="CY3"/>
      <c r="CZ3"/>
    </row>
    <row r="4" spans="1:198" ht="50" customHeight="1" thickBot="1">
      <c r="A4" s="1226" t="s">
        <v>691</v>
      </c>
      <c r="B4" s="1227"/>
      <c r="C4" s="867" t="s">
        <v>495</v>
      </c>
      <c r="D4" s="868"/>
      <c r="E4" s="869" t="s">
        <v>688</v>
      </c>
      <c r="F4" s="870"/>
      <c r="G4" s="965" t="s">
        <v>367</v>
      </c>
      <c r="H4" s="966"/>
      <c r="I4" s="871" t="s">
        <v>687</v>
      </c>
      <c r="J4" s="1018"/>
      <c r="K4" s="628"/>
      <c r="Y4"/>
      <c r="Z4"/>
      <c r="CY4"/>
      <c r="CZ4"/>
    </row>
    <row r="5" spans="1:198" ht="50" customHeight="1" thickBot="1">
      <c r="A5" s="873" t="s">
        <v>231</v>
      </c>
      <c r="B5" s="873"/>
      <c r="C5" s="1228" t="s">
        <v>233</v>
      </c>
      <c r="D5" s="1228"/>
      <c r="E5" s="873" t="s">
        <v>234</v>
      </c>
      <c r="F5" s="873"/>
      <c r="G5" s="873" t="s">
        <v>235</v>
      </c>
      <c r="H5" s="873"/>
      <c r="Y5"/>
      <c r="Z5"/>
      <c r="CY5"/>
      <c r="CZ5"/>
    </row>
    <row r="6" spans="1:198" ht="50" customHeight="1" thickBot="1">
      <c r="A6" s="873" t="s">
        <v>279</v>
      </c>
      <c r="B6" s="873"/>
      <c r="C6" s="873" t="s">
        <v>280</v>
      </c>
      <c r="D6" s="873"/>
      <c r="E6" s="873" t="s">
        <v>281</v>
      </c>
      <c r="F6" s="873"/>
      <c r="G6" s="873" t="s">
        <v>282</v>
      </c>
      <c r="H6" s="873"/>
      <c r="Y6"/>
      <c r="Z6"/>
      <c r="CY6"/>
      <c r="CZ6"/>
    </row>
    <row r="7" spans="1:198" ht="50" customHeight="1" thickBot="1">
      <c r="A7" s="873" t="s">
        <v>283</v>
      </c>
      <c r="B7" s="873"/>
      <c r="C7" s="873" t="s">
        <v>284</v>
      </c>
      <c r="D7" s="873"/>
      <c r="E7" s="873" t="s">
        <v>285</v>
      </c>
      <c r="F7" s="873"/>
      <c r="G7" s="873" t="s">
        <v>286</v>
      </c>
      <c r="H7" s="873"/>
      <c r="Y7"/>
      <c r="Z7"/>
      <c r="CY7"/>
      <c r="CZ7"/>
    </row>
    <row r="8" spans="1:198" ht="17" thickBot="1">
      <c r="A8" s="1273" t="s">
        <v>306</v>
      </c>
      <c r="B8" s="1274"/>
      <c r="C8" s="1274"/>
      <c r="D8" s="1274"/>
      <c r="E8" s="1274"/>
      <c r="F8" s="1274"/>
      <c r="G8" s="1274"/>
      <c r="H8" s="1274"/>
      <c r="I8" s="1274"/>
      <c r="J8" s="1274"/>
      <c r="K8" s="1274"/>
      <c r="L8" s="1274"/>
      <c r="M8" s="1274"/>
      <c r="N8" s="1274"/>
      <c r="O8" s="1274"/>
      <c r="P8" s="1274"/>
      <c r="Q8" s="1274"/>
      <c r="R8" s="1274"/>
      <c r="S8" s="1274"/>
      <c r="T8" s="1274"/>
      <c r="U8" s="1274"/>
      <c r="V8" s="1274"/>
      <c r="W8" s="1274"/>
      <c r="X8" s="1275"/>
      <c r="Y8" s="87"/>
      <c r="Z8"/>
      <c r="AC8" s="87"/>
      <c r="AD8" s="87"/>
      <c r="AF8" s="87"/>
      <c r="CT8" s="242"/>
      <c r="CU8" s="242"/>
      <c r="CY8"/>
      <c r="CZ8"/>
      <c r="FI8" s="1179" t="s">
        <v>584</v>
      </c>
      <c r="FJ8" s="1180"/>
      <c r="FK8" s="1180"/>
      <c r="FL8" s="1180"/>
      <c r="FM8" s="1180"/>
      <c r="FN8" s="1180"/>
      <c r="FO8" s="1180"/>
      <c r="FP8" s="1180"/>
      <c r="FQ8" s="1180"/>
      <c r="FR8" s="1180"/>
      <c r="FS8" s="1180"/>
      <c r="FT8" s="1180"/>
      <c r="FU8" s="1180"/>
      <c r="FV8" s="1180"/>
      <c r="FW8" s="1180"/>
      <c r="FX8" s="1180"/>
      <c r="FY8" s="1180"/>
      <c r="FZ8" s="1180"/>
      <c r="GA8" s="1180"/>
      <c r="GB8" s="1180"/>
      <c r="GC8" s="1181"/>
    </row>
    <row r="9" spans="1:198" ht="236" customHeight="1" thickBot="1">
      <c r="A9" s="1066" t="s">
        <v>421</v>
      </c>
      <c r="B9" s="1067"/>
      <c r="C9" s="1067"/>
      <c r="D9" s="1067"/>
      <c r="E9" s="1068" t="s">
        <v>307</v>
      </c>
      <c r="F9" s="1068"/>
      <c r="G9" s="1068"/>
      <c r="H9" s="274" t="s">
        <v>404</v>
      </c>
      <c r="I9" s="425"/>
      <c r="J9" s="425"/>
      <c r="K9" s="1078" t="s">
        <v>496</v>
      </c>
      <c r="L9" s="1078"/>
      <c r="M9" s="471" t="s">
        <v>444</v>
      </c>
      <c r="N9" s="471" t="s">
        <v>422</v>
      </c>
      <c r="O9" s="471" t="s">
        <v>423</v>
      </c>
      <c r="P9" s="472" t="s">
        <v>445</v>
      </c>
      <c r="Q9" s="472" t="s">
        <v>305</v>
      </c>
      <c r="R9" s="472" t="s">
        <v>424</v>
      </c>
      <c r="S9" s="473" t="s">
        <v>451</v>
      </c>
      <c r="T9" s="473" t="s">
        <v>425</v>
      </c>
      <c r="U9" s="473" t="s">
        <v>426</v>
      </c>
      <c r="V9" s="474" t="s">
        <v>446</v>
      </c>
      <c r="W9" s="474" t="s">
        <v>393</v>
      </c>
      <c r="X9" s="475" t="s">
        <v>392</v>
      </c>
      <c r="Y9" s="240"/>
      <c r="Z9" s="87"/>
      <c r="AB9" s="87"/>
      <c r="AC9" s="87"/>
      <c r="AH9" s="87"/>
      <c r="AI9" s="87"/>
      <c r="CX9" s="242"/>
      <c r="CZ9"/>
      <c r="FI9" s="837" t="s">
        <v>582</v>
      </c>
      <c r="FJ9" s="837"/>
      <c r="FK9" s="837"/>
      <c r="FL9" s="837"/>
      <c r="FM9" t="s">
        <v>575</v>
      </c>
      <c r="FO9" s="837" t="s">
        <v>581</v>
      </c>
      <c r="FP9" s="837"/>
      <c r="FQ9" s="837"/>
      <c r="FR9" s="837"/>
    </row>
    <row r="10" spans="1:198" ht="26" customHeight="1" thickBot="1">
      <c r="A10" s="1194" t="str">
        <f>""&amp;A12&amp;" måneds kalender for: "&amp;Stamoplysninger!E13&amp;". Måneden vedr. normperioden: "&amp;Stamoplysninger!E16&amp;" - "&amp;Stamoplysninger!G16&amp;"."</f>
        <v>April måneds kalender for: Beate Simonsen. Måneden vedr. normperioden:  - .</v>
      </c>
      <c r="B10" s="1195"/>
      <c r="C10" s="1195"/>
      <c r="D10" s="1195"/>
      <c r="E10" s="1195"/>
      <c r="F10" s="1195"/>
      <c r="G10" s="1195"/>
      <c r="H10" s="1195"/>
      <c r="I10" s="1195"/>
      <c r="J10" s="1195"/>
      <c r="K10" s="1195"/>
      <c r="L10" s="1195"/>
      <c r="M10" s="1195"/>
      <c r="N10" s="1195"/>
      <c r="O10" s="1195"/>
      <c r="P10" s="1195"/>
      <c r="Q10" s="1195"/>
      <c r="R10" s="1196"/>
      <c r="S10" s="1073" t="s">
        <v>391</v>
      </c>
      <c r="T10" s="1074"/>
      <c r="U10" s="1074"/>
      <c r="V10" s="1074"/>
      <c r="W10" s="1074"/>
      <c r="X10" s="1075"/>
      <c r="Y10" s="240"/>
      <c r="Z10" s="87"/>
      <c r="AB10" s="87"/>
      <c r="AC10" s="87"/>
      <c r="AH10" s="87"/>
      <c r="AI10" s="87"/>
      <c r="CX10" s="242"/>
      <c r="CZ10"/>
      <c r="DV10" t="s">
        <v>665</v>
      </c>
      <c r="ED10" t="s">
        <v>665</v>
      </c>
      <c r="FC10" s="1208" t="s">
        <v>654</v>
      </c>
      <c r="FD10" s="1208"/>
      <c r="FE10" s="1208"/>
      <c r="FF10" s="1208"/>
      <c r="FG10" s="1208" t="s">
        <v>654</v>
      </c>
      <c r="FH10" s="1208"/>
      <c r="FI10" s="1208"/>
      <c r="FJ10" s="1208"/>
      <c r="FK10" s="1182" t="s">
        <v>569</v>
      </c>
      <c r="FL10" s="1182"/>
      <c r="FM10" s="1182"/>
      <c r="FN10" s="1182"/>
      <c r="FO10" s="1182"/>
      <c r="FP10" s="1182"/>
      <c r="FQ10" s="1182"/>
      <c r="FR10" s="1182"/>
      <c r="FS10" s="1182"/>
      <c r="FT10" s="1182"/>
      <c r="FU10" s="1182"/>
      <c r="FV10" s="1182"/>
      <c r="FW10" s="1182"/>
      <c r="FX10" s="1182"/>
      <c r="GA10" t="s">
        <v>583</v>
      </c>
      <c r="GB10" t="s">
        <v>576</v>
      </c>
      <c r="GD10" t="s">
        <v>577</v>
      </c>
      <c r="GF10" t="s">
        <v>578</v>
      </c>
      <c r="GH10" s="511" t="s">
        <v>579</v>
      </c>
    </row>
    <row r="11" spans="1:198" ht="47" customHeight="1">
      <c r="A11" s="320">
        <f>Januar!A11</f>
        <v>2027</v>
      </c>
      <c r="B11" s="236"/>
      <c r="C11" s="237"/>
      <c r="D11" s="238"/>
      <c r="E11" s="1199" t="s">
        <v>455</v>
      </c>
      <c r="F11" s="1200"/>
      <c r="G11" s="1201"/>
      <c r="H11" s="317" t="s">
        <v>674</v>
      </c>
      <c r="I11" s="1031" t="s">
        <v>452</v>
      </c>
      <c r="J11" s="1032" t="s">
        <v>470</v>
      </c>
      <c r="K11" s="1197" t="s">
        <v>299</v>
      </c>
      <c r="L11" s="1198"/>
      <c r="M11" s="318" t="s">
        <v>300</v>
      </c>
      <c r="N11" s="1047" t="s">
        <v>435</v>
      </c>
      <c r="O11" s="1047" t="s">
        <v>304</v>
      </c>
      <c r="P11" s="1047" t="s">
        <v>443</v>
      </c>
      <c r="Q11" s="1047" t="s">
        <v>381</v>
      </c>
      <c r="R11" s="1215" t="s">
        <v>497</v>
      </c>
      <c r="S11" s="1223" t="s">
        <v>301</v>
      </c>
      <c r="T11" s="1224"/>
      <c r="U11" s="1224"/>
      <c r="V11" s="1224"/>
      <c r="W11" s="1224"/>
      <c r="X11" s="1225"/>
      <c r="Y11" s="209"/>
      <c r="Z11" s="209"/>
      <c r="AA11" s="1049" t="s">
        <v>258</v>
      </c>
      <c r="AB11" s="1049"/>
      <c r="AC11" s="1049"/>
      <c r="AD11" s="1049"/>
      <c r="AE11" s="1049"/>
      <c r="AF11" s="206"/>
      <c r="AG11" s="1049" t="s">
        <v>219</v>
      </c>
      <c r="AH11" s="1049"/>
      <c r="AI11" s="1049"/>
      <c r="AJ11" s="1049"/>
      <c r="AK11" s="1049"/>
      <c r="AL11" s="1049" t="s">
        <v>220</v>
      </c>
      <c r="AM11" s="1049"/>
      <c r="AN11" s="1049"/>
      <c r="AO11" s="1049"/>
      <c r="AP11" s="1049"/>
      <c r="AQ11" s="1049" t="s">
        <v>221</v>
      </c>
      <c r="AR11" s="1049"/>
      <c r="AS11" s="1049"/>
      <c r="AT11" s="1049"/>
      <c r="AU11" s="1049"/>
      <c r="AV11" s="1049" t="s">
        <v>222</v>
      </c>
      <c r="AW11" s="1049"/>
      <c r="AX11" s="1049"/>
      <c r="AY11" s="1049"/>
      <c r="AZ11" s="1049"/>
      <c r="BA11" s="293"/>
      <c r="BB11" s="206"/>
      <c r="BC11" s="1049" t="s">
        <v>261</v>
      </c>
      <c r="BD11" s="1049"/>
      <c r="BE11" s="1049"/>
      <c r="BF11" s="1049"/>
      <c r="BG11" s="1049" t="s">
        <v>224</v>
      </c>
      <c r="BH11" s="1049"/>
      <c r="BI11" s="1049"/>
      <c r="BJ11" s="1049"/>
      <c r="BK11" s="1049"/>
      <c r="BL11" s="1049" t="s">
        <v>225</v>
      </c>
      <c r="BM11" s="1049"/>
      <c r="BN11" s="1049"/>
      <c r="BO11" s="1049"/>
      <c r="BP11" s="1049"/>
      <c r="BQ11" s="1049" t="s">
        <v>226</v>
      </c>
      <c r="BR11" s="1049"/>
      <c r="BS11" s="1049"/>
      <c r="BT11" s="1049"/>
      <c r="BU11" s="1049"/>
      <c r="BV11" s="1049" t="s">
        <v>227</v>
      </c>
      <c r="BW11" s="1049"/>
      <c r="BX11" s="1049"/>
      <c r="BY11" s="1049"/>
      <c r="BZ11" s="1049"/>
      <c r="CD11" s="1049" t="s">
        <v>262</v>
      </c>
      <c r="CE11" s="1049"/>
      <c r="CF11" s="1049"/>
      <c r="CG11" s="1049"/>
      <c r="CH11" s="1049"/>
      <c r="CI11" s="1049" t="s">
        <v>264</v>
      </c>
      <c r="CJ11" s="1049"/>
      <c r="CK11" s="1049"/>
      <c r="CL11" s="1049"/>
      <c r="CM11" s="1049"/>
      <c r="CN11" s="1049" t="s">
        <v>263</v>
      </c>
      <c r="CO11" s="1049"/>
      <c r="CP11" s="1049"/>
      <c r="CQ11" s="1049"/>
      <c r="CR11" s="1049"/>
      <c r="CS11" s="1049" t="s">
        <v>265</v>
      </c>
      <c r="CT11" s="1049"/>
      <c r="CU11" s="1049"/>
      <c r="CV11" s="1049"/>
      <c r="CW11" s="1049"/>
      <c r="CX11" s="242"/>
      <c r="CZ11"/>
      <c r="DA11" s="837" t="s">
        <v>209</v>
      </c>
      <c r="DB11" s="837"/>
      <c r="DC11" s="837"/>
      <c r="DD11" s="837"/>
      <c r="DE11" s="837"/>
      <c r="DO11" s="1217" t="s">
        <v>315</v>
      </c>
      <c r="DP11" s="1218"/>
      <c r="DQ11" s="1218"/>
      <c r="DR11" s="1218"/>
      <c r="DS11" s="1218"/>
      <c r="DT11" s="1218"/>
      <c r="DU11" s="1218"/>
      <c r="DV11" s="1219"/>
      <c r="DW11" s="1220" t="s">
        <v>370</v>
      </c>
      <c r="DX11" s="1221"/>
      <c r="DY11" s="1221"/>
      <c r="DZ11" s="1221"/>
      <c r="EA11" s="1221"/>
      <c r="EB11" s="1221"/>
      <c r="EC11" s="1221"/>
      <c r="ED11" s="1222"/>
      <c r="EE11" s="1212" t="s">
        <v>316</v>
      </c>
      <c r="EF11" s="1213"/>
      <c r="EG11" s="1213"/>
      <c r="EH11" s="1214"/>
      <c r="EI11" s="1209" t="s">
        <v>655</v>
      </c>
      <c r="EJ11" s="1210"/>
      <c r="EK11" s="1210"/>
      <c r="EL11" s="1211"/>
      <c r="EM11" s="1212" t="s">
        <v>319</v>
      </c>
      <c r="EN11" s="1213"/>
      <c r="EO11" s="1213"/>
      <c r="EP11" s="1214"/>
      <c r="EQ11" s="1212" t="s">
        <v>319</v>
      </c>
      <c r="ER11" s="1213"/>
      <c r="ES11" s="1213"/>
      <c r="ET11" s="1214"/>
      <c r="EU11" s="1042" t="s">
        <v>373</v>
      </c>
      <c r="EV11" s="1043"/>
      <c r="EW11" s="1043"/>
      <c r="EX11" s="1044"/>
      <c r="EY11" s="1042" t="s">
        <v>374</v>
      </c>
      <c r="EZ11" s="1043"/>
      <c r="FA11" s="1043"/>
      <c r="FB11" s="1044"/>
      <c r="FC11" s="1042" t="s">
        <v>375</v>
      </c>
      <c r="FD11" s="1043"/>
      <c r="FE11" s="1043"/>
      <c r="FF11" s="1044"/>
      <c r="FG11" s="1042" t="s">
        <v>376</v>
      </c>
      <c r="FH11" s="1043"/>
      <c r="FI11" s="1043"/>
      <c r="FJ11" s="1044"/>
      <c r="FK11" s="1172" t="s">
        <v>658</v>
      </c>
      <c r="FL11" s="1173"/>
      <c r="FM11" s="1173"/>
      <c r="FN11" s="1174"/>
      <c r="FO11" s="1027" t="s">
        <v>659</v>
      </c>
      <c r="FP11" s="1028"/>
      <c r="FQ11" s="1028"/>
      <c r="FR11" s="1029"/>
      <c r="FS11" s="1183" t="s">
        <v>375</v>
      </c>
      <c r="FT11" s="1183"/>
      <c r="FU11" s="1172" t="s">
        <v>580</v>
      </c>
      <c r="FV11" s="1173"/>
      <c r="FW11" s="1173"/>
      <c r="FX11" s="1184"/>
      <c r="FY11" s="1185" t="s">
        <v>571</v>
      </c>
      <c r="FZ11" s="1186"/>
      <c r="GA11" t="s">
        <v>573</v>
      </c>
      <c r="GB11" s="1183" t="s">
        <v>373</v>
      </c>
      <c r="GC11" s="1183"/>
      <c r="GD11" s="1183" t="s">
        <v>374</v>
      </c>
      <c r="GE11" s="1183"/>
      <c r="GF11" s="1183" t="s">
        <v>376</v>
      </c>
      <c r="GG11" s="1183"/>
      <c r="GH11" s="1183" t="s">
        <v>372</v>
      </c>
      <c r="GI11" s="1183"/>
      <c r="GP11" s="109" t="s">
        <v>663</v>
      </c>
    </row>
    <row r="12" spans="1:198" ht="201" customHeight="1">
      <c r="A12" s="1187" t="s">
        <v>283</v>
      </c>
      <c r="B12" s="1188"/>
      <c r="C12" s="1188"/>
      <c r="D12" s="1189"/>
      <c r="E12" s="1202"/>
      <c r="F12" s="1203"/>
      <c r="G12" s="1204"/>
      <c r="H12" s="1193" t="s">
        <v>668</v>
      </c>
      <c r="I12" s="1031"/>
      <c r="J12" s="1032"/>
      <c r="K12" s="319" t="s">
        <v>498</v>
      </c>
      <c r="L12" s="319" t="s">
        <v>499</v>
      </c>
      <c r="M12" s="319" t="s">
        <v>500</v>
      </c>
      <c r="N12" s="1048"/>
      <c r="O12" s="1048"/>
      <c r="P12" s="1048"/>
      <c r="Q12" s="1048"/>
      <c r="R12" s="1216"/>
      <c r="S12" s="477" t="s">
        <v>669</v>
      </c>
      <c r="T12" s="318" t="s">
        <v>303</v>
      </c>
      <c r="U12" s="318" t="s">
        <v>672</v>
      </c>
      <c r="V12" s="430" t="s">
        <v>428</v>
      </c>
      <c r="W12" s="430" t="s">
        <v>427</v>
      </c>
      <c r="X12" s="431" t="s">
        <v>673</v>
      </c>
      <c r="Y12" s="209" t="s">
        <v>276</v>
      </c>
      <c r="Z12" s="423" t="s">
        <v>277</v>
      </c>
      <c r="AA12" s="294" t="s">
        <v>208</v>
      </c>
      <c r="AB12" t="s">
        <v>134</v>
      </c>
      <c r="AC12" t="s">
        <v>137</v>
      </c>
      <c r="AD12" t="s">
        <v>136</v>
      </c>
      <c r="AE12" t="s">
        <v>135</v>
      </c>
      <c r="AF12" t="s">
        <v>406</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223</v>
      </c>
      <c r="BB12" s="223" t="s">
        <v>210</v>
      </c>
      <c r="BC12" t="s">
        <v>260</v>
      </c>
      <c r="BD12" t="s">
        <v>259</v>
      </c>
      <c r="BE12" t="s">
        <v>245</v>
      </c>
      <c r="BF12" t="s">
        <v>246</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228</v>
      </c>
      <c r="CB12" s="228" t="s">
        <v>248</v>
      </c>
      <c r="CC12" s="294" t="s">
        <v>249</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274</v>
      </c>
      <c r="CY12" s="242" t="s">
        <v>266</v>
      </c>
      <c r="CZ12" s="242" t="s">
        <v>267</v>
      </c>
      <c r="DA12" s="242" t="s">
        <v>268</v>
      </c>
      <c r="DB12" s="242" t="s">
        <v>269</v>
      </c>
      <c r="DC12" s="242" t="s">
        <v>270</v>
      </c>
      <c r="DD12" s="242" t="s">
        <v>271</v>
      </c>
      <c r="DE12" s="242" t="s">
        <v>272</v>
      </c>
      <c r="DF12" s="242" t="s">
        <v>273</v>
      </c>
      <c r="DG12" s="242"/>
      <c r="DO12" s="626" t="s">
        <v>642</v>
      </c>
      <c r="DP12" s="294" t="s">
        <v>643</v>
      </c>
      <c r="DQ12" s="677" t="s">
        <v>644</v>
      </c>
      <c r="DR12" s="677" t="s">
        <v>645</v>
      </c>
      <c r="DS12" s="627" t="s">
        <v>670</v>
      </c>
      <c r="DT12" s="627" t="str">
        <f>DP12</f>
        <v>Ulempetillæg på weekenddage - kræver der er sat kryds i weekendarbejde. KOLONNE I. Minus ved lejrskole.</v>
      </c>
      <c r="DU12" s="679" t="s">
        <v>600</v>
      </c>
      <c r="DV12" s="678" t="str">
        <f>DR12</f>
        <v>Ulempetillæg ændringer på weekenddage. Kræver der er sat kryds i ændring i timetal og at det er en weekeend. KOLONNE I OG S. Minus lejrskole</v>
      </c>
      <c r="DW12" s="680" t="s">
        <v>646</v>
      </c>
      <c r="DX12" s="677" t="s">
        <v>647</v>
      </c>
      <c r="DY12" s="677" t="s">
        <v>648</v>
      </c>
      <c r="DZ12" s="677" t="s">
        <v>649</v>
      </c>
      <c r="EA12" s="627" t="s">
        <v>599</v>
      </c>
      <c r="EB12" s="679" t="str">
        <f>DX12</f>
        <v>Ulempetillæg på weekenddage til afspadsering. Kræver der er sat kryds i weekendarb. KOLONNE I. Minus ved lejrskole.</v>
      </c>
      <c r="EC12" s="679" t="s">
        <v>600</v>
      </c>
      <c r="ED12" s="678" t="str">
        <f>DZ12</f>
        <v>Ulempetillæg ændringer på weekenddage. Kræver der er sat kryds i ændring i timetal og at det er en weekeend. KOLONNE I OG S. Minus lejrskole</v>
      </c>
      <c r="EE12" s="632" t="s">
        <v>650</v>
      </c>
      <c r="EF12" s="630" t="s">
        <v>601</v>
      </c>
      <c r="EG12" s="631" t="s">
        <v>604</v>
      </c>
      <c r="EH12" s="633" t="s">
        <v>603</v>
      </c>
      <c r="EI12" s="715" t="s">
        <v>656</v>
      </c>
      <c r="EJ12" s="719" t="s">
        <v>660</v>
      </c>
      <c r="EK12" s="631" t="s">
        <v>604</v>
      </c>
      <c r="EL12" s="633" t="s">
        <v>603</v>
      </c>
      <c r="EM12" s="632" t="s">
        <v>650</v>
      </c>
      <c r="EN12" s="630" t="s">
        <v>653</v>
      </c>
      <c r="EO12" s="631" t="s">
        <v>604</v>
      </c>
      <c r="EP12" s="633" t="s">
        <v>603</v>
      </c>
      <c r="EQ12" s="715" t="s">
        <v>657</v>
      </c>
      <c r="ER12" s="719" t="s">
        <v>661</v>
      </c>
      <c r="ES12" s="631" t="s">
        <v>604</v>
      </c>
      <c r="ET12" s="633" t="s">
        <v>603</v>
      </c>
      <c r="EU12" s="632" t="s">
        <v>651</v>
      </c>
      <c r="EV12" s="630" t="s">
        <v>652</v>
      </c>
      <c r="EW12" s="631" t="s">
        <v>602</v>
      </c>
      <c r="EX12" s="633" t="s">
        <v>606</v>
      </c>
      <c r="EY12" s="632" t="s">
        <v>651</v>
      </c>
      <c r="EZ12" s="630" t="s">
        <v>652</v>
      </c>
      <c r="FA12" s="631" t="s">
        <v>602</v>
      </c>
      <c r="FB12" s="633" t="s">
        <v>606</v>
      </c>
      <c r="FC12" s="632" t="s">
        <v>607</v>
      </c>
      <c r="FD12" s="630" t="s">
        <v>605</v>
      </c>
      <c r="FE12" s="631" t="s">
        <v>602</v>
      </c>
      <c r="FF12" s="633" t="s">
        <v>606</v>
      </c>
      <c r="FG12" s="632" t="str">
        <f>FC12</f>
        <v>Weekendtimer på weekenddage</v>
      </c>
      <c r="FH12" s="630" t="s">
        <v>605</v>
      </c>
      <c r="FI12" s="631" t="s">
        <v>602</v>
      </c>
      <c r="FJ12" s="633" t="s">
        <v>606</v>
      </c>
      <c r="FK12" s="658" t="s">
        <v>568</v>
      </c>
      <c r="FL12" s="630" t="s">
        <v>550</v>
      </c>
      <c r="FM12" s="658" t="s">
        <v>568</v>
      </c>
      <c r="FN12" s="633" t="s">
        <v>550</v>
      </c>
      <c r="FO12" s="715" t="s">
        <v>568</v>
      </c>
      <c r="FP12" s="630" t="s">
        <v>550</v>
      </c>
      <c r="FQ12" s="658" t="s">
        <v>568</v>
      </c>
      <c r="FR12" s="633" t="s">
        <v>550</v>
      </c>
      <c r="FS12" s="659" t="s">
        <v>563</v>
      </c>
      <c r="FT12" s="660" t="s">
        <v>564</v>
      </c>
      <c r="FU12" s="658" t="s">
        <v>549</v>
      </c>
      <c r="FV12" s="630" t="s">
        <v>550</v>
      </c>
      <c r="FW12" s="662" t="s">
        <v>549</v>
      </c>
      <c r="FX12" s="663" t="s">
        <v>550</v>
      </c>
      <c r="FY12" s="667" t="s">
        <v>570</v>
      </c>
      <c r="FZ12" s="660" t="s">
        <v>570</v>
      </c>
      <c r="GA12" s="294" t="s">
        <v>572</v>
      </c>
      <c r="GB12" s="659" t="s">
        <v>574</v>
      </c>
      <c r="GC12" s="659" t="s">
        <v>574</v>
      </c>
      <c r="GD12" s="659" t="s">
        <v>574</v>
      </c>
      <c r="GE12" s="659" t="s">
        <v>574</v>
      </c>
      <c r="GF12" s="659" t="s">
        <v>565</v>
      </c>
      <c r="GG12" s="660" t="s">
        <v>566</v>
      </c>
      <c r="GH12" s="659" t="s">
        <v>565</v>
      </c>
      <c r="GI12" s="660" t="s">
        <v>566</v>
      </c>
      <c r="GJ12" s="712" t="s">
        <v>635</v>
      </c>
      <c r="GK12" s="712" t="s">
        <v>636</v>
      </c>
      <c r="GL12" s="712" t="s">
        <v>637</v>
      </c>
      <c r="GM12" s="712" t="s">
        <v>638</v>
      </c>
      <c r="GN12" s="712" t="s">
        <v>640</v>
      </c>
      <c r="GO12" s="712" t="s">
        <v>639</v>
      </c>
      <c r="GP12" s="722" t="s">
        <v>662</v>
      </c>
    </row>
    <row r="13" spans="1:198" ht="20" customHeight="1">
      <c r="A13" s="1190"/>
      <c r="B13" s="1191"/>
      <c r="C13" s="1191"/>
      <c r="D13" s="1192"/>
      <c r="E13" s="1205"/>
      <c r="F13" s="1206"/>
      <c r="G13" s="1207"/>
      <c r="H13" s="1048"/>
      <c r="I13" s="1031"/>
      <c r="J13" s="1032"/>
      <c r="K13" s="1076" t="s">
        <v>320</v>
      </c>
      <c r="L13" s="1058"/>
      <c r="M13" s="1058"/>
      <c r="N13" s="1058"/>
      <c r="O13" s="1058"/>
      <c r="P13" s="1058"/>
      <c r="Q13" s="1058"/>
      <c r="R13" s="1077"/>
      <c r="S13" s="1057" t="s">
        <v>377</v>
      </c>
      <c r="T13" s="1058"/>
      <c r="U13" s="1059"/>
      <c r="V13" s="1076" t="s">
        <v>378</v>
      </c>
      <c r="W13" s="1058"/>
      <c r="X13" s="1077"/>
      <c r="Y13" s="209"/>
      <c r="Z13" s="423"/>
      <c r="AA13" s="294"/>
      <c r="BB13" s="223"/>
      <c r="CA13" s="109"/>
      <c r="CB13" s="228"/>
      <c r="CC13" s="294"/>
      <c r="CX13" s="242"/>
      <c r="DA13" s="242"/>
      <c r="DB13" s="242"/>
      <c r="DC13" s="242"/>
      <c r="DD13" s="242"/>
      <c r="DE13" s="242"/>
      <c r="DF13" s="242"/>
      <c r="DG13" s="242"/>
      <c r="DH13" t="s">
        <v>476</v>
      </c>
      <c r="DI13" t="s">
        <v>477</v>
      </c>
      <c r="DJ13" t="s">
        <v>478</v>
      </c>
      <c r="DO13" s="628"/>
      <c r="DP13" s="714" t="s">
        <v>641</v>
      </c>
      <c r="DS13" s="1176" t="s">
        <v>160</v>
      </c>
      <c r="DT13" s="1176"/>
      <c r="DU13" s="1176"/>
      <c r="DV13" s="1177"/>
      <c r="EA13" s="1178" t="s">
        <v>160</v>
      </c>
      <c r="EB13" s="1178"/>
      <c r="EC13" s="1178"/>
      <c r="ED13" s="629"/>
      <c r="EE13" s="277"/>
      <c r="EF13" s="245"/>
      <c r="EG13" s="1045" t="s">
        <v>160</v>
      </c>
      <c r="EH13" s="1046"/>
      <c r="EI13" s="277"/>
      <c r="EJ13" s="245"/>
      <c r="EK13" s="1045" t="s">
        <v>160</v>
      </c>
      <c r="EL13" s="1046"/>
      <c r="EM13" s="277"/>
      <c r="EN13" s="245"/>
      <c r="EO13" s="1045" t="s">
        <v>160</v>
      </c>
      <c r="EP13" s="1046"/>
      <c r="EQ13" s="277"/>
      <c r="ER13" s="245"/>
      <c r="ES13" s="1045" t="s">
        <v>160</v>
      </c>
      <c r="ET13" s="1046"/>
      <c r="EU13" s="277"/>
      <c r="EV13" s="245"/>
      <c r="EW13" s="1045" t="s">
        <v>160</v>
      </c>
      <c r="EX13" s="1046"/>
      <c r="EY13" s="277"/>
      <c r="EZ13" s="245"/>
      <c r="FA13" s="1045" t="s">
        <v>160</v>
      </c>
      <c r="FB13" s="1046"/>
      <c r="FC13" s="277"/>
      <c r="FD13" s="245"/>
      <c r="FE13" s="1045" t="s">
        <v>160</v>
      </c>
      <c r="FF13" s="1046"/>
      <c r="FG13" s="277"/>
      <c r="FH13" s="245"/>
      <c r="FI13" s="1045" t="s">
        <v>160</v>
      </c>
      <c r="FJ13" s="1046"/>
      <c r="FK13" s="277"/>
      <c r="FL13" s="245"/>
      <c r="FM13" s="1045" t="s">
        <v>160</v>
      </c>
      <c r="FN13" s="1046"/>
      <c r="FO13" s="277"/>
      <c r="FP13" s="245"/>
      <c r="FQ13" s="1045" t="s">
        <v>160</v>
      </c>
      <c r="FR13" s="1046"/>
      <c r="FT13" s="622" t="s">
        <v>158</v>
      </c>
      <c r="FU13" s="277"/>
      <c r="FV13" s="245"/>
      <c r="FW13" s="1045" t="s">
        <v>160</v>
      </c>
      <c r="FX13" s="1175"/>
      <c r="FY13" s="277"/>
      <c r="FZ13" s="668" t="s">
        <v>158</v>
      </c>
      <c r="GC13" s="622" t="s">
        <v>158</v>
      </c>
      <c r="GE13" s="622" t="s">
        <v>158</v>
      </c>
      <c r="GG13" s="622" t="s">
        <v>158</v>
      </c>
      <c r="GI13" s="622" t="s">
        <v>158</v>
      </c>
    </row>
    <row r="14" spans="1:198">
      <c r="A14" s="239">
        <f>IF(ISNUMBER(A12),A12+1,1)</f>
        <v>1</v>
      </c>
      <c r="B14" s="125" t="str">
        <f t="shared" ref="B14:B43" si="0">CHOOSE(MOD(WEEKDAY(DATE(A$11,A$2,A14)),7)+1,"lø","sø","ma","ti","on","to","fr",)</f>
        <v>to</v>
      </c>
      <c r="C14" s="126" t="s">
        <v>203</v>
      </c>
      <c r="D14" s="127" t="str">
        <f t="shared" ref="D14:D43" si="1">IF(B14="ma",(DATE(A$11,A$2,A14)-DATE(A$11,1,1)+7)/7,"")</f>
        <v/>
      </c>
      <c r="E14" s="1060"/>
      <c r="F14" s="1061"/>
      <c r="G14" s="1062"/>
      <c r="H14" s="292"/>
      <c r="I14" s="745"/>
      <c r="J14" s="746" t="str">
        <f t="shared" ref="J14:J43" si="2">IF(C14="Lejrskole","X","")</f>
        <v/>
      </c>
      <c r="K14" s="368"/>
      <c r="L14" s="368"/>
      <c r="M14" s="368"/>
      <c r="N14" s="311">
        <f>BA14</f>
        <v>9</v>
      </c>
      <c r="O14" s="311">
        <f>CA14</f>
        <v>3.75</v>
      </c>
      <c r="P14" s="311">
        <f>IF(Stamoplysninger!$H$34="JA",April!DG14,CX14)</f>
        <v>1</v>
      </c>
      <c r="Q14" s="311">
        <f>IF(OR(OR(C14="Lejrskole",C14="Ekskursion",C14="pæd.dag")),0,N14-O14-P14)</f>
        <v>4.25</v>
      </c>
      <c r="R14" s="751"/>
      <c r="S14" s="315"/>
      <c r="T14" s="316"/>
      <c r="U14" s="316"/>
      <c r="V14" s="422"/>
      <c r="W14" s="422"/>
      <c r="X14" s="621"/>
      <c r="Y14">
        <f>IF($S$14="x",V14-N14,0)</f>
        <v>0</v>
      </c>
      <c r="Z14" s="424">
        <f>W14</f>
        <v>0</v>
      </c>
      <c r="AA14" s="1">
        <f t="shared" ref="AA14:AA43" si="3">IF(C14="emnedag",K14,0)</f>
        <v>0</v>
      </c>
      <c r="AB14" s="1">
        <f t="shared" ref="AB14:AB43" si="4">IF(C14="fagdag",K14,0)</f>
        <v>0</v>
      </c>
      <c r="AC14" s="1">
        <f t="shared" ref="AC14:AC43" si="5">IF(C14="Pæd.dag",K14,0)</f>
        <v>0</v>
      </c>
      <c r="AD14" s="1">
        <f t="shared" ref="AD14:AD43" si="6">IF(C14="Ekskursion",K14,0)</f>
        <v>0</v>
      </c>
      <c r="AE14" s="1">
        <f t="shared" ref="AE14:AE43" si="7">IF(C14="Lejrskole",K14,0)</f>
        <v>0</v>
      </c>
      <c r="AF14" s="1">
        <f>IF(C14="Orlov",7.4*Stamoplysninger!$E$20,0)</f>
        <v>0</v>
      </c>
      <c r="AG14" t="str">
        <f>IF(AND(C14="Skema 1",B14="ma"),Arbejdstidsoversigt!$E$77,"")</f>
        <v/>
      </c>
      <c r="AH14" t="str">
        <f>IF(AND(C14="Skema 1",B14="ti"),Arbejdstidsoversigt!$E$78,"")</f>
        <v/>
      </c>
      <c r="AI14" t="str">
        <f>IF(AND(C14="Skema 1",B14="on"),Arbejdstidsoversigt!$E$79,"")</f>
        <v/>
      </c>
      <c r="AJ14">
        <f>IF(AND(C14="Skema 1",B14="to"),Arbejdstidsoversigt!$E$80,"")</f>
        <v>9</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9</v>
      </c>
      <c r="BB14" s="224">
        <f t="shared" ref="BB14:BB43" si="8">SUM(AG14:AK14)*24</f>
        <v>216</v>
      </c>
      <c r="BC14" s="1">
        <f>IF($C$14="Lejrskole",$L$14,0)</f>
        <v>0</v>
      </c>
      <c r="BD14" s="1">
        <f t="shared" ref="BD14:BD43" si="9">IF(C14="Ekskursion",L14,0)</f>
        <v>0</v>
      </c>
      <c r="BE14" s="1">
        <f t="shared" ref="BE14:BE43" si="10">IF(C14="fagdag",L14,0)</f>
        <v>0</v>
      </c>
      <c r="BF14" s="1">
        <f t="shared" ref="BF14:BF43" si="11">IF(C14="emnedag",L14,0)</f>
        <v>0</v>
      </c>
      <c r="BG14" s="207" t="str">
        <f>IF(AND(C14="Skema 1",B14="ma"),Skemaoplysninger!$E$46,"")</f>
        <v/>
      </c>
      <c r="BH14" s="207" t="str">
        <f>IF(AND(C14="Skema 1",B14="ti"),Skemaoplysninger!$G$46,"")</f>
        <v/>
      </c>
      <c r="BI14" s="207" t="str">
        <f>IF(AND(C14="Skema 1",B14="on"),Skemaoplysninger!$I$46,"")</f>
        <v/>
      </c>
      <c r="BJ14" s="207">
        <f>IF(AND(C14="Skema 1",B14="to"),Skemaoplysninger!$K$46,"")</f>
        <v>0.15625</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3.75</v>
      </c>
      <c r="CB14" s="1">
        <f t="shared" ref="CB14:CB43" si="12">IF(C14="fagdag",M14,0)</f>
        <v>0</v>
      </c>
      <c r="CC14" s="1">
        <f t="shared" ref="CC14:CC43" si="13">IF(C14="emnedag",M14,0)</f>
        <v>0</v>
      </c>
      <c r="CD14" s="207" t="str">
        <f>IF(AND(C14="Skema 1",B14="ma"),Skemaoplysninger!$E$47,"")</f>
        <v/>
      </c>
      <c r="CE14" s="207" t="str">
        <f>IF(AND(C14="Skema 1",B14="ti"),Skemaoplysninger!$G$47,"")</f>
        <v/>
      </c>
      <c r="CF14" s="207" t="str">
        <f>IF(AND(C14="Skema 1",B14="on"),Skemaoplysninger!$I$47,"")</f>
        <v/>
      </c>
      <c r="CG14" s="207">
        <f>IF(AND(C14="Skema 1",B14="to"),Skemaoplysninger!$K$47,"")</f>
        <v>4.1666666666666664E-2</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1</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3" si="14">IF(DH14=0,"",DH14)</f>
        <v/>
      </c>
      <c r="DL14" t="str">
        <f>IF(DI14=0,"",DI14)</f>
        <v/>
      </c>
      <c r="DM14" t="str">
        <f>IF(DJ14=0,"",DJ14)</f>
        <v/>
      </c>
      <c r="DN14" t="str">
        <f>DK14&amp;""&amp;DL14&amp;""&amp;DM14</f>
        <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3" si="15">IF(AND(I14="X",S14="X"),V14,0)</f>
        <v>0</v>
      </c>
      <c r="FZ14" s="634">
        <f t="shared" ref="FZ14:FZ43" si="16">IF(AND(AND(C14="ikke relevant",I14="X",S14="X")),V14,0)</f>
        <v>0</v>
      </c>
      <c r="GA14">
        <f t="shared" ref="GA14:GA43" si="17">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3" si="18">IF(C14="emnedag","X",0)</f>
        <v>0</v>
      </c>
      <c r="GL14">
        <f t="shared" ref="GL14:GL43" si="19">IF(C14="ekskursion","X",0)</f>
        <v>0</v>
      </c>
      <c r="GM14">
        <f t="shared" ref="GM14:GM43" si="20">IF(C14="pæd.dag","X",0)</f>
        <v>0</v>
      </c>
      <c r="GN14" s="713">
        <f t="shared" ref="GN14:GN43" si="21">IF(C14="lejrskole","X",0)</f>
        <v>0</v>
      </c>
      <c r="GO14">
        <f>COUNTIF(GJ14:GN14,"X")</f>
        <v>0</v>
      </c>
      <c r="GP14" s="647">
        <f>IF(AND(I14="X",S14="X"),V14,0)</f>
        <v>0</v>
      </c>
    </row>
    <row r="15" spans="1:198">
      <c r="A15" s="239">
        <f t="shared" ref="A15:A43" si="22">IF(ISNUMBER(A14),A14+1,1)</f>
        <v>2</v>
      </c>
      <c r="B15" s="125" t="str">
        <f t="shared" si="0"/>
        <v>fr</v>
      </c>
      <c r="C15" s="126" t="s">
        <v>203</v>
      </c>
      <c r="D15" s="127" t="str">
        <f t="shared" si="1"/>
        <v/>
      </c>
      <c r="E15" s="1060"/>
      <c r="F15" s="1061"/>
      <c r="G15" s="1062"/>
      <c r="H15" s="292"/>
      <c r="I15" s="745"/>
      <c r="J15" s="746" t="str">
        <f t="shared" si="2"/>
        <v/>
      </c>
      <c r="K15" s="368"/>
      <c r="L15" s="368"/>
      <c r="M15" s="368"/>
      <c r="N15" s="311">
        <f t="shared" ref="N15:N43" si="23">BA15</f>
        <v>7.1</v>
      </c>
      <c r="O15" s="311">
        <f t="shared" ref="O15:O43" si="24">CA15</f>
        <v>3.75</v>
      </c>
      <c r="P15" s="311">
        <f>IF(Stamoplysninger!$H$34="JA",April!DG15,CX15)</f>
        <v>1</v>
      </c>
      <c r="Q15" s="311">
        <f t="shared" ref="Q15:Q43" si="25">IF(OR(OR(C15="Lejrskole",C15="Ekskursion",C15="pæd.dag")),0,N15-O15-P15)</f>
        <v>2.3499999999999996</v>
      </c>
      <c r="R15" s="751"/>
      <c r="S15" s="315"/>
      <c r="T15" s="316"/>
      <c r="U15" s="316"/>
      <c r="V15" s="422"/>
      <c r="W15" s="422"/>
      <c r="X15" s="621"/>
      <c r="Y15">
        <f t="shared" ref="Y15:Y43" si="26">IF(S15="x",V15-N15,0)</f>
        <v>0</v>
      </c>
      <c r="Z15" s="424">
        <f t="shared" ref="Z15:Z43" si="27">W15</f>
        <v>0</v>
      </c>
      <c r="AA15" s="1">
        <f t="shared" si="3"/>
        <v>0</v>
      </c>
      <c r="AB15" s="1">
        <f t="shared" si="4"/>
        <v>0</v>
      </c>
      <c r="AC15" s="1">
        <f t="shared" si="5"/>
        <v>0</v>
      </c>
      <c r="AD15" s="1">
        <f t="shared" si="6"/>
        <v>0</v>
      </c>
      <c r="AE15" s="1">
        <f t="shared" si="7"/>
        <v>0</v>
      </c>
      <c r="AF15" s="1">
        <f>IF(C15="Orlov",7.4*Stamoplysninger!$E$20,0)</f>
        <v>0</v>
      </c>
      <c r="AG15" t="str">
        <f>IF(AND(C15="Skema 1",B15="ma"),Arbejdstidsoversigt!$E$77,"")</f>
        <v/>
      </c>
      <c r="AH15" t="str">
        <f>IF(AND(C15="Skema 1",B15="ti"),Arbejdstidsoversigt!$E$78,"")</f>
        <v/>
      </c>
      <c r="AI15" t="str">
        <f>IF(AND(C15="Skema 1",B15="on"),Arbejdstidsoversigt!$E$79,"")</f>
        <v/>
      </c>
      <c r="AJ15" t="str">
        <f>IF(AND(C15="Skema 1",B15="to"),Arbejdstidsoversigt!$E$80,"")</f>
        <v/>
      </c>
      <c r="AK15">
        <f>IF(AND(C15="Skema 1",B15="fr"),Arbejdstidsoversigt!$E$81,"")</f>
        <v>7.1</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3" si="28">SUM(AA15:AZ15)</f>
        <v>7.1</v>
      </c>
      <c r="BB15" s="224">
        <f t="shared" si="8"/>
        <v>170.39999999999998</v>
      </c>
      <c r="BC15" s="1">
        <f t="shared" ref="BC15:BC43" si="29">IF(C15="Lejrskole",L15,0)</f>
        <v>0</v>
      </c>
      <c r="BD15" s="1">
        <f t="shared" si="9"/>
        <v>0</v>
      </c>
      <c r="BE15" s="1">
        <f t="shared" si="10"/>
        <v>0</v>
      </c>
      <c r="BF15" s="1">
        <f t="shared" si="11"/>
        <v>0</v>
      </c>
      <c r="BG15" s="207" t="str">
        <f>IF(AND(C15="Skema 1",B15="ma"),Skemaoplysninger!$E$46,"")</f>
        <v/>
      </c>
      <c r="BH15" s="207" t="str">
        <f>IF(AND(C15="Skema 1",B15="ti"),Skemaoplysninger!$G$46,"")</f>
        <v/>
      </c>
      <c r="BI15" s="207" t="str">
        <f>IF(AND(C15="Skema 1",B15="on"),Skemaoplysninger!$I$46,"")</f>
        <v/>
      </c>
      <c r="BJ15" s="207" t="str">
        <f>IF(AND(C15="Skema 1",B15="to"),Skemaoplysninger!$K$46,"")</f>
        <v/>
      </c>
      <c r="BK15" s="207">
        <f>IF(AND(C15="Skema 1",B15="fr"),Skemaoplysninger!$M$46,"")</f>
        <v>0.15625</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43" si="30">SUM(BG15:BZ15)*24+SUM(BC15:BF15)</f>
        <v>3.75</v>
      </c>
      <c r="CB15" s="1">
        <f t="shared" si="12"/>
        <v>0</v>
      </c>
      <c r="CC15" s="1">
        <f t="shared" si="13"/>
        <v>0</v>
      </c>
      <c r="CD15" s="207" t="str">
        <f>IF(AND(C15="Skema 1",B15="ma"),Skemaoplysninger!$E$47,"")</f>
        <v/>
      </c>
      <c r="CE15" s="207" t="str">
        <f>IF(AND(C15="Skema 1",B15="ti"),Skemaoplysninger!$G$47,"")</f>
        <v/>
      </c>
      <c r="CF15" s="207" t="str">
        <f>IF(AND(C15="Skema 1",B15="on"),Skemaoplysninger!$I$47,"")</f>
        <v/>
      </c>
      <c r="CG15" s="207" t="str">
        <f>IF(AND(C15="Skema 1",B15="to"),Skemaoplysninger!$K$47,"")</f>
        <v/>
      </c>
      <c r="CH15" s="207">
        <f>IF(AND(C15="Skema 1",B15="fr"),Skemaoplysninger!$M$47,"")</f>
        <v>4.1666666666666664E-2</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1</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3" si="31">SUM(CY15:DF15)</f>
        <v>0</v>
      </c>
      <c r="DH15" t="str">
        <f t="shared" ref="DH15:DH43" si="32">IF(AND(E15&gt;0,H15&gt;0),""&amp;E15&amp;" og "&amp;H15&amp;"","")</f>
        <v/>
      </c>
      <c r="DI15">
        <f t="shared" ref="DI15:DI43" si="33">IF(H15="",E15,"")</f>
        <v>0</v>
      </c>
      <c r="DJ15">
        <f t="shared" ref="DJ15:DJ43" si="34">IF(E15="",H15,"")</f>
        <v>0</v>
      </c>
      <c r="DK15" t="str">
        <f t="shared" si="14"/>
        <v/>
      </c>
      <c r="DL15" t="str">
        <f t="shared" si="14"/>
        <v/>
      </c>
      <c r="DM15" t="str">
        <f t="shared" si="14"/>
        <v/>
      </c>
      <c r="DN15" t="str">
        <f t="shared" ref="DN15:DN43" si="35">DK15&amp;""&amp;DL15&amp;""&amp;DM15</f>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5"/>
        <v>0</v>
      </c>
      <c r="FZ15" s="634">
        <f t="shared" si="16"/>
        <v>0</v>
      </c>
      <c r="GA15">
        <f t="shared" si="17"/>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3" si="36">IF(C15="fagdag","X",0)</f>
        <v>0</v>
      </c>
      <c r="GK15">
        <f t="shared" si="18"/>
        <v>0</v>
      </c>
      <c r="GL15">
        <f t="shared" si="19"/>
        <v>0</v>
      </c>
      <c r="GM15">
        <f t="shared" si="20"/>
        <v>0</v>
      </c>
      <c r="GN15" s="713">
        <f t="shared" si="21"/>
        <v>0</v>
      </c>
      <c r="GO15">
        <f t="shared" ref="GO15:GO43" si="37">COUNTIF(GJ15:GN15,"X")</f>
        <v>0</v>
      </c>
      <c r="GP15" s="647">
        <f t="shared" ref="GP15:GP43" si="38">IF(AND(I15="X",S15="X"),V15,0)</f>
        <v>0</v>
      </c>
    </row>
    <row r="16" spans="1:198">
      <c r="A16" s="239">
        <f t="shared" si="22"/>
        <v>3</v>
      </c>
      <c r="B16" s="125" t="str">
        <f t="shared" si="0"/>
        <v>lø</v>
      </c>
      <c r="C16" s="126" t="s">
        <v>118</v>
      </c>
      <c r="D16" s="127" t="str">
        <f t="shared" si="1"/>
        <v/>
      </c>
      <c r="E16" s="1060"/>
      <c r="F16" s="1061"/>
      <c r="G16" s="1062"/>
      <c r="H16" s="292"/>
      <c r="I16" s="746" t="str">
        <f>IF(GO16=1,"X","")</f>
        <v/>
      </c>
      <c r="J16" s="746" t="str">
        <f t="shared" si="2"/>
        <v/>
      </c>
      <c r="K16" s="368"/>
      <c r="L16" s="368"/>
      <c r="M16" s="368"/>
      <c r="N16" s="311">
        <f t="shared" si="23"/>
        <v>0</v>
      </c>
      <c r="O16" s="311">
        <f t="shared" si="24"/>
        <v>0</v>
      </c>
      <c r="P16" s="311">
        <f>IF(Stamoplysninger!$H$34="JA",April!DG16,CX16)</f>
        <v>0</v>
      </c>
      <c r="Q16" s="311">
        <f t="shared" si="25"/>
        <v>0</v>
      </c>
      <c r="R16" s="751"/>
      <c r="S16" s="315"/>
      <c r="T16" s="316"/>
      <c r="U16" s="316"/>
      <c r="V16" s="422"/>
      <c r="W16" s="422"/>
      <c r="X16" s="621"/>
      <c r="Y16">
        <f t="shared" si="26"/>
        <v>0</v>
      </c>
      <c r="Z16" s="424">
        <f t="shared" si="27"/>
        <v>0</v>
      </c>
      <c r="AA16" s="1">
        <f t="shared" si="3"/>
        <v>0</v>
      </c>
      <c r="AB16" s="1">
        <f t="shared" si="4"/>
        <v>0</v>
      </c>
      <c r="AC16" s="1">
        <f t="shared" si="5"/>
        <v>0</v>
      </c>
      <c r="AD16" s="1">
        <f t="shared" si="6"/>
        <v>0</v>
      </c>
      <c r="AE16" s="1">
        <f t="shared" si="7"/>
        <v>0</v>
      </c>
      <c r="AF16" s="1">
        <f>IF(C16="Orlov",7.4*Stamoplysninger!$E$20,0)</f>
        <v>0</v>
      </c>
      <c r="AG16" t="str">
        <f>IF(AND(C16="Skema 1",B16="ma"),Arbejdstidsoversigt!$E$77,"")</f>
        <v/>
      </c>
      <c r="AH16" t="str">
        <f>IF(AND(C16="Skema 1",B16="ti"),Arbejdstidsoversigt!$E$78,"")</f>
        <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8"/>
        <v>0</v>
      </c>
      <c r="BC16" s="1">
        <f t="shared" si="29"/>
        <v>0</v>
      </c>
      <c r="BD16" s="1">
        <f t="shared" si="9"/>
        <v>0</v>
      </c>
      <c r="BE16" s="1">
        <f t="shared" si="10"/>
        <v>0</v>
      </c>
      <c r="BF16" s="1">
        <f t="shared" si="11"/>
        <v>0</v>
      </c>
      <c r="BG16" s="207" t="str">
        <f>IF(AND(C16="Skema 1",B16="ma"),Skemaoplysninger!$E$46,"")</f>
        <v/>
      </c>
      <c r="BH16" s="207" t="str">
        <f>IF(AND(C16="Skema 1",B16="ti"),Skemaoplysninger!$G$46,"")</f>
        <v/>
      </c>
      <c r="BI16" s="207" t="str">
        <f>IF(AND(C16="Skema 1",B16="on"),Skemaoplysninger!$I$46,"")</f>
        <v/>
      </c>
      <c r="BJ16" s="207" t="str">
        <f>IF(AND(C16="Skema 1",B16="to"),Skemaoplysninger!$K$46,"")</f>
        <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0"/>
        <v>0</v>
      </c>
      <c r="CB16" s="1">
        <f t="shared" si="12"/>
        <v>0</v>
      </c>
      <c r="CC16" s="1">
        <f t="shared" si="13"/>
        <v>0</v>
      </c>
      <c r="CD16" s="207" t="str">
        <f>IF(AND(C16="Skema 1",B16="ma"),Skemaoplysninger!$E$47,"")</f>
        <v/>
      </c>
      <c r="CE16" s="207" t="str">
        <f>IF(AND(C16="Skema 1",B16="ti"),Skemaoplysninger!$G$47,"")</f>
        <v/>
      </c>
      <c r="CF16" s="207" t="str">
        <f>IF(AND(C16="Skema 1",B16="on"),Skemaoplysninger!$I$47,"")</f>
        <v/>
      </c>
      <c r="CG16" s="207" t="str">
        <f>IF(AND(C16="Skema 1",B16="to"),Skemaoplysninger!$K$47,"")</f>
        <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4"/>
        <v/>
      </c>
      <c r="DL16" t="str">
        <f t="shared" si="14"/>
        <v/>
      </c>
      <c r="DM16" t="str">
        <f t="shared" si="14"/>
        <v/>
      </c>
      <c r="DN16" t="str">
        <f t="shared" si="35"/>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5"/>
        <v>0</v>
      </c>
      <c r="FZ16" s="634">
        <f t="shared" si="16"/>
        <v>0</v>
      </c>
      <c r="GA16">
        <f t="shared" si="17"/>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8"/>
        <v>0</v>
      </c>
      <c r="GL16">
        <f t="shared" si="19"/>
        <v>0</v>
      </c>
      <c r="GM16">
        <f t="shared" si="20"/>
        <v>0</v>
      </c>
      <c r="GN16" s="713">
        <f t="shared" si="21"/>
        <v>0</v>
      </c>
      <c r="GO16">
        <f t="shared" si="37"/>
        <v>0</v>
      </c>
      <c r="GP16" s="647">
        <f t="shared" si="38"/>
        <v>0</v>
      </c>
    </row>
    <row r="17" spans="1:198">
      <c r="A17" s="239">
        <f t="shared" si="22"/>
        <v>4</v>
      </c>
      <c r="B17" s="125" t="str">
        <f t="shared" si="0"/>
        <v>sø</v>
      </c>
      <c r="C17" s="126" t="s">
        <v>118</v>
      </c>
      <c r="D17" s="127" t="str">
        <f t="shared" si="1"/>
        <v/>
      </c>
      <c r="E17" s="1060"/>
      <c r="F17" s="1061"/>
      <c r="G17" s="1062"/>
      <c r="H17" s="292"/>
      <c r="I17" s="746" t="str">
        <f>IF(GO17=1,"X","")</f>
        <v/>
      </c>
      <c r="J17" s="746" t="str">
        <f t="shared" si="2"/>
        <v/>
      </c>
      <c r="K17" s="368"/>
      <c r="L17" s="368"/>
      <c r="M17" s="368"/>
      <c r="N17" s="311">
        <f t="shared" si="23"/>
        <v>0</v>
      </c>
      <c r="O17" s="311">
        <f t="shared" si="24"/>
        <v>0</v>
      </c>
      <c r="P17" s="311">
        <f>IF(Stamoplysninger!$H$34="JA",April!DG17,CX17)</f>
        <v>0</v>
      </c>
      <c r="Q17" s="311">
        <f t="shared" si="25"/>
        <v>0</v>
      </c>
      <c r="R17" s="751"/>
      <c r="S17" s="315"/>
      <c r="T17" s="316"/>
      <c r="U17" s="316"/>
      <c r="V17" s="422"/>
      <c r="W17" s="422"/>
      <c r="X17" s="621"/>
      <c r="Y17">
        <f t="shared" si="26"/>
        <v>0</v>
      </c>
      <c r="Z17" s="424">
        <f t="shared" si="27"/>
        <v>0</v>
      </c>
      <c r="AA17" s="1">
        <f t="shared" si="3"/>
        <v>0</v>
      </c>
      <c r="AB17" s="1">
        <f t="shared" si="4"/>
        <v>0</v>
      </c>
      <c r="AC17" s="1">
        <f t="shared" si="5"/>
        <v>0</v>
      </c>
      <c r="AD17" s="1">
        <f t="shared" si="6"/>
        <v>0</v>
      </c>
      <c r="AE17" s="1">
        <f t="shared" si="7"/>
        <v>0</v>
      </c>
      <c r="AF17" s="1">
        <f>IF(C17="Orlov",7.4*Stamoplysninger!$E$20,0)</f>
        <v>0</v>
      </c>
      <c r="AG17" t="str">
        <f>IF(AND(C17="Skema 1",B17="ma"),Arbejdstidsoversigt!$E$77,"")</f>
        <v/>
      </c>
      <c r="AH17" t="str">
        <f>IF(AND(C17="Skema 1",B17="ti"),Arbejdstidsoversigt!$E$78,"")</f>
        <v/>
      </c>
      <c r="AI17" t="str">
        <f>IF(AND(C17="Skema 1",B17="on"),Arbejdstidsoversigt!$E$79,"")</f>
        <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8"/>
        <v>0</v>
      </c>
      <c r="BC17" s="1">
        <f t="shared" si="29"/>
        <v>0</v>
      </c>
      <c r="BD17" s="1">
        <f t="shared" si="9"/>
        <v>0</v>
      </c>
      <c r="BE17" s="1">
        <f t="shared" si="10"/>
        <v>0</v>
      </c>
      <c r="BF17" s="1">
        <f t="shared" si="11"/>
        <v>0</v>
      </c>
      <c r="BG17" s="207" t="str">
        <f>IF(AND(C17="Skema 1",B17="ma"),Skemaoplysninger!$E$46,"")</f>
        <v/>
      </c>
      <c r="BH17" s="207" t="str">
        <f>IF(AND(C17="Skema 1",B17="ti"),Skemaoplysninger!$G$46,"")</f>
        <v/>
      </c>
      <c r="BI17" s="207" t="str">
        <f>IF(AND(C17="Skema 1",B17="on"),Skemaoplysninger!$I$46,"")</f>
        <v/>
      </c>
      <c r="BJ17" s="207" t="str">
        <f>IF(AND(C17="Skema 1",B17="to"),Skemaoplysninger!$K$46,"")</f>
        <v/>
      </c>
      <c r="BK17" s="207" t="str">
        <f>IF(AND(C17="Skema 1",B17="fr"),Skemaoplysninger!$M$46,"")</f>
        <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0</v>
      </c>
      <c r="CB17" s="1">
        <f t="shared" si="12"/>
        <v>0</v>
      </c>
      <c r="CC17" s="1">
        <f t="shared" si="13"/>
        <v>0</v>
      </c>
      <c r="CD17" s="207" t="str">
        <f>IF(AND(C17="Skema 1",B17="ma"),Skemaoplysninger!$E$47,"")</f>
        <v/>
      </c>
      <c r="CE17" s="207" t="str">
        <f>IF(AND(C17="Skema 1",B17="ti"),Skemaoplysninger!$G$47,"")</f>
        <v/>
      </c>
      <c r="CF17" s="207" t="str">
        <f>IF(AND(C17="Skema 1",B17="on"),Skemaoplysninger!$I$47,"")</f>
        <v/>
      </c>
      <c r="CG17" s="207" t="str">
        <f>IF(AND(C17="Skema 1",B17="to"),Skemaoplysninger!$K$47,"")</f>
        <v/>
      </c>
      <c r="CH17" s="207" t="str">
        <f>IF(AND(C17="Skema 1",B17="fr"),Skemaoplysninger!$M$47,"")</f>
        <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4"/>
        <v/>
      </c>
      <c r="DL17" t="str">
        <f t="shared" si="14"/>
        <v/>
      </c>
      <c r="DM17" t="str">
        <f t="shared" si="14"/>
        <v/>
      </c>
      <c r="DN17" t="str">
        <f t="shared" si="3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5"/>
        <v>0</v>
      </c>
      <c r="FZ17" s="634">
        <f t="shared" si="16"/>
        <v>0</v>
      </c>
      <c r="GA17">
        <f t="shared" si="17"/>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8"/>
        <v>0</v>
      </c>
      <c r="GL17">
        <f t="shared" si="19"/>
        <v>0</v>
      </c>
      <c r="GM17">
        <f t="shared" si="20"/>
        <v>0</v>
      </c>
      <c r="GN17" s="713">
        <f t="shared" si="21"/>
        <v>0</v>
      </c>
      <c r="GO17">
        <f t="shared" si="37"/>
        <v>0</v>
      </c>
      <c r="GP17" s="647">
        <f t="shared" si="38"/>
        <v>0</v>
      </c>
    </row>
    <row r="18" spans="1:198">
      <c r="A18" s="239">
        <f t="shared" si="22"/>
        <v>5</v>
      </c>
      <c r="B18" s="125" t="str">
        <f t="shared" si="0"/>
        <v>ma</v>
      </c>
      <c r="C18" s="126" t="s">
        <v>203</v>
      </c>
      <c r="D18" s="127">
        <f t="shared" si="1"/>
        <v>14.428571428571429</v>
      </c>
      <c r="E18" s="1060"/>
      <c r="F18" s="1061"/>
      <c r="G18" s="1062"/>
      <c r="H18" s="292"/>
      <c r="I18" s="745"/>
      <c r="J18" s="746" t="str">
        <f t="shared" si="2"/>
        <v/>
      </c>
      <c r="K18" s="368"/>
      <c r="L18" s="368"/>
      <c r="M18" s="368"/>
      <c r="N18" s="311">
        <f t="shared" si="23"/>
        <v>8.11</v>
      </c>
      <c r="O18" s="311">
        <f t="shared" si="24"/>
        <v>4.5</v>
      </c>
      <c r="P18" s="311">
        <f>IF(Stamoplysninger!$H$34="JA",April!DG18,CX18)</f>
        <v>1.9166666666666665</v>
      </c>
      <c r="Q18" s="311">
        <f t="shared" si="25"/>
        <v>1.6933333333333329</v>
      </c>
      <c r="R18" s="751"/>
      <c r="S18" s="315"/>
      <c r="T18" s="316"/>
      <c r="U18" s="316"/>
      <c r="V18" s="422"/>
      <c r="W18" s="422"/>
      <c r="X18" s="621"/>
      <c r="Y18">
        <f t="shared" si="26"/>
        <v>0</v>
      </c>
      <c r="Z18" s="424">
        <f t="shared" si="27"/>
        <v>0</v>
      </c>
      <c r="AA18" s="1">
        <f t="shared" si="3"/>
        <v>0</v>
      </c>
      <c r="AB18" s="1">
        <f t="shared" si="4"/>
        <v>0</v>
      </c>
      <c r="AC18" s="1">
        <f t="shared" si="5"/>
        <v>0</v>
      </c>
      <c r="AD18" s="1">
        <f t="shared" si="6"/>
        <v>0</v>
      </c>
      <c r="AE18" s="1">
        <f t="shared" si="7"/>
        <v>0</v>
      </c>
      <c r="AF18" s="1">
        <f>IF(C18="Orlov",7.4*Stamoplysninger!$E$20,0)</f>
        <v>0</v>
      </c>
      <c r="AG18">
        <f>IF(AND(C18="Skema 1",B18="ma"),Arbejdstidsoversigt!$E$77,"")</f>
        <v>8.11</v>
      </c>
      <c r="AH18" t="str">
        <f>IF(AND(C18="Skema 1",B18="ti"),Arbejdstidsoversigt!$E$78,"")</f>
        <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8.11</v>
      </c>
      <c r="BB18" s="224">
        <f t="shared" si="8"/>
        <v>194.64</v>
      </c>
      <c r="BC18" s="1">
        <f t="shared" si="29"/>
        <v>0</v>
      </c>
      <c r="BD18" s="1">
        <f t="shared" si="9"/>
        <v>0</v>
      </c>
      <c r="BE18" s="1">
        <f t="shared" si="10"/>
        <v>0</v>
      </c>
      <c r="BF18" s="1">
        <f t="shared" si="11"/>
        <v>0</v>
      </c>
      <c r="BG18" s="207">
        <f>IF(AND(C18="Skema 1",B18="ma"),Skemaoplysninger!$E$46,"")</f>
        <v>0.1875</v>
      </c>
      <c r="BH18" s="207" t="str">
        <f>IF(AND(C18="Skema 1",B18="ti"),Skemaoplysninger!$G$46,"")</f>
        <v/>
      </c>
      <c r="BI18" s="207" t="str">
        <f>IF(AND(C18="Skema 1",B18="on"),Skemaoplysninger!$I$46,"")</f>
        <v/>
      </c>
      <c r="BJ18" s="207" t="str">
        <f>IF(AND(C18="Skema 1",B18="to"),Skemaoplysninger!$K$46,"")</f>
        <v/>
      </c>
      <c r="BK18" s="207" t="str">
        <f>IF(AND(C18="Skema 1",B18="fr"),Skemaoplysninger!$M$46,"")</f>
        <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4.5</v>
      </c>
      <c r="CB18" s="1">
        <f t="shared" si="12"/>
        <v>0</v>
      </c>
      <c r="CC18" s="1">
        <f t="shared" si="13"/>
        <v>0</v>
      </c>
      <c r="CD18" s="207">
        <f>IF(AND(C18="Skema 1",B18="ma"),Skemaoplysninger!$E$47,"")</f>
        <v>7.9861111111111105E-2</v>
      </c>
      <c r="CE18" s="207" t="str">
        <f>IF(AND(C18="Skema 1",B18="ti"),Skemaoplysninger!$G$47,"")</f>
        <v/>
      </c>
      <c r="CF18" s="207" t="str">
        <f>IF(AND(C18="Skema 1",B18="on"),Skemaoplysninger!$I$47,"")</f>
        <v/>
      </c>
      <c r="CG18" s="207" t="str">
        <f>IF(AND(C18="Skema 1",B18="to"),Skemaoplysninger!$K$47,"")</f>
        <v/>
      </c>
      <c r="CH18" s="207" t="str">
        <f>IF(AND(C18="Skema 1",B18="fr"),Skemaoplysninger!$M$47,"")</f>
        <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1.9166666666666665</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4"/>
        <v/>
      </c>
      <c r="DL18" t="str">
        <f t="shared" si="14"/>
        <v/>
      </c>
      <c r="DM18" t="str">
        <f t="shared" si="14"/>
        <v/>
      </c>
      <c r="DN18" t="str">
        <f t="shared" si="35"/>
        <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5"/>
        <v>0</v>
      </c>
      <c r="FZ18" s="634">
        <f t="shared" si="16"/>
        <v>0</v>
      </c>
      <c r="GA18">
        <f t="shared" si="17"/>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8"/>
        <v>0</v>
      </c>
      <c r="GL18">
        <f t="shared" si="19"/>
        <v>0</v>
      </c>
      <c r="GM18">
        <f t="shared" si="20"/>
        <v>0</v>
      </c>
      <c r="GN18" s="713">
        <f t="shared" si="21"/>
        <v>0</v>
      </c>
      <c r="GO18">
        <f t="shared" si="37"/>
        <v>0</v>
      </c>
      <c r="GP18" s="647">
        <f t="shared" si="38"/>
        <v>0</v>
      </c>
    </row>
    <row r="19" spans="1:198" ht="16" customHeight="1">
      <c r="A19" s="239">
        <f t="shared" si="22"/>
        <v>6</v>
      </c>
      <c r="B19" s="125" t="str">
        <f t="shared" si="0"/>
        <v>ti</v>
      </c>
      <c r="C19" s="126" t="s">
        <v>203</v>
      </c>
      <c r="D19" s="127" t="str">
        <f t="shared" si="1"/>
        <v/>
      </c>
      <c r="E19" s="1060"/>
      <c r="F19" s="1061"/>
      <c r="G19" s="1062"/>
      <c r="H19" s="292"/>
      <c r="I19" s="745"/>
      <c r="J19" s="746" t="str">
        <f t="shared" si="2"/>
        <v/>
      </c>
      <c r="K19" s="368"/>
      <c r="L19" s="368"/>
      <c r="M19" s="368"/>
      <c r="N19" s="311">
        <f t="shared" si="23"/>
        <v>8.11</v>
      </c>
      <c r="O19" s="311">
        <f t="shared" si="24"/>
        <v>4.5</v>
      </c>
      <c r="P19" s="311">
        <f>IF(Stamoplysninger!$H$34="JA",April!DG19,CX19)</f>
        <v>1.9166666666666665</v>
      </c>
      <c r="Q19" s="311">
        <f t="shared" si="25"/>
        <v>1.6933333333333329</v>
      </c>
      <c r="R19" s="751"/>
      <c r="S19" s="315"/>
      <c r="T19" s="316"/>
      <c r="U19" s="316"/>
      <c r="V19" s="422"/>
      <c r="W19" s="422"/>
      <c r="X19" s="621"/>
      <c r="Y19">
        <f t="shared" si="26"/>
        <v>0</v>
      </c>
      <c r="Z19" s="424">
        <f t="shared" si="27"/>
        <v>0</v>
      </c>
      <c r="AA19" s="1">
        <f t="shared" si="3"/>
        <v>0</v>
      </c>
      <c r="AB19" s="1">
        <f t="shared" si="4"/>
        <v>0</v>
      </c>
      <c r="AC19" s="1">
        <f t="shared" si="5"/>
        <v>0</v>
      </c>
      <c r="AD19" s="1">
        <f t="shared" si="6"/>
        <v>0</v>
      </c>
      <c r="AE19" s="1">
        <f t="shared" si="7"/>
        <v>0</v>
      </c>
      <c r="AF19" s="1">
        <f>IF(C19="Orlov",7.4*Stamoplysninger!$E$20,0)</f>
        <v>0</v>
      </c>
      <c r="AG19" t="str">
        <f>IF(AND(C19="Skema 1",B19="ma"),Arbejdstidsoversigt!$E$77,"")</f>
        <v/>
      </c>
      <c r="AH19">
        <f>IF(AND(C19="Skema 1",B19="ti"),Arbejdstidsoversigt!$E$78,"")</f>
        <v>8.11</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8.11</v>
      </c>
      <c r="BB19" s="224">
        <f t="shared" si="8"/>
        <v>194.64</v>
      </c>
      <c r="BC19" s="1">
        <f t="shared" si="29"/>
        <v>0</v>
      </c>
      <c r="BD19" s="1">
        <f t="shared" si="9"/>
        <v>0</v>
      </c>
      <c r="BE19" s="1">
        <f t="shared" si="10"/>
        <v>0</v>
      </c>
      <c r="BF19" s="1">
        <f t="shared" si="11"/>
        <v>0</v>
      </c>
      <c r="BG19" s="207" t="str">
        <f>IF(AND(C19="Skema 1",B19="ma"),Skemaoplysninger!$E$46,"")</f>
        <v/>
      </c>
      <c r="BH19" s="207">
        <f>IF(AND(C19="Skema 1",B19="ti"),Skemaoplysninger!$G$46,"")</f>
        <v>0.1875</v>
      </c>
      <c r="BI19" s="207" t="str">
        <f>IF(AND(C19="Skema 1",B19="on"),Skemaoplysninger!$I$46,"")</f>
        <v/>
      </c>
      <c r="BJ19" s="207" t="str">
        <f>IF(AND(C19="Skema 1",B19="to"),Skemaoplysninger!$K$46,"")</f>
        <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4.5</v>
      </c>
      <c r="CB19" s="1">
        <f t="shared" si="12"/>
        <v>0</v>
      </c>
      <c r="CC19" s="1">
        <f t="shared" si="13"/>
        <v>0</v>
      </c>
      <c r="CD19" s="207" t="str">
        <f>IF(AND(C19="Skema 1",B19="ma"),Skemaoplysninger!$E$47,"")</f>
        <v/>
      </c>
      <c r="CE19" s="207">
        <f>IF(AND(C19="Skema 1",B19="ti"),Skemaoplysninger!$G$47,"")</f>
        <v>7.9861111111111105E-2</v>
      </c>
      <c r="CF19" s="207" t="str">
        <f>IF(AND(C19="Skema 1",B19="on"),Skemaoplysninger!$I$47,"")</f>
        <v/>
      </c>
      <c r="CG19" s="207" t="str">
        <f>IF(AND(C19="Skema 1",B19="to"),Skemaoplysninger!$K$47,"")</f>
        <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1.9166666666666665</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4"/>
        <v/>
      </c>
      <c r="DL19" t="str">
        <f t="shared" si="14"/>
        <v/>
      </c>
      <c r="DM19" t="str">
        <f t="shared" si="14"/>
        <v/>
      </c>
      <c r="DN19" t="str">
        <f t="shared" si="35"/>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5"/>
        <v>0</v>
      </c>
      <c r="FZ19" s="634">
        <f t="shared" si="16"/>
        <v>0</v>
      </c>
      <c r="GA19">
        <f t="shared" si="17"/>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8"/>
        <v>0</v>
      </c>
      <c r="GL19">
        <f t="shared" si="19"/>
        <v>0</v>
      </c>
      <c r="GM19">
        <f t="shared" si="20"/>
        <v>0</v>
      </c>
      <c r="GN19" s="713">
        <f t="shared" si="21"/>
        <v>0</v>
      </c>
      <c r="GO19">
        <f t="shared" si="37"/>
        <v>0</v>
      </c>
      <c r="GP19" s="647">
        <f t="shared" si="38"/>
        <v>0</v>
      </c>
    </row>
    <row r="20" spans="1:198" ht="16" customHeight="1">
      <c r="A20" s="239">
        <f t="shared" si="22"/>
        <v>7</v>
      </c>
      <c r="B20" s="125" t="str">
        <f t="shared" si="0"/>
        <v>on</v>
      </c>
      <c r="C20" s="126" t="s">
        <v>203</v>
      </c>
      <c r="D20" s="127" t="str">
        <f t="shared" si="1"/>
        <v/>
      </c>
      <c r="E20" s="1060"/>
      <c r="F20" s="1061"/>
      <c r="G20" s="1062"/>
      <c r="H20" s="292"/>
      <c r="I20" s="745"/>
      <c r="J20" s="746" t="str">
        <f t="shared" si="2"/>
        <v/>
      </c>
      <c r="K20" s="368"/>
      <c r="L20" s="368"/>
      <c r="M20" s="368"/>
      <c r="N20" s="311">
        <f t="shared" si="23"/>
        <v>8.11</v>
      </c>
      <c r="O20" s="311">
        <f t="shared" si="24"/>
        <v>2.75</v>
      </c>
      <c r="P20" s="311">
        <f>IF(Stamoplysninger!$H$34="JA",April!DG20,CX20)</f>
        <v>1.25</v>
      </c>
      <c r="Q20" s="311">
        <f t="shared" si="25"/>
        <v>4.1099999999999994</v>
      </c>
      <c r="R20" s="751"/>
      <c r="S20" s="315"/>
      <c r="T20" s="316"/>
      <c r="U20" s="316"/>
      <c r="V20" s="422"/>
      <c r="W20" s="422"/>
      <c r="X20" s="621"/>
      <c r="Y20">
        <f t="shared" si="26"/>
        <v>0</v>
      </c>
      <c r="Z20" s="424">
        <f t="shared" si="27"/>
        <v>0</v>
      </c>
      <c r="AA20" s="1">
        <f t="shared" si="3"/>
        <v>0</v>
      </c>
      <c r="AB20" s="1">
        <f t="shared" si="4"/>
        <v>0</v>
      </c>
      <c r="AC20" s="1">
        <f t="shared" si="5"/>
        <v>0</v>
      </c>
      <c r="AD20" s="1">
        <f t="shared" si="6"/>
        <v>0</v>
      </c>
      <c r="AE20" s="1">
        <f t="shared" si="7"/>
        <v>0</v>
      </c>
      <c r="AF20" s="1">
        <f>IF(C20="Orlov",7.4*Stamoplysninger!$E$20,0)</f>
        <v>0</v>
      </c>
      <c r="AG20" t="str">
        <f>IF(AND(C20="Skema 1",B20="ma"),Arbejdstidsoversigt!$E$77,"")</f>
        <v/>
      </c>
      <c r="AH20" t="str">
        <f>IF(AND(C20="Skema 1",B20="ti"),Arbejdstidsoversigt!$E$78,"")</f>
        <v/>
      </c>
      <c r="AI20">
        <f>IF(AND(C20="Skema 1",B20="on"),Arbejdstidsoversigt!$E$79,"")</f>
        <v>8.11</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8.11</v>
      </c>
      <c r="BB20" s="224">
        <f t="shared" si="8"/>
        <v>194.64</v>
      </c>
      <c r="BC20" s="1">
        <f t="shared" si="29"/>
        <v>0</v>
      </c>
      <c r="BD20" s="1">
        <f t="shared" si="9"/>
        <v>0</v>
      </c>
      <c r="BE20" s="1">
        <f t="shared" si="10"/>
        <v>0</v>
      </c>
      <c r="BF20" s="1">
        <f t="shared" si="11"/>
        <v>0</v>
      </c>
      <c r="BG20" s="207" t="str">
        <f>IF(AND(C20="Skema 1",B20="ma"),Skemaoplysninger!$E$46,"")</f>
        <v/>
      </c>
      <c r="BH20" s="207" t="str">
        <f>IF(AND(C20="Skema 1",B20="ti"),Skemaoplysninger!$G$46,"")</f>
        <v/>
      </c>
      <c r="BI20" s="207">
        <f>IF(AND(C20="Skema 1",B20="on"),Skemaoplysninger!$I$46,"")</f>
        <v>0.11458333333333333</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2.75</v>
      </c>
      <c r="CB20" s="1">
        <f t="shared" si="12"/>
        <v>0</v>
      </c>
      <c r="CC20" s="1">
        <f t="shared" si="13"/>
        <v>0</v>
      </c>
      <c r="CD20" s="207" t="str">
        <f>IF(AND(C20="Skema 1",B20="ma"),Skemaoplysninger!$E$47,"")</f>
        <v/>
      </c>
      <c r="CE20" s="207" t="str">
        <f>IF(AND(C20="Skema 1",B20="ti"),Skemaoplysninger!$G$47,"")</f>
        <v/>
      </c>
      <c r="CF20" s="207">
        <f>IF(AND(C20="Skema 1",B20="on"),Skemaoplysninger!$I$47,"")</f>
        <v>5.2083333333333329E-2</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1.25</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4"/>
        <v/>
      </c>
      <c r="DL20" t="str">
        <f t="shared" si="14"/>
        <v/>
      </c>
      <c r="DM20" t="str">
        <f t="shared" si="14"/>
        <v/>
      </c>
      <c r="DN20" t="str">
        <f t="shared" si="35"/>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5"/>
        <v>0</v>
      </c>
      <c r="FZ20" s="634">
        <f t="shared" si="16"/>
        <v>0</v>
      </c>
      <c r="GA20">
        <f t="shared" si="17"/>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8"/>
        <v>0</v>
      </c>
      <c r="GL20">
        <f t="shared" si="19"/>
        <v>0</v>
      </c>
      <c r="GM20">
        <f t="shared" si="20"/>
        <v>0</v>
      </c>
      <c r="GN20" s="713">
        <f t="shared" si="21"/>
        <v>0</v>
      </c>
      <c r="GO20">
        <f t="shared" si="37"/>
        <v>0</v>
      </c>
      <c r="GP20" s="647">
        <f t="shared" si="38"/>
        <v>0</v>
      </c>
    </row>
    <row r="21" spans="1:198">
      <c r="A21" s="239">
        <f t="shared" si="22"/>
        <v>8</v>
      </c>
      <c r="B21" s="125" t="str">
        <f t="shared" si="0"/>
        <v>to</v>
      </c>
      <c r="C21" s="126" t="s">
        <v>203</v>
      </c>
      <c r="D21" s="127" t="str">
        <f t="shared" si="1"/>
        <v/>
      </c>
      <c r="E21" s="1060"/>
      <c r="F21" s="1061"/>
      <c r="G21" s="1062"/>
      <c r="H21" s="292"/>
      <c r="I21" s="745"/>
      <c r="J21" s="746" t="str">
        <f t="shared" si="2"/>
        <v/>
      </c>
      <c r="K21" s="368"/>
      <c r="L21" s="368"/>
      <c r="M21" s="368"/>
      <c r="N21" s="311">
        <f t="shared" si="23"/>
        <v>9</v>
      </c>
      <c r="O21" s="311">
        <f t="shared" si="24"/>
        <v>3.75</v>
      </c>
      <c r="P21" s="311">
        <f>IF(Stamoplysninger!$H$34="JA",April!DG21,CX21)</f>
        <v>1</v>
      </c>
      <c r="Q21" s="311">
        <f t="shared" si="25"/>
        <v>4.25</v>
      </c>
      <c r="R21" s="751"/>
      <c r="S21" s="315"/>
      <c r="T21" s="316"/>
      <c r="U21" s="316"/>
      <c r="V21" s="422"/>
      <c r="W21" s="422"/>
      <c r="X21" s="621"/>
      <c r="Y21">
        <f t="shared" si="26"/>
        <v>0</v>
      </c>
      <c r="Z21" s="424">
        <f t="shared" si="27"/>
        <v>0</v>
      </c>
      <c r="AA21" s="1">
        <f t="shared" si="3"/>
        <v>0</v>
      </c>
      <c r="AB21" s="1">
        <f t="shared" si="4"/>
        <v>0</v>
      </c>
      <c r="AC21" s="1">
        <f t="shared" si="5"/>
        <v>0</v>
      </c>
      <c r="AD21" s="1">
        <f t="shared" si="6"/>
        <v>0</v>
      </c>
      <c r="AE21" s="1">
        <f t="shared" si="7"/>
        <v>0</v>
      </c>
      <c r="AF21" s="1">
        <f>IF(C21="Orlov",7.4*Stamoplysninger!$E$20,0)</f>
        <v>0</v>
      </c>
      <c r="AG21" t="str">
        <f>IF(AND(C21="Skema 1",B21="ma"),Arbejdstidsoversigt!$E$77,"")</f>
        <v/>
      </c>
      <c r="AH21" t="str">
        <f>IF(AND(C21="Skema 1",B21="ti"),Arbejdstidsoversigt!$E$78,"")</f>
        <v/>
      </c>
      <c r="AI21" t="str">
        <f>IF(AND(C21="Skema 1",B21="on"),Arbejdstidsoversigt!$E$79,"")</f>
        <v/>
      </c>
      <c r="AJ21">
        <f>IF(AND(C21="Skema 1",B21="to"),Arbejdstidsoversigt!$E$80,"")</f>
        <v>9</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9</v>
      </c>
      <c r="BB21" s="224">
        <f t="shared" si="8"/>
        <v>216</v>
      </c>
      <c r="BC21" s="1">
        <f t="shared" si="29"/>
        <v>0</v>
      </c>
      <c r="BD21" s="1">
        <f t="shared" si="9"/>
        <v>0</v>
      </c>
      <c r="BE21" s="1">
        <f t="shared" si="10"/>
        <v>0</v>
      </c>
      <c r="BF21" s="1">
        <f t="shared" si="11"/>
        <v>0</v>
      </c>
      <c r="BG21" s="207" t="str">
        <f>IF(AND(C21="Skema 1",B21="ma"),Skemaoplysninger!$E$46,"")</f>
        <v/>
      </c>
      <c r="BH21" s="207" t="str">
        <f>IF(AND(C21="Skema 1",B21="ti"),Skemaoplysninger!$G$46,"")</f>
        <v/>
      </c>
      <c r="BI21" s="207" t="str">
        <f>IF(AND(C21="Skema 1",B21="on"),Skemaoplysninger!$I$46,"")</f>
        <v/>
      </c>
      <c r="BJ21" s="207">
        <f>IF(AND(C21="Skema 1",B21="to"),Skemaoplysninger!$K$46,"")</f>
        <v>0.15625</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3.75</v>
      </c>
      <c r="CB21" s="1">
        <f t="shared" si="12"/>
        <v>0</v>
      </c>
      <c r="CC21" s="1">
        <f t="shared" si="13"/>
        <v>0</v>
      </c>
      <c r="CD21" s="207" t="str">
        <f>IF(AND(C21="Skema 1",B21="ma"),Skemaoplysninger!$E$47,"")</f>
        <v/>
      </c>
      <c r="CE21" s="207" t="str">
        <f>IF(AND(C21="Skema 1",B21="ti"),Skemaoplysninger!$G$47,"")</f>
        <v/>
      </c>
      <c r="CF21" s="207" t="str">
        <f>IF(AND(C21="Skema 1",B21="on"),Skemaoplysninger!$I$47,"")</f>
        <v/>
      </c>
      <c r="CG21" s="207">
        <f>IF(AND(C21="Skema 1",B21="to"),Skemaoplysninger!$K$47,"")</f>
        <v>4.1666666666666664E-2</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1</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4"/>
        <v/>
      </c>
      <c r="DL21" t="str">
        <f t="shared" si="14"/>
        <v/>
      </c>
      <c r="DM21" t="str">
        <f t="shared" si="14"/>
        <v/>
      </c>
      <c r="DN21" t="str">
        <f t="shared" si="35"/>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5"/>
        <v>0</v>
      </c>
      <c r="FZ21" s="634">
        <f t="shared" si="16"/>
        <v>0</v>
      </c>
      <c r="GA21">
        <f t="shared" si="17"/>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8"/>
        <v>0</v>
      </c>
      <c r="GL21">
        <f t="shared" si="19"/>
        <v>0</v>
      </c>
      <c r="GM21">
        <f t="shared" si="20"/>
        <v>0</v>
      </c>
      <c r="GN21" s="713">
        <f t="shared" si="21"/>
        <v>0</v>
      </c>
      <c r="GO21">
        <f t="shared" si="37"/>
        <v>0</v>
      </c>
      <c r="GP21" s="647">
        <f t="shared" si="38"/>
        <v>0</v>
      </c>
    </row>
    <row r="22" spans="1:198">
      <c r="A22" s="239">
        <f t="shared" si="22"/>
        <v>9</v>
      </c>
      <c r="B22" s="125" t="str">
        <f t="shared" si="0"/>
        <v>fr</v>
      </c>
      <c r="C22" s="126" t="s">
        <v>203</v>
      </c>
      <c r="D22" s="127" t="str">
        <f t="shared" si="1"/>
        <v/>
      </c>
      <c r="E22" s="1060"/>
      <c r="F22" s="1061"/>
      <c r="G22" s="1062"/>
      <c r="H22" s="292"/>
      <c r="I22" s="745"/>
      <c r="J22" s="746" t="str">
        <f t="shared" si="2"/>
        <v/>
      </c>
      <c r="K22" s="368"/>
      <c r="L22" s="368"/>
      <c r="M22" s="368"/>
      <c r="N22" s="311">
        <f t="shared" si="23"/>
        <v>7.1</v>
      </c>
      <c r="O22" s="311">
        <f t="shared" si="24"/>
        <v>3.75</v>
      </c>
      <c r="P22" s="311">
        <f>IF(Stamoplysninger!$H$34="JA",April!DG22,CX22)</f>
        <v>1</v>
      </c>
      <c r="Q22" s="311">
        <f t="shared" si="25"/>
        <v>2.3499999999999996</v>
      </c>
      <c r="R22" s="751"/>
      <c r="S22" s="315"/>
      <c r="T22" s="316"/>
      <c r="U22" s="316"/>
      <c r="V22" s="422"/>
      <c r="W22" s="422"/>
      <c r="X22" s="621"/>
      <c r="Y22">
        <f t="shared" si="26"/>
        <v>0</v>
      </c>
      <c r="Z22" s="424">
        <f t="shared" si="27"/>
        <v>0</v>
      </c>
      <c r="AA22" s="1">
        <f t="shared" si="3"/>
        <v>0</v>
      </c>
      <c r="AB22" s="1">
        <f t="shared" si="4"/>
        <v>0</v>
      </c>
      <c r="AC22" s="1">
        <f t="shared" si="5"/>
        <v>0</v>
      </c>
      <c r="AD22" s="1">
        <f t="shared" si="6"/>
        <v>0</v>
      </c>
      <c r="AE22" s="1">
        <f t="shared" si="7"/>
        <v>0</v>
      </c>
      <c r="AF22" s="1">
        <f>IF(C22="Orlov",7.4*Stamoplysninger!$E$20,0)</f>
        <v>0</v>
      </c>
      <c r="AG22" t="str">
        <f>IF(AND(C22="Skema 1",B22="ma"),Arbejdstidsoversigt!$E$77,"")</f>
        <v/>
      </c>
      <c r="AH22" t="str">
        <f>IF(AND(C22="Skema 1",B22="ti"),Arbejdstidsoversigt!$E$78,"")</f>
        <v/>
      </c>
      <c r="AI22" t="str">
        <f>IF(AND(C22="Skema 1",B22="on"),Arbejdstidsoversigt!$E$79,"")</f>
        <v/>
      </c>
      <c r="AJ22" t="str">
        <f>IF(AND(C22="Skema 1",B22="to"),Arbejdstidsoversigt!$E$80,"")</f>
        <v/>
      </c>
      <c r="AK22">
        <f>IF(AND(C22="Skema 1",B22="fr"),Arbejdstidsoversigt!$E$81,"")</f>
        <v>7.1</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7.1</v>
      </c>
      <c r="BB22" s="224">
        <f t="shared" si="8"/>
        <v>170.39999999999998</v>
      </c>
      <c r="BC22" s="1">
        <f t="shared" si="29"/>
        <v>0</v>
      </c>
      <c r="BD22" s="1">
        <f t="shared" si="9"/>
        <v>0</v>
      </c>
      <c r="BE22" s="1">
        <f t="shared" si="10"/>
        <v>0</v>
      </c>
      <c r="BF22" s="1">
        <f t="shared" si="11"/>
        <v>0</v>
      </c>
      <c r="BG22" s="207" t="str">
        <f>IF(AND(C22="Skema 1",B22="ma"),Skemaoplysninger!$E$46,"")</f>
        <v/>
      </c>
      <c r="BH22" s="207" t="str">
        <f>IF(AND(C22="Skema 1",B22="ti"),Skemaoplysninger!$G$46,"")</f>
        <v/>
      </c>
      <c r="BI22" s="207" t="str">
        <f>IF(AND(C22="Skema 1",B22="on"),Skemaoplysninger!$I$46,"")</f>
        <v/>
      </c>
      <c r="BJ22" s="207" t="str">
        <f>IF(AND(C22="Skema 1",B22="to"),Skemaoplysninger!$K$46,"")</f>
        <v/>
      </c>
      <c r="BK22" s="207">
        <f>IF(AND(C22="Skema 1",B22="fr"),Skemaoplysninger!$M$46,"")</f>
        <v>0.15625</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3.75</v>
      </c>
      <c r="CB22" s="1">
        <f t="shared" si="12"/>
        <v>0</v>
      </c>
      <c r="CC22" s="1">
        <f t="shared" si="13"/>
        <v>0</v>
      </c>
      <c r="CD22" s="207" t="str">
        <f>IF(AND(C22="Skema 1",B22="ma"),Skemaoplysninger!$E$47,"")</f>
        <v/>
      </c>
      <c r="CE22" s="207" t="str">
        <f>IF(AND(C22="Skema 1",B22="ti"),Skemaoplysninger!$G$47,"")</f>
        <v/>
      </c>
      <c r="CF22" s="207" t="str">
        <f>IF(AND(C22="Skema 1",B22="on"),Skemaoplysninger!$I$47,"")</f>
        <v/>
      </c>
      <c r="CG22" s="207" t="str">
        <f>IF(AND(C22="Skema 1",B22="to"),Skemaoplysninger!$K$47,"")</f>
        <v/>
      </c>
      <c r="CH22" s="207">
        <f>IF(AND(C22="Skema 1",B22="fr"),Skemaoplysninger!$M$47,"")</f>
        <v>4.1666666666666664E-2</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1</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4"/>
        <v/>
      </c>
      <c r="DL22" t="str">
        <f t="shared" si="14"/>
        <v/>
      </c>
      <c r="DM22" t="str">
        <f t="shared" si="14"/>
        <v/>
      </c>
      <c r="DN22" t="str">
        <f t="shared" si="35"/>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5"/>
        <v>0</v>
      </c>
      <c r="FZ22" s="634">
        <f t="shared" si="16"/>
        <v>0</v>
      </c>
      <c r="GA22">
        <f t="shared" si="17"/>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8"/>
        <v>0</v>
      </c>
      <c r="GL22">
        <f t="shared" si="19"/>
        <v>0</v>
      </c>
      <c r="GM22">
        <f t="shared" si="20"/>
        <v>0</v>
      </c>
      <c r="GN22" s="713">
        <f t="shared" si="21"/>
        <v>0</v>
      </c>
      <c r="GO22">
        <f t="shared" si="37"/>
        <v>0</v>
      </c>
      <c r="GP22" s="647">
        <f t="shared" si="38"/>
        <v>0</v>
      </c>
    </row>
    <row r="23" spans="1:198">
      <c r="A23" s="239">
        <f t="shared" si="22"/>
        <v>10</v>
      </c>
      <c r="B23" s="125" t="str">
        <f t="shared" si="0"/>
        <v>lø</v>
      </c>
      <c r="C23" s="126" t="s">
        <v>118</v>
      </c>
      <c r="D23" s="127" t="str">
        <f t="shared" si="1"/>
        <v/>
      </c>
      <c r="E23" s="1060"/>
      <c r="F23" s="1061"/>
      <c r="G23" s="1062"/>
      <c r="H23" s="292"/>
      <c r="I23" s="746" t="str">
        <f>IF(GO23=1,"X","")</f>
        <v/>
      </c>
      <c r="J23" s="746" t="str">
        <f t="shared" si="2"/>
        <v/>
      </c>
      <c r="K23" s="368"/>
      <c r="L23" s="368"/>
      <c r="M23" s="368"/>
      <c r="N23" s="311">
        <f t="shared" si="23"/>
        <v>0</v>
      </c>
      <c r="O23" s="311">
        <f t="shared" si="24"/>
        <v>0</v>
      </c>
      <c r="P23" s="311">
        <f>IF(Stamoplysninger!$H$34="JA",April!DG23,CX23)</f>
        <v>0</v>
      </c>
      <c r="Q23" s="311">
        <f t="shared" si="25"/>
        <v>0</v>
      </c>
      <c r="R23" s="751"/>
      <c r="S23" s="315"/>
      <c r="T23" s="316"/>
      <c r="U23" s="316"/>
      <c r="V23" s="422"/>
      <c r="W23" s="422"/>
      <c r="X23" s="621"/>
      <c r="Y23">
        <f t="shared" si="26"/>
        <v>0</v>
      </c>
      <c r="Z23" s="424">
        <f t="shared" si="27"/>
        <v>0</v>
      </c>
      <c r="AA23" s="1">
        <f t="shared" si="3"/>
        <v>0</v>
      </c>
      <c r="AB23" s="1">
        <f t="shared" si="4"/>
        <v>0</v>
      </c>
      <c r="AC23" s="1">
        <f t="shared" si="5"/>
        <v>0</v>
      </c>
      <c r="AD23" s="1">
        <f t="shared" si="6"/>
        <v>0</v>
      </c>
      <c r="AE23" s="1">
        <f t="shared" si="7"/>
        <v>0</v>
      </c>
      <c r="AF23" s="1">
        <f>IF(C23="Orlov",7.4*Stamoplysninger!$E$20,0)</f>
        <v>0</v>
      </c>
      <c r="AG23" t="str">
        <f>IF(AND(C23="Skema 1",B23="ma"),Arbejdstidsoversigt!$E$77,"")</f>
        <v/>
      </c>
      <c r="AH23" t="str">
        <f>IF(AND(C23="Skema 1",B23="ti"),Arbejdstidsoversigt!$E$78,"")</f>
        <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8"/>
        <v>0</v>
      </c>
      <c r="BC23" s="1">
        <f t="shared" si="29"/>
        <v>0</v>
      </c>
      <c r="BD23" s="1">
        <f t="shared" si="9"/>
        <v>0</v>
      </c>
      <c r="BE23" s="1">
        <f t="shared" si="10"/>
        <v>0</v>
      </c>
      <c r="BF23" s="1">
        <f t="shared" si="11"/>
        <v>0</v>
      </c>
      <c r="BG23" s="207" t="str">
        <f>IF(AND(C23="Skema 1",B23="ma"),Skemaoplysninger!$E$46,"")</f>
        <v/>
      </c>
      <c r="BH23" s="207" t="str">
        <f>IF(AND(C23="Skema 1",B23="ti"),Skemaoplysninger!$G$46,"")</f>
        <v/>
      </c>
      <c r="BI23" s="207" t="str">
        <f>IF(AND(C23="Skema 1",B23="on"),Skemaoplysninger!$I$46,"")</f>
        <v/>
      </c>
      <c r="BJ23" s="207" t="str">
        <f>IF(AND(C23="Skema 1",B23="to"),Skemaoplysninger!$K$46,"")</f>
        <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0</v>
      </c>
      <c r="CB23" s="1">
        <f t="shared" si="12"/>
        <v>0</v>
      </c>
      <c r="CC23" s="1">
        <f t="shared" si="13"/>
        <v>0</v>
      </c>
      <c r="CD23" s="207" t="str">
        <f>IF(AND(C23="Skema 1",B23="ma"),Skemaoplysninger!$E$47,"")</f>
        <v/>
      </c>
      <c r="CE23" s="207" t="str">
        <f>IF(AND(C23="Skema 1",B23="ti"),Skemaoplysninger!$G$47,"")</f>
        <v/>
      </c>
      <c r="CF23" s="207" t="str">
        <f>IF(AND(C23="Skema 1",B23="on"),Skemaoplysninger!$I$47,"")</f>
        <v/>
      </c>
      <c r="CG23" s="207" t="str">
        <f>IF(AND(C23="Skema 1",B23="to"),Skemaoplysninger!$K$47,"")</f>
        <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4"/>
        <v/>
      </c>
      <c r="DL23" t="str">
        <f t="shared" si="14"/>
        <v/>
      </c>
      <c r="DM23" t="str">
        <f t="shared" si="14"/>
        <v/>
      </c>
      <c r="DN23" t="str">
        <f t="shared" si="35"/>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5"/>
        <v>0</v>
      </c>
      <c r="FZ23" s="634">
        <f t="shared" si="16"/>
        <v>0</v>
      </c>
      <c r="GA23">
        <f t="shared" si="17"/>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8"/>
        <v>0</v>
      </c>
      <c r="GL23">
        <f t="shared" si="19"/>
        <v>0</v>
      </c>
      <c r="GM23">
        <f t="shared" si="20"/>
        <v>0</v>
      </c>
      <c r="GN23" s="713">
        <f t="shared" si="21"/>
        <v>0</v>
      </c>
      <c r="GO23">
        <f t="shared" si="37"/>
        <v>0</v>
      </c>
      <c r="GP23" s="647">
        <f t="shared" si="38"/>
        <v>0</v>
      </c>
    </row>
    <row r="24" spans="1:198">
      <c r="A24" s="239">
        <f t="shared" si="22"/>
        <v>11</v>
      </c>
      <c r="B24" s="125" t="str">
        <f t="shared" si="0"/>
        <v>sø</v>
      </c>
      <c r="C24" s="126" t="s">
        <v>118</v>
      </c>
      <c r="D24" s="127" t="str">
        <f t="shared" si="1"/>
        <v/>
      </c>
      <c r="E24" s="1060"/>
      <c r="F24" s="1061"/>
      <c r="G24" s="1062"/>
      <c r="H24" s="292"/>
      <c r="I24" s="746" t="str">
        <f>IF(GO24=1,"X","")</f>
        <v/>
      </c>
      <c r="J24" s="746" t="str">
        <f t="shared" si="2"/>
        <v/>
      </c>
      <c r="K24" s="368"/>
      <c r="L24" s="368"/>
      <c r="M24" s="368"/>
      <c r="N24" s="311">
        <f t="shared" si="23"/>
        <v>0</v>
      </c>
      <c r="O24" s="311">
        <f t="shared" si="24"/>
        <v>0</v>
      </c>
      <c r="P24" s="311">
        <f>IF(Stamoplysninger!$H$34="JA",April!DG24,CX24)</f>
        <v>0</v>
      </c>
      <c r="Q24" s="311">
        <f t="shared" si="25"/>
        <v>0</v>
      </c>
      <c r="R24" s="751"/>
      <c r="S24" s="315"/>
      <c r="T24" s="316"/>
      <c r="U24" s="316"/>
      <c r="V24" s="422"/>
      <c r="W24" s="422"/>
      <c r="X24" s="621"/>
      <c r="Y24">
        <f t="shared" si="26"/>
        <v>0</v>
      </c>
      <c r="Z24" s="424">
        <f t="shared" si="27"/>
        <v>0</v>
      </c>
      <c r="AA24" s="1">
        <f t="shared" si="3"/>
        <v>0</v>
      </c>
      <c r="AB24" s="1">
        <f t="shared" si="4"/>
        <v>0</v>
      </c>
      <c r="AC24" s="1">
        <f t="shared" si="5"/>
        <v>0</v>
      </c>
      <c r="AD24" s="1">
        <f t="shared" si="6"/>
        <v>0</v>
      </c>
      <c r="AE24" s="1">
        <f t="shared" si="7"/>
        <v>0</v>
      </c>
      <c r="AF24" s="1">
        <f>IF(C24="Orlov",7.4*Stamoplysninger!$E$20,0)</f>
        <v>0</v>
      </c>
      <c r="AG24" t="str">
        <f>IF(AND(C24="Skema 1",B24="ma"),Arbejdstidsoversigt!$E$77,"")</f>
        <v/>
      </c>
      <c r="AH24" t="str">
        <f>IF(AND(C24="Skema 1",B24="ti"),Arbejdstidsoversigt!$E$78,"")</f>
        <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8"/>
        <v>0</v>
      </c>
      <c r="BC24" s="1">
        <f t="shared" si="29"/>
        <v>0</v>
      </c>
      <c r="BD24" s="1">
        <f t="shared" si="9"/>
        <v>0</v>
      </c>
      <c r="BE24" s="1">
        <f t="shared" si="10"/>
        <v>0</v>
      </c>
      <c r="BF24" s="1">
        <f t="shared" si="11"/>
        <v>0</v>
      </c>
      <c r="BG24" s="207" t="str">
        <f>IF(AND(C24="Skema 1",B24="ma"),Skemaoplysninger!$E$46,"")</f>
        <v/>
      </c>
      <c r="BH24" s="207" t="str">
        <f>IF(AND(C24="Skema 1",B24="ti"),Skemaoplysninger!$G$46,"")</f>
        <v/>
      </c>
      <c r="BI24" s="207" t="str">
        <f>IF(AND(C24="Skema 1",B24="on"),Skemaoplysninger!$I$46,"")</f>
        <v/>
      </c>
      <c r="BJ24" s="207" t="str">
        <f>IF(AND(C24="Skema 1",B24="to"),Skemaoplysninger!$K$46,"")</f>
        <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0</v>
      </c>
      <c r="CB24" s="1">
        <f t="shared" si="12"/>
        <v>0</v>
      </c>
      <c r="CC24" s="1">
        <f t="shared" si="13"/>
        <v>0</v>
      </c>
      <c r="CD24" s="207" t="str">
        <f>IF(AND(C24="Skema 1",B24="ma"),Skemaoplysninger!$E$47,"")</f>
        <v/>
      </c>
      <c r="CE24" s="207" t="str">
        <f>IF(AND(C24="Skema 1",B24="ti"),Skemaoplysninger!$G$47,"")</f>
        <v/>
      </c>
      <c r="CF24" s="207" t="str">
        <f>IF(AND(C24="Skema 1",B24="on"),Skemaoplysninger!$I$47,"")</f>
        <v/>
      </c>
      <c r="CG24" s="207" t="str">
        <f>IF(AND(C24="Skema 1",B24="to"),Skemaoplysninger!$K$47,"")</f>
        <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4"/>
        <v/>
      </c>
      <c r="DL24" t="str">
        <f t="shared" si="14"/>
        <v/>
      </c>
      <c r="DM24" t="str">
        <f t="shared" si="14"/>
        <v/>
      </c>
      <c r="DN24" t="str">
        <f t="shared" si="35"/>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5"/>
        <v>0</v>
      </c>
      <c r="FZ24" s="634">
        <f t="shared" si="16"/>
        <v>0</v>
      </c>
      <c r="GA24">
        <f t="shared" si="17"/>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8"/>
        <v>0</v>
      </c>
      <c r="GL24">
        <f t="shared" si="19"/>
        <v>0</v>
      </c>
      <c r="GM24">
        <f t="shared" si="20"/>
        <v>0</v>
      </c>
      <c r="GN24" s="713">
        <f t="shared" si="21"/>
        <v>0</v>
      </c>
      <c r="GO24">
        <f t="shared" si="37"/>
        <v>0</v>
      </c>
      <c r="GP24" s="647">
        <f t="shared" si="38"/>
        <v>0</v>
      </c>
    </row>
    <row r="25" spans="1:198">
      <c r="A25" s="239">
        <f>IF(ISNUMBER(A24),A24+1,1)</f>
        <v>12</v>
      </c>
      <c r="B25" s="125" t="str">
        <f t="shared" si="0"/>
        <v>ma</v>
      </c>
      <c r="C25" s="126" t="s">
        <v>208</v>
      </c>
      <c r="D25" s="127">
        <f t="shared" si="1"/>
        <v>15.428571428571429</v>
      </c>
      <c r="E25" s="1060" t="s">
        <v>764</v>
      </c>
      <c r="F25" s="1061"/>
      <c r="G25" s="1062"/>
      <c r="H25" s="292"/>
      <c r="I25" s="745"/>
      <c r="J25" s="746" t="str">
        <f t="shared" si="2"/>
        <v/>
      </c>
      <c r="K25" s="368">
        <v>6</v>
      </c>
      <c r="L25" s="368">
        <v>3.75</v>
      </c>
      <c r="M25" s="368">
        <v>1</v>
      </c>
      <c r="N25" s="311">
        <f t="shared" si="23"/>
        <v>6</v>
      </c>
      <c r="O25" s="311">
        <f t="shared" si="24"/>
        <v>3.75</v>
      </c>
      <c r="P25" s="311">
        <f>IF(Stamoplysninger!$H$34="JA",April!DG25,CX25)</f>
        <v>1</v>
      </c>
      <c r="Q25" s="311">
        <f t="shared" si="25"/>
        <v>1.25</v>
      </c>
      <c r="R25" s="751"/>
      <c r="S25" s="315"/>
      <c r="T25" s="316"/>
      <c r="U25" s="316"/>
      <c r="V25" s="422"/>
      <c r="W25" s="422"/>
      <c r="X25" s="621"/>
      <c r="Y25">
        <f t="shared" si="26"/>
        <v>0</v>
      </c>
      <c r="Z25" s="424">
        <f t="shared" si="27"/>
        <v>0</v>
      </c>
      <c r="AA25" s="1">
        <f t="shared" si="3"/>
        <v>6</v>
      </c>
      <c r="AB25" s="1">
        <f t="shared" si="4"/>
        <v>0</v>
      </c>
      <c r="AC25" s="1">
        <f t="shared" si="5"/>
        <v>0</v>
      </c>
      <c r="AD25" s="1">
        <f t="shared" si="6"/>
        <v>0</v>
      </c>
      <c r="AE25" s="1">
        <f t="shared" si="7"/>
        <v>0</v>
      </c>
      <c r="AF25" s="1">
        <f>IF(C25="Orlov",7.4*Stamoplysninger!$E$20,0)</f>
        <v>0</v>
      </c>
      <c r="AG25" t="str">
        <f>IF(AND(C25="Skema 1",B25="ma"),Arbejdstidsoversigt!$E$77,"")</f>
        <v/>
      </c>
      <c r="AH25" t="str">
        <f>IF(AND(C25="Skema 1",B25="ti"),Arbejdstidsoversigt!$E$78,"")</f>
        <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6</v>
      </c>
      <c r="BB25" s="224">
        <f t="shared" si="8"/>
        <v>0</v>
      </c>
      <c r="BC25" s="1">
        <f t="shared" si="29"/>
        <v>0</v>
      </c>
      <c r="BD25" s="1">
        <f t="shared" si="9"/>
        <v>0</v>
      </c>
      <c r="BE25" s="1">
        <f t="shared" si="10"/>
        <v>0</v>
      </c>
      <c r="BF25" s="1">
        <f t="shared" si="11"/>
        <v>3.75</v>
      </c>
      <c r="BG25" s="207" t="str">
        <f>IF(AND(C25="Skema 1",B25="ma"),Skemaoplysninger!$E$46,"")</f>
        <v/>
      </c>
      <c r="BH25" s="207" t="str">
        <f>IF(AND(C25="Skema 1",B25="ti"),Skemaoplysninger!$G$46,"")</f>
        <v/>
      </c>
      <c r="BI25" s="207" t="str">
        <f>IF(AND(C25="Skema 1",B25="on"),Skemaoplysninger!$I$46,"")</f>
        <v/>
      </c>
      <c r="BJ25" s="207" t="str">
        <f>IF(AND(C25="Skema 1",B25="to"),Skemaoplysninger!$K$46,"")</f>
        <v/>
      </c>
      <c r="BK25" s="207" t="str">
        <f>IF(AND(C25="Skema 1",B25="fr"),Skemaoplysninger!$M$46,"")</f>
        <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3.75</v>
      </c>
      <c r="CB25" s="1">
        <f t="shared" si="12"/>
        <v>0</v>
      </c>
      <c r="CC25" s="1">
        <f t="shared" si="13"/>
        <v>1</v>
      </c>
      <c r="CD25" s="207" t="str">
        <f>IF(AND(C25="Skema 1",B25="ma"),Skemaoplysninger!$E$47,"")</f>
        <v/>
      </c>
      <c r="CE25" s="207" t="str">
        <f>IF(AND(C25="Skema 1",B25="ti"),Skemaoplysninger!$G$47,"")</f>
        <v/>
      </c>
      <c r="CF25" s="207" t="str">
        <f>IF(AND(C25="Skema 1",B25="on"),Skemaoplysninger!$I$47,"")</f>
        <v/>
      </c>
      <c r="CG25" s="207" t="str">
        <f>IF(AND(C25="Skema 1",B25="to"),Skemaoplysninger!$K$47,"")</f>
        <v/>
      </c>
      <c r="CH25" s="207" t="str">
        <f>IF(AND(C25="Skema 1",B25="fr"),Skemaoplysninger!$M$47,"")</f>
        <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1</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t="str">
        <f t="shared" si="33"/>
        <v>Skolen i skoven</v>
      </c>
      <c r="DJ25" t="str">
        <f t="shared" si="34"/>
        <v/>
      </c>
      <c r="DK25" t="str">
        <f t="shared" si="14"/>
        <v/>
      </c>
      <c r="DL25" t="str">
        <f t="shared" si="14"/>
        <v>Skolen i skoven</v>
      </c>
      <c r="DM25" t="str">
        <f t="shared" si="14"/>
        <v/>
      </c>
      <c r="DN25" t="str">
        <f t="shared" si="35"/>
        <v>Skolen i skoven</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5"/>
        <v>0</v>
      </c>
      <c r="FZ25" s="634">
        <f t="shared" si="16"/>
        <v>0</v>
      </c>
      <c r="GA25">
        <f t="shared" si="17"/>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t="str">
        <f t="shared" si="18"/>
        <v>X</v>
      </c>
      <c r="GL25">
        <f t="shared" si="19"/>
        <v>0</v>
      </c>
      <c r="GM25">
        <f t="shared" si="20"/>
        <v>0</v>
      </c>
      <c r="GN25" s="713">
        <f t="shared" si="21"/>
        <v>0</v>
      </c>
      <c r="GO25">
        <f t="shared" si="37"/>
        <v>1</v>
      </c>
      <c r="GP25" s="647">
        <f t="shared" si="38"/>
        <v>0</v>
      </c>
    </row>
    <row r="26" spans="1:198">
      <c r="A26" s="239">
        <f>IF(ISNUMBER(A25),A25+1,1)</f>
        <v>13</v>
      </c>
      <c r="B26" s="125" t="str">
        <f t="shared" si="0"/>
        <v>ti</v>
      </c>
      <c r="C26" s="126" t="s">
        <v>208</v>
      </c>
      <c r="D26" s="127" t="str">
        <f t="shared" si="1"/>
        <v/>
      </c>
      <c r="E26" s="1123" t="s">
        <v>764</v>
      </c>
      <c r="F26" s="1124"/>
      <c r="G26" s="1125"/>
      <c r="H26" s="291"/>
      <c r="I26" s="745"/>
      <c r="J26" s="746" t="str">
        <f t="shared" si="2"/>
        <v/>
      </c>
      <c r="K26" s="368">
        <v>6</v>
      </c>
      <c r="L26" s="368">
        <v>3.75</v>
      </c>
      <c r="M26" s="368">
        <v>1</v>
      </c>
      <c r="N26" s="311">
        <f t="shared" si="23"/>
        <v>6</v>
      </c>
      <c r="O26" s="311">
        <f t="shared" si="24"/>
        <v>3.75</v>
      </c>
      <c r="P26" s="311">
        <f>IF(Stamoplysninger!$H$34="JA",April!DG26,CX26)</f>
        <v>1</v>
      </c>
      <c r="Q26" s="311">
        <f t="shared" si="25"/>
        <v>1.25</v>
      </c>
      <c r="R26" s="751"/>
      <c r="S26" s="315"/>
      <c r="T26" s="316"/>
      <c r="U26" s="316"/>
      <c r="V26" s="422"/>
      <c r="W26" s="422"/>
      <c r="X26" s="621"/>
      <c r="Y26">
        <f t="shared" si="26"/>
        <v>0</v>
      </c>
      <c r="Z26" s="424">
        <f t="shared" si="27"/>
        <v>0</v>
      </c>
      <c r="AA26" s="1">
        <f t="shared" si="3"/>
        <v>6</v>
      </c>
      <c r="AB26" s="1">
        <f t="shared" si="4"/>
        <v>0</v>
      </c>
      <c r="AC26" s="1">
        <f t="shared" si="5"/>
        <v>0</v>
      </c>
      <c r="AD26" s="1">
        <f t="shared" si="6"/>
        <v>0</v>
      </c>
      <c r="AE26" s="1">
        <f t="shared" si="7"/>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6</v>
      </c>
      <c r="BB26" s="224">
        <f t="shared" si="8"/>
        <v>0</v>
      </c>
      <c r="BC26" s="1">
        <f t="shared" si="29"/>
        <v>0</v>
      </c>
      <c r="BD26" s="1">
        <f t="shared" si="9"/>
        <v>0</v>
      </c>
      <c r="BE26" s="1">
        <f t="shared" si="10"/>
        <v>0</v>
      </c>
      <c r="BF26" s="1">
        <f t="shared" si="11"/>
        <v>3.75</v>
      </c>
      <c r="BG26" s="207" t="str">
        <f>IF(AND(C26="Skema 1",B26="ma"),Skemaoplysninger!$E$46,"")</f>
        <v/>
      </c>
      <c r="BH26" s="207" t="str">
        <f>IF(AND(C26="Skema 1",B26="ti"),Skemaoplysninger!$G$46,"")</f>
        <v/>
      </c>
      <c r="BI26" s="207" t="str">
        <f>IF(AND(C26="Skema 1",B26="on"),Skemaoplysninger!$I$46,"")</f>
        <v/>
      </c>
      <c r="BJ26" s="207" t="str">
        <f>IF(AND(C26="Skema 1",B26="to"),Skemaoplysninger!$K$46,"")</f>
        <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3.75</v>
      </c>
      <c r="CB26" s="1">
        <f t="shared" si="12"/>
        <v>0</v>
      </c>
      <c r="CC26" s="1">
        <f t="shared" si="13"/>
        <v>1</v>
      </c>
      <c r="CD26" s="207" t="str">
        <f>IF(AND(C26="Skema 1",B26="ma"),Skemaoplysninger!$E$47,"")</f>
        <v/>
      </c>
      <c r="CE26" s="207" t="str">
        <f>IF(AND(C26="Skema 1",B26="ti"),Skemaoplysninger!$G$47,"")</f>
        <v/>
      </c>
      <c r="CF26" s="207" t="str">
        <f>IF(AND(C26="Skema 1",B26="on"),Skemaoplysninger!$I$47,"")</f>
        <v/>
      </c>
      <c r="CG26" s="207" t="str">
        <f>IF(AND(C26="Skema 1",B26="to"),Skemaoplysninger!$K$47,"")</f>
        <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1</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t="str">
        <f t="shared" si="33"/>
        <v>Skolen i skoven</v>
      </c>
      <c r="DJ26" t="str">
        <f t="shared" si="34"/>
        <v/>
      </c>
      <c r="DK26" t="str">
        <f t="shared" si="14"/>
        <v/>
      </c>
      <c r="DL26" t="str">
        <f t="shared" si="14"/>
        <v>Skolen i skoven</v>
      </c>
      <c r="DM26" t="str">
        <f t="shared" si="14"/>
        <v/>
      </c>
      <c r="DN26" t="str">
        <f t="shared" si="35"/>
        <v>Skolen i skoven</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5"/>
        <v>0</v>
      </c>
      <c r="FZ26" s="634">
        <f t="shared" si="16"/>
        <v>0</v>
      </c>
      <c r="GA26">
        <f t="shared" si="17"/>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t="str">
        <f t="shared" si="18"/>
        <v>X</v>
      </c>
      <c r="GL26">
        <f t="shared" si="19"/>
        <v>0</v>
      </c>
      <c r="GM26">
        <f t="shared" si="20"/>
        <v>0</v>
      </c>
      <c r="GN26" s="713">
        <f t="shared" si="21"/>
        <v>0</v>
      </c>
      <c r="GO26">
        <f t="shared" si="37"/>
        <v>1</v>
      </c>
      <c r="GP26" s="647">
        <f t="shared" si="38"/>
        <v>0</v>
      </c>
    </row>
    <row r="27" spans="1:198">
      <c r="A27" s="239">
        <f t="shared" si="22"/>
        <v>14</v>
      </c>
      <c r="B27" s="125" t="str">
        <f t="shared" si="0"/>
        <v>on</v>
      </c>
      <c r="C27" s="126" t="s">
        <v>208</v>
      </c>
      <c r="D27" s="127" t="str">
        <f t="shared" si="1"/>
        <v/>
      </c>
      <c r="E27" s="1123" t="s">
        <v>764</v>
      </c>
      <c r="F27" s="1124"/>
      <c r="G27" s="1125"/>
      <c r="H27" s="291"/>
      <c r="I27" s="745"/>
      <c r="J27" s="746" t="str">
        <f t="shared" si="2"/>
        <v/>
      </c>
      <c r="K27" s="368">
        <v>6</v>
      </c>
      <c r="L27" s="368">
        <v>3.75</v>
      </c>
      <c r="M27" s="368">
        <v>1</v>
      </c>
      <c r="N27" s="311">
        <f t="shared" si="23"/>
        <v>6</v>
      </c>
      <c r="O27" s="311">
        <f t="shared" si="24"/>
        <v>3.75</v>
      </c>
      <c r="P27" s="311">
        <f>IF(Stamoplysninger!$H$34="JA",April!DG27,CX27)</f>
        <v>1</v>
      </c>
      <c r="Q27" s="311">
        <f t="shared" si="25"/>
        <v>1.25</v>
      </c>
      <c r="R27" s="751"/>
      <c r="S27" s="315"/>
      <c r="T27" s="316"/>
      <c r="U27" s="316"/>
      <c r="V27" s="422"/>
      <c r="W27" s="422"/>
      <c r="X27" s="621"/>
      <c r="Y27">
        <f t="shared" si="26"/>
        <v>0</v>
      </c>
      <c r="Z27" s="424">
        <f t="shared" si="27"/>
        <v>0</v>
      </c>
      <c r="AA27" s="1">
        <f t="shared" si="3"/>
        <v>6</v>
      </c>
      <c r="AB27" s="1">
        <f t="shared" si="4"/>
        <v>0</v>
      </c>
      <c r="AC27" s="1">
        <f t="shared" si="5"/>
        <v>0</v>
      </c>
      <c r="AD27" s="1">
        <f t="shared" si="6"/>
        <v>0</v>
      </c>
      <c r="AE27" s="1">
        <f t="shared" si="7"/>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6</v>
      </c>
      <c r="BB27" s="224">
        <f t="shared" si="8"/>
        <v>0</v>
      </c>
      <c r="BC27" s="1">
        <f t="shared" si="29"/>
        <v>0</v>
      </c>
      <c r="BD27" s="1">
        <f t="shared" si="9"/>
        <v>0</v>
      </c>
      <c r="BE27" s="1">
        <f t="shared" si="10"/>
        <v>0</v>
      </c>
      <c r="BF27" s="1">
        <f t="shared" si="11"/>
        <v>3.75</v>
      </c>
      <c r="BG27" s="207" t="str">
        <f>IF(AND(C27="Skema 1",B27="ma"),Skemaoplysninger!$E$46,"")</f>
        <v/>
      </c>
      <c r="BH27" s="207" t="str">
        <f>IF(AND(C27="Skema 1",B27="ti"),Skemaoplysninger!$G$46,"")</f>
        <v/>
      </c>
      <c r="BI27" s="207" t="str">
        <f>IF(AND(C27="Skema 1",B27="on"),Skemaoplysninger!$I$46,"")</f>
        <v/>
      </c>
      <c r="BJ27" s="207" t="str">
        <f>IF(AND(C27="Skema 1",B27="to"),Skemaoplysninger!$K$46,"")</f>
        <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3.75</v>
      </c>
      <c r="CB27" s="1">
        <f t="shared" si="12"/>
        <v>0</v>
      </c>
      <c r="CC27" s="1">
        <f t="shared" si="13"/>
        <v>1</v>
      </c>
      <c r="CD27" s="207" t="str">
        <f>IF(AND(C27="Skema 1",B27="ma"),Skemaoplysninger!$E$47,"")</f>
        <v/>
      </c>
      <c r="CE27" s="207" t="str">
        <f>IF(AND(C27="Skema 1",B27="ti"),Skemaoplysninger!$G$47,"")</f>
        <v/>
      </c>
      <c r="CF27" s="207" t="str">
        <f>IF(AND(C27="Skema 1",B27="on"),Skemaoplysninger!$I$47,"")</f>
        <v/>
      </c>
      <c r="CG27" s="207" t="str">
        <f>IF(AND(C27="Skema 1",B27="to"),Skemaoplysninger!$K$47,"")</f>
        <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1</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t="str">
        <f t="shared" si="33"/>
        <v>Skolen i skoven</v>
      </c>
      <c r="DJ27" t="str">
        <f t="shared" si="34"/>
        <v/>
      </c>
      <c r="DK27" t="str">
        <f t="shared" si="14"/>
        <v/>
      </c>
      <c r="DL27" t="str">
        <f t="shared" si="14"/>
        <v>Skolen i skoven</v>
      </c>
      <c r="DM27" t="str">
        <f t="shared" si="14"/>
        <v/>
      </c>
      <c r="DN27" t="str">
        <f t="shared" si="35"/>
        <v>Skolen i skoven</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5"/>
        <v>0</v>
      </c>
      <c r="FZ27" s="634">
        <f t="shared" si="16"/>
        <v>0</v>
      </c>
      <c r="GA27">
        <f t="shared" si="17"/>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t="str">
        <f t="shared" si="18"/>
        <v>X</v>
      </c>
      <c r="GL27">
        <f t="shared" si="19"/>
        <v>0</v>
      </c>
      <c r="GM27">
        <f t="shared" si="20"/>
        <v>0</v>
      </c>
      <c r="GN27" s="713">
        <f t="shared" si="21"/>
        <v>0</v>
      </c>
      <c r="GO27">
        <f t="shared" si="37"/>
        <v>1</v>
      </c>
      <c r="GP27" s="647">
        <f t="shared" si="38"/>
        <v>0</v>
      </c>
    </row>
    <row r="28" spans="1:198">
      <c r="A28" s="239">
        <f t="shared" si="22"/>
        <v>15</v>
      </c>
      <c r="B28" s="125" t="str">
        <f t="shared" si="0"/>
        <v>to</v>
      </c>
      <c r="C28" s="126" t="s">
        <v>208</v>
      </c>
      <c r="D28" s="127" t="str">
        <f t="shared" si="1"/>
        <v/>
      </c>
      <c r="E28" s="1123" t="s">
        <v>764</v>
      </c>
      <c r="F28" s="1124"/>
      <c r="G28" s="1125"/>
      <c r="H28" s="291"/>
      <c r="I28" s="745"/>
      <c r="J28" s="746" t="str">
        <f t="shared" si="2"/>
        <v/>
      </c>
      <c r="K28" s="368">
        <v>6</v>
      </c>
      <c r="L28" s="368">
        <v>3.75</v>
      </c>
      <c r="M28" s="368">
        <v>1</v>
      </c>
      <c r="N28" s="311">
        <f t="shared" si="23"/>
        <v>6</v>
      </c>
      <c r="O28" s="311">
        <f t="shared" si="24"/>
        <v>3.75</v>
      </c>
      <c r="P28" s="311">
        <f>IF(Stamoplysninger!$H$34="JA",April!DG28,CX28)</f>
        <v>1</v>
      </c>
      <c r="Q28" s="311">
        <f t="shared" si="25"/>
        <v>1.25</v>
      </c>
      <c r="R28" s="751"/>
      <c r="S28" s="315"/>
      <c r="T28" s="316"/>
      <c r="U28" s="316"/>
      <c r="V28" s="422"/>
      <c r="W28" s="422"/>
      <c r="X28" s="621"/>
      <c r="Y28">
        <f t="shared" si="26"/>
        <v>0</v>
      </c>
      <c r="Z28" s="424">
        <f t="shared" si="27"/>
        <v>0</v>
      </c>
      <c r="AA28" s="1">
        <f t="shared" si="3"/>
        <v>6</v>
      </c>
      <c r="AB28" s="1">
        <f t="shared" si="4"/>
        <v>0</v>
      </c>
      <c r="AC28" s="1">
        <f t="shared" si="5"/>
        <v>0</v>
      </c>
      <c r="AD28" s="1">
        <f t="shared" si="6"/>
        <v>0</v>
      </c>
      <c r="AE28" s="1">
        <f t="shared" si="7"/>
        <v>0</v>
      </c>
      <c r="AF28" s="1">
        <f>IF(C28="Orlov",7.4*Stamoplysninger!$E$20,0)</f>
        <v>0</v>
      </c>
      <c r="AG28" t="str">
        <f>IF(AND(C28="Skema 1",B28="ma"),Arbejdstidsoversigt!$E$77,"")</f>
        <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6</v>
      </c>
      <c r="BB28" s="224">
        <f t="shared" si="8"/>
        <v>0</v>
      </c>
      <c r="BC28" s="1">
        <f t="shared" si="29"/>
        <v>0</v>
      </c>
      <c r="BD28" s="1">
        <f t="shared" si="9"/>
        <v>0</v>
      </c>
      <c r="BE28" s="1">
        <f t="shared" si="10"/>
        <v>0</v>
      </c>
      <c r="BF28" s="1">
        <f t="shared" si="11"/>
        <v>3.75</v>
      </c>
      <c r="BG28" s="207" t="str">
        <f>IF(AND(C28="Skema 1",B28="ma"),Skemaoplysninger!$E$46,"")</f>
        <v/>
      </c>
      <c r="BH28" s="207" t="str">
        <f>IF(AND(C28="Skema 1",B28="ti"),Skemaoplysninger!$G$46,"")</f>
        <v/>
      </c>
      <c r="BI28" s="207" t="str">
        <f>IF(AND(C28="Skema 1",B28="on"),Skemaoplysninger!$I$46,"")</f>
        <v/>
      </c>
      <c r="BJ28" s="207" t="str">
        <f>IF(AND(C28="Skema 1",B28="to"),Skemaoplysninger!$K$46,"")</f>
        <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3.75</v>
      </c>
      <c r="CB28" s="1">
        <f t="shared" si="12"/>
        <v>0</v>
      </c>
      <c r="CC28" s="1">
        <f t="shared" si="13"/>
        <v>1</v>
      </c>
      <c r="CD28" s="207" t="str">
        <f>IF(AND(C28="Skema 1",B28="ma"),Skemaoplysninger!$E$47,"")</f>
        <v/>
      </c>
      <c r="CE28" s="207" t="str">
        <f>IF(AND(C28="Skema 1",B28="ti"),Skemaoplysninger!$G$47,"")</f>
        <v/>
      </c>
      <c r="CF28" s="207" t="str">
        <f>IF(AND(C28="Skema 1",B28="on"),Skemaoplysninger!$I$47,"")</f>
        <v/>
      </c>
      <c r="CG28" s="207" t="str">
        <f>IF(AND(C28="Skema 1",B28="to"),Skemaoplysninger!$K$47,"")</f>
        <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1</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t="str">
        <f t="shared" si="33"/>
        <v>Skolen i skoven</v>
      </c>
      <c r="DJ28" t="str">
        <f t="shared" si="34"/>
        <v/>
      </c>
      <c r="DK28" t="str">
        <f t="shared" si="14"/>
        <v/>
      </c>
      <c r="DL28" t="str">
        <f t="shared" si="14"/>
        <v>Skolen i skoven</v>
      </c>
      <c r="DM28" t="str">
        <f t="shared" si="14"/>
        <v/>
      </c>
      <c r="DN28" t="str">
        <f t="shared" si="35"/>
        <v>Skolen i skoven</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5"/>
        <v>0</v>
      </c>
      <c r="FZ28" s="634">
        <f t="shared" si="16"/>
        <v>0</v>
      </c>
      <c r="GA28">
        <f t="shared" si="17"/>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t="str">
        <f t="shared" si="18"/>
        <v>X</v>
      </c>
      <c r="GL28">
        <f t="shared" si="19"/>
        <v>0</v>
      </c>
      <c r="GM28">
        <f t="shared" si="20"/>
        <v>0</v>
      </c>
      <c r="GN28" s="713">
        <f t="shared" si="21"/>
        <v>0</v>
      </c>
      <c r="GO28">
        <f t="shared" si="37"/>
        <v>1</v>
      </c>
      <c r="GP28" s="647">
        <f t="shared" si="38"/>
        <v>0</v>
      </c>
    </row>
    <row r="29" spans="1:198">
      <c r="A29" s="239">
        <f>IF(ISNUMBER(A28),A28+1,1)</f>
        <v>16</v>
      </c>
      <c r="B29" s="125" t="str">
        <f t="shared" si="0"/>
        <v>fr</v>
      </c>
      <c r="C29" s="126" t="s">
        <v>208</v>
      </c>
      <c r="D29" s="127" t="str">
        <f t="shared" si="1"/>
        <v/>
      </c>
      <c r="E29" s="1060" t="s">
        <v>764</v>
      </c>
      <c r="F29" s="1061"/>
      <c r="G29" s="1062"/>
      <c r="H29" s="292"/>
      <c r="I29" s="745"/>
      <c r="J29" s="746" t="str">
        <f t="shared" si="2"/>
        <v/>
      </c>
      <c r="K29" s="368">
        <v>6</v>
      </c>
      <c r="L29" s="368">
        <v>3.75</v>
      </c>
      <c r="M29" s="368">
        <v>1</v>
      </c>
      <c r="N29" s="311">
        <f t="shared" si="23"/>
        <v>6</v>
      </c>
      <c r="O29" s="311">
        <f t="shared" si="24"/>
        <v>3.75</v>
      </c>
      <c r="P29" s="311">
        <f>IF(Stamoplysninger!$H$34="JA",April!DG29,CX29)</f>
        <v>1</v>
      </c>
      <c r="Q29" s="311">
        <f t="shared" si="25"/>
        <v>1.25</v>
      </c>
      <c r="R29" s="751"/>
      <c r="S29" s="315"/>
      <c r="T29" s="316"/>
      <c r="U29" s="316"/>
      <c r="V29" s="422"/>
      <c r="W29" s="422"/>
      <c r="X29" s="621"/>
      <c r="Y29">
        <f t="shared" si="26"/>
        <v>0</v>
      </c>
      <c r="Z29" s="424">
        <f t="shared" si="27"/>
        <v>0</v>
      </c>
      <c r="AA29" s="1">
        <f t="shared" si="3"/>
        <v>6</v>
      </c>
      <c r="AB29" s="1">
        <f t="shared" si="4"/>
        <v>0</v>
      </c>
      <c r="AC29" s="1">
        <f t="shared" si="5"/>
        <v>0</v>
      </c>
      <c r="AD29" s="1">
        <f t="shared" si="6"/>
        <v>0</v>
      </c>
      <c r="AE29" s="1">
        <f t="shared" si="7"/>
        <v>0</v>
      </c>
      <c r="AF29" s="1">
        <f>IF(C29="Orlov",7.4*Stamoplysninger!$E$20,0)</f>
        <v>0</v>
      </c>
      <c r="AG29" t="str">
        <f>IF(AND(C29="Skema 1",B29="ma"),Arbejdstidsoversigt!$E$77,"")</f>
        <v/>
      </c>
      <c r="AH29" t="str">
        <f>IF(AND(C29="Skema 1",B29="ti"),Arbejdstidsoversigt!$E$78,"")</f>
        <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6</v>
      </c>
      <c r="BB29" s="224">
        <f t="shared" si="8"/>
        <v>0</v>
      </c>
      <c r="BC29" s="1">
        <f t="shared" si="29"/>
        <v>0</v>
      </c>
      <c r="BD29" s="1">
        <f t="shared" si="9"/>
        <v>0</v>
      </c>
      <c r="BE29" s="1">
        <f t="shared" si="10"/>
        <v>0</v>
      </c>
      <c r="BF29" s="1">
        <f t="shared" si="11"/>
        <v>3.75</v>
      </c>
      <c r="BG29" s="207" t="str">
        <f>IF(AND(C29="Skema 1",B29="ma"),Skemaoplysninger!$E$46,"")</f>
        <v/>
      </c>
      <c r="BH29" s="207" t="str">
        <f>IF(AND(C29="Skema 1",B29="ti"),Skemaoplysninger!$G$46,"")</f>
        <v/>
      </c>
      <c r="BI29" s="207" t="str">
        <f>IF(AND(C29="Skema 1",B29="on"),Skemaoplysninger!$I$46,"")</f>
        <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3.75</v>
      </c>
      <c r="CB29" s="1">
        <f t="shared" si="12"/>
        <v>0</v>
      </c>
      <c r="CC29" s="1">
        <f t="shared" si="13"/>
        <v>1</v>
      </c>
      <c r="CD29" s="207" t="str">
        <f>IF(AND(C29="Skema 1",B29="ma"),Skemaoplysninger!$E$47,"")</f>
        <v/>
      </c>
      <c r="CE29" s="207" t="str">
        <f>IF(AND(C29="Skema 1",B29="ti"),Skemaoplysninger!$G$47,"")</f>
        <v/>
      </c>
      <c r="CF29" s="207" t="str">
        <f>IF(AND(C29="Skema 1",B29="on"),Skemaoplysninger!$I$47,"")</f>
        <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1</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t="str">
        <f t="shared" si="33"/>
        <v>Skolen i skoven</v>
      </c>
      <c r="DJ29" t="str">
        <f t="shared" si="34"/>
        <v/>
      </c>
      <c r="DK29" t="str">
        <f t="shared" si="14"/>
        <v/>
      </c>
      <c r="DL29" t="str">
        <f t="shared" si="14"/>
        <v>Skolen i skoven</v>
      </c>
      <c r="DM29" t="str">
        <f t="shared" si="14"/>
        <v/>
      </c>
      <c r="DN29" t="str">
        <f t="shared" si="35"/>
        <v>Skolen i skoven</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5"/>
        <v>0</v>
      </c>
      <c r="FZ29" s="634">
        <f t="shared" si="16"/>
        <v>0</v>
      </c>
      <c r="GA29">
        <f t="shared" si="17"/>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t="str">
        <f t="shared" si="18"/>
        <v>X</v>
      </c>
      <c r="GL29">
        <f t="shared" si="19"/>
        <v>0</v>
      </c>
      <c r="GM29">
        <f t="shared" si="20"/>
        <v>0</v>
      </c>
      <c r="GN29" s="713">
        <f t="shared" si="21"/>
        <v>0</v>
      </c>
      <c r="GO29">
        <f t="shared" si="37"/>
        <v>1</v>
      </c>
      <c r="GP29" s="647">
        <f t="shared" si="38"/>
        <v>0</v>
      </c>
    </row>
    <row r="30" spans="1:198">
      <c r="A30" s="239">
        <f t="shared" si="22"/>
        <v>17</v>
      </c>
      <c r="B30" s="125" t="str">
        <f t="shared" si="0"/>
        <v>lø</v>
      </c>
      <c r="C30" s="126" t="s">
        <v>118</v>
      </c>
      <c r="D30" s="127" t="str">
        <f t="shared" si="1"/>
        <v/>
      </c>
      <c r="E30" s="1060"/>
      <c r="F30" s="1061"/>
      <c r="G30" s="1062"/>
      <c r="H30" s="292"/>
      <c r="I30" s="746" t="str">
        <f>IF(GO30=1,"X","")</f>
        <v/>
      </c>
      <c r="J30" s="746" t="str">
        <f t="shared" si="2"/>
        <v/>
      </c>
      <c r="K30" s="368"/>
      <c r="L30" s="368"/>
      <c r="M30" s="368"/>
      <c r="N30" s="311">
        <f t="shared" si="23"/>
        <v>0</v>
      </c>
      <c r="O30" s="311">
        <f t="shared" si="24"/>
        <v>0</v>
      </c>
      <c r="P30" s="311">
        <f>IF(Stamoplysninger!$H$34="JA",April!DG30,CX30)</f>
        <v>0</v>
      </c>
      <c r="Q30" s="311">
        <f t="shared" si="25"/>
        <v>0</v>
      </c>
      <c r="R30" s="751"/>
      <c r="S30" s="315"/>
      <c r="T30" s="316"/>
      <c r="U30" s="316"/>
      <c r="V30" s="422"/>
      <c r="W30" s="422"/>
      <c r="X30" s="621"/>
      <c r="Y30">
        <f t="shared" si="26"/>
        <v>0</v>
      </c>
      <c r="Z30" s="424">
        <f t="shared" si="27"/>
        <v>0</v>
      </c>
      <c r="AA30" s="1">
        <f t="shared" si="3"/>
        <v>0</v>
      </c>
      <c r="AB30" s="1">
        <f t="shared" si="4"/>
        <v>0</v>
      </c>
      <c r="AC30" s="1">
        <f t="shared" si="5"/>
        <v>0</v>
      </c>
      <c r="AD30" s="1">
        <f t="shared" si="6"/>
        <v>0</v>
      </c>
      <c r="AE30" s="1">
        <f t="shared" si="7"/>
        <v>0</v>
      </c>
      <c r="AF30" s="1">
        <f>IF(C30="Orlov",7.4*Stamoplysninger!$E$20,0)</f>
        <v>0</v>
      </c>
      <c r="AG30" t="str">
        <f>IF(AND(C30="Skema 1",B30="ma"),Arbejdstidsoversigt!$E$77,"")</f>
        <v/>
      </c>
      <c r="AH30" t="str">
        <f>IF(AND(C30="Skema 1",B30="ti"),Arbejdstidsoversigt!$E$78,"")</f>
        <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8"/>
        <v>0</v>
      </c>
      <c r="BC30" s="1">
        <f t="shared" si="29"/>
        <v>0</v>
      </c>
      <c r="BD30" s="1">
        <f t="shared" si="9"/>
        <v>0</v>
      </c>
      <c r="BE30" s="1">
        <f t="shared" si="10"/>
        <v>0</v>
      </c>
      <c r="BF30" s="1">
        <f t="shared" si="11"/>
        <v>0</v>
      </c>
      <c r="BG30" s="207" t="str">
        <f>IF(AND(C30="Skema 1",B30="ma"),Skemaoplysninger!$E$46,"")</f>
        <v/>
      </c>
      <c r="BH30" s="207" t="str">
        <f>IF(AND(C30="Skema 1",B30="ti"),Skemaoplysninger!$G$46,"")</f>
        <v/>
      </c>
      <c r="BI30" s="207" t="str">
        <f>IF(AND(C30="Skema 1",B30="on"),Skemaoplysninger!$I$46,"")</f>
        <v/>
      </c>
      <c r="BJ30" s="207" t="str">
        <f>IF(AND(C30="Skema 1",B30="to"),Skemaoplysninger!$K$46,"")</f>
        <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0</v>
      </c>
      <c r="CB30" s="1">
        <f t="shared" si="12"/>
        <v>0</v>
      </c>
      <c r="CC30" s="1">
        <f t="shared" si="13"/>
        <v>0</v>
      </c>
      <c r="CD30" s="207" t="str">
        <f>IF(AND(C30="Skema 1",B30="ma"),Skemaoplysninger!$E$47,"")</f>
        <v/>
      </c>
      <c r="CE30" s="207" t="str">
        <f>IF(AND(C30="Skema 1",B30="ti"),Skemaoplysninger!$G$47,"")</f>
        <v/>
      </c>
      <c r="CF30" s="207" t="str">
        <f>IF(AND(C30="Skema 1",B30="on"),Skemaoplysninger!$I$47,"")</f>
        <v/>
      </c>
      <c r="CG30" s="207" t="str">
        <f>IF(AND(C30="Skema 1",B30="to"),Skemaoplysninger!$K$47,"")</f>
        <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4"/>
        <v/>
      </c>
      <c r="DL30" t="str">
        <f t="shared" si="14"/>
        <v/>
      </c>
      <c r="DM30" t="str">
        <f t="shared" si="14"/>
        <v/>
      </c>
      <c r="DN30" t="str">
        <f t="shared" si="35"/>
        <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5"/>
        <v>0</v>
      </c>
      <c r="FZ30" s="634">
        <f t="shared" si="16"/>
        <v>0</v>
      </c>
      <c r="GA30">
        <f t="shared" si="17"/>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8"/>
        <v>0</v>
      </c>
      <c r="GL30">
        <f t="shared" si="19"/>
        <v>0</v>
      </c>
      <c r="GM30">
        <f t="shared" si="20"/>
        <v>0</v>
      </c>
      <c r="GN30" s="713">
        <f t="shared" si="21"/>
        <v>0</v>
      </c>
      <c r="GO30">
        <f t="shared" si="37"/>
        <v>0</v>
      </c>
      <c r="GP30" s="647">
        <f t="shared" si="38"/>
        <v>0</v>
      </c>
    </row>
    <row r="31" spans="1:198">
      <c r="A31" s="239">
        <f t="shared" si="22"/>
        <v>18</v>
      </c>
      <c r="B31" s="125" t="str">
        <f t="shared" si="0"/>
        <v>sø</v>
      </c>
      <c r="C31" s="126" t="s">
        <v>118</v>
      </c>
      <c r="D31" s="127" t="str">
        <f t="shared" si="1"/>
        <v/>
      </c>
      <c r="E31" s="1060"/>
      <c r="F31" s="1061"/>
      <c r="G31" s="1062"/>
      <c r="H31" s="292"/>
      <c r="I31" s="746" t="str">
        <f>IF(GO31=1,"X","")</f>
        <v/>
      </c>
      <c r="J31" s="746" t="str">
        <f t="shared" si="2"/>
        <v/>
      </c>
      <c r="K31" s="368"/>
      <c r="L31" s="368"/>
      <c r="M31" s="368"/>
      <c r="N31" s="311">
        <f t="shared" si="23"/>
        <v>0</v>
      </c>
      <c r="O31" s="311">
        <f t="shared" si="24"/>
        <v>0</v>
      </c>
      <c r="P31" s="311">
        <f>IF(Stamoplysninger!$H$34="JA",April!DG31,CX31)</f>
        <v>0</v>
      </c>
      <c r="Q31" s="311">
        <f t="shared" si="25"/>
        <v>0</v>
      </c>
      <c r="R31" s="751"/>
      <c r="S31" s="315"/>
      <c r="T31" s="316"/>
      <c r="U31" s="316"/>
      <c r="V31" s="422"/>
      <c r="W31" s="422"/>
      <c r="X31" s="621"/>
      <c r="Y31">
        <f t="shared" si="26"/>
        <v>0</v>
      </c>
      <c r="Z31" s="424">
        <f t="shared" si="27"/>
        <v>0</v>
      </c>
      <c r="AA31" s="1">
        <f t="shared" si="3"/>
        <v>0</v>
      </c>
      <c r="AB31" s="1">
        <f t="shared" si="4"/>
        <v>0</v>
      </c>
      <c r="AC31" s="1">
        <f t="shared" si="5"/>
        <v>0</v>
      </c>
      <c r="AD31" s="1">
        <f t="shared" si="6"/>
        <v>0</v>
      </c>
      <c r="AE31" s="1">
        <f t="shared" si="7"/>
        <v>0</v>
      </c>
      <c r="AF31" s="1">
        <f>IF(C31="Orlov",7.4*Stamoplysninger!$E$20,0)</f>
        <v>0</v>
      </c>
      <c r="AG31" t="str">
        <f>IF(AND(C31="Skema 1",B31="ma"),Arbejdstidsoversigt!$E$77,"")</f>
        <v/>
      </c>
      <c r="AH31" t="str">
        <f>IF(AND(C31="Skema 1",B31="ti"),Arbejdstidsoversigt!$E$78,"")</f>
        <v/>
      </c>
      <c r="AI31" t="str">
        <f>IF(AND(C31="Skema 1",B31="on"),Arbejdstidsoversigt!$E$79,"")</f>
        <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8"/>
        <v>0</v>
      </c>
      <c r="BC31" s="1">
        <f t="shared" si="29"/>
        <v>0</v>
      </c>
      <c r="BD31" s="1">
        <f t="shared" si="9"/>
        <v>0</v>
      </c>
      <c r="BE31" s="1">
        <f t="shared" si="10"/>
        <v>0</v>
      </c>
      <c r="BF31" s="1">
        <f t="shared" si="11"/>
        <v>0</v>
      </c>
      <c r="BG31" s="207" t="str">
        <f>IF(AND(C31="Skema 1",B31="ma"),Skemaoplysninger!$E$46,"")</f>
        <v/>
      </c>
      <c r="BH31" s="207" t="str">
        <f>IF(AND(C31="Skema 1",B31="ti"),Skemaoplysninger!$G$46,"")</f>
        <v/>
      </c>
      <c r="BI31" s="207" t="str">
        <f>IF(AND(C31="Skema 1",B31="on"),Skemaoplysninger!$I$46,"")</f>
        <v/>
      </c>
      <c r="BJ31" s="207" t="str">
        <f>IF(AND(C31="Skema 1",B31="to"),Skemaoplysninger!$K$46,"")</f>
        <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0</v>
      </c>
      <c r="CB31" s="1">
        <f t="shared" si="12"/>
        <v>0</v>
      </c>
      <c r="CC31" s="1">
        <f t="shared" si="13"/>
        <v>0</v>
      </c>
      <c r="CD31" s="207" t="str">
        <f>IF(AND(C31="Skema 1",B31="ma"),Skemaoplysninger!$E$47,"")</f>
        <v/>
      </c>
      <c r="CE31" s="207" t="str">
        <f>IF(AND(C31="Skema 1",B31="ti"),Skemaoplysninger!$G$47,"")</f>
        <v/>
      </c>
      <c r="CF31" s="207" t="str">
        <f>IF(AND(C31="Skema 1",B31="on"),Skemaoplysninger!$I$47,"")</f>
        <v/>
      </c>
      <c r="CG31" s="207" t="str">
        <f>IF(AND(C31="Skema 1",B31="to"),Skemaoplysninger!$K$47,"")</f>
        <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4"/>
        <v/>
      </c>
      <c r="DL31" t="str">
        <f t="shared" si="14"/>
        <v/>
      </c>
      <c r="DM31" t="str">
        <f t="shared" si="14"/>
        <v/>
      </c>
      <c r="DN31" t="str">
        <f t="shared" si="35"/>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5"/>
        <v>0</v>
      </c>
      <c r="FZ31" s="634">
        <f t="shared" si="16"/>
        <v>0</v>
      </c>
      <c r="GA31">
        <f t="shared" si="17"/>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8"/>
        <v>0</v>
      </c>
      <c r="GL31">
        <f t="shared" si="19"/>
        <v>0</v>
      </c>
      <c r="GM31">
        <f t="shared" si="20"/>
        <v>0</v>
      </c>
      <c r="GN31" s="713">
        <f t="shared" si="21"/>
        <v>0</v>
      </c>
      <c r="GO31">
        <f t="shared" si="37"/>
        <v>0</v>
      </c>
      <c r="GP31" s="647">
        <f t="shared" si="38"/>
        <v>0</v>
      </c>
    </row>
    <row r="32" spans="1:198">
      <c r="A32" s="239">
        <f t="shared" si="22"/>
        <v>19</v>
      </c>
      <c r="B32" s="125" t="str">
        <f t="shared" si="0"/>
        <v>ma</v>
      </c>
      <c r="C32" s="126" t="s">
        <v>203</v>
      </c>
      <c r="D32" s="127">
        <f t="shared" si="1"/>
        <v>16.428571428571427</v>
      </c>
      <c r="E32" s="1060"/>
      <c r="F32" s="1061"/>
      <c r="G32" s="1062"/>
      <c r="H32" s="292"/>
      <c r="I32" s="745"/>
      <c r="J32" s="746" t="str">
        <f t="shared" si="2"/>
        <v/>
      </c>
      <c r="K32" s="368"/>
      <c r="L32" s="368"/>
      <c r="M32" s="368"/>
      <c r="N32" s="311">
        <f t="shared" si="23"/>
        <v>8.11</v>
      </c>
      <c r="O32" s="311">
        <f t="shared" si="24"/>
        <v>4.5</v>
      </c>
      <c r="P32" s="311">
        <f>IF(Stamoplysninger!$H$34="JA",April!DG32,CX32)</f>
        <v>1.9166666666666665</v>
      </c>
      <c r="Q32" s="311">
        <f t="shared" si="25"/>
        <v>1.6933333333333329</v>
      </c>
      <c r="R32" s="751"/>
      <c r="S32" s="315"/>
      <c r="T32" s="316"/>
      <c r="U32" s="316"/>
      <c r="V32" s="422"/>
      <c r="W32" s="422"/>
      <c r="X32" s="621"/>
      <c r="Y32">
        <f t="shared" si="26"/>
        <v>0</v>
      </c>
      <c r="Z32" s="424">
        <f t="shared" si="27"/>
        <v>0</v>
      </c>
      <c r="AA32" s="1">
        <f t="shared" si="3"/>
        <v>0</v>
      </c>
      <c r="AB32" s="1">
        <f t="shared" si="4"/>
        <v>0</v>
      </c>
      <c r="AC32" s="1">
        <f t="shared" si="5"/>
        <v>0</v>
      </c>
      <c r="AD32" s="1">
        <f t="shared" si="6"/>
        <v>0</v>
      </c>
      <c r="AE32" s="1">
        <f t="shared" si="7"/>
        <v>0</v>
      </c>
      <c r="AF32" s="1">
        <f>IF(C32="Orlov",7.4*Stamoplysninger!$E$20,0)</f>
        <v>0</v>
      </c>
      <c r="AG32">
        <f>IF(AND(C32="Skema 1",B32="ma"),Arbejdstidsoversigt!$E$77,"")</f>
        <v>8.11</v>
      </c>
      <c r="AH32" t="str">
        <f>IF(AND(C32="Skema 1",B32="ti"),Arbejdstidsoversigt!$E$78,"")</f>
        <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8.11</v>
      </c>
      <c r="BB32" s="224">
        <f t="shared" si="8"/>
        <v>194.64</v>
      </c>
      <c r="BC32" s="1">
        <f t="shared" si="29"/>
        <v>0</v>
      </c>
      <c r="BD32" s="1">
        <f t="shared" si="9"/>
        <v>0</v>
      </c>
      <c r="BE32" s="1">
        <f t="shared" si="10"/>
        <v>0</v>
      </c>
      <c r="BF32" s="1">
        <f t="shared" si="11"/>
        <v>0</v>
      </c>
      <c r="BG32" s="207">
        <f>IF(AND(C32="Skema 1",B32="ma"),Skemaoplysninger!$E$46,"")</f>
        <v>0.1875</v>
      </c>
      <c r="BH32" s="207" t="str">
        <f>IF(AND(C32="Skema 1",B32="ti"),Skemaoplysninger!$G$46,"")</f>
        <v/>
      </c>
      <c r="BI32" s="207" t="str">
        <f>IF(AND(C32="Skema 1",B32="on"),Skemaoplysninger!$I$46,"")</f>
        <v/>
      </c>
      <c r="BJ32" s="207" t="str">
        <f>IF(AND(C32="Skema 1",B32="to"),Skemaoplysninger!$K$46,"")</f>
        <v/>
      </c>
      <c r="BK32" s="207" t="str">
        <f>IF(AND(C32="Skema 1",B32="fr"),Skemaoplysninger!$M$46,"")</f>
        <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4.5</v>
      </c>
      <c r="CB32" s="1">
        <f t="shared" si="12"/>
        <v>0</v>
      </c>
      <c r="CC32" s="1">
        <f t="shared" si="13"/>
        <v>0</v>
      </c>
      <c r="CD32" s="207">
        <f>IF(AND(C32="Skema 1",B32="ma"),Skemaoplysninger!$E$47,"")</f>
        <v>7.9861111111111105E-2</v>
      </c>
      <c r="CE32" s="207" t="str">
        <f>IF(AND(C32="Skema 1",B32="ti"),Skemaoplysninger!$G$47,"")</f>
        <v/>
      </c>
      <c r="CF32" s="207" t="str">
        <f>IF(AND(C32="Skema 1",B32="on"),Skemaoplysninger!$I$47,"")</f>
        <v/>
      </c>
      <c r="CG32" s="207" t="str">
        <f>IF(AND(C32="Skema 1",B32="to"),Skemaoplysninger!$K$47,"")</f>
        <v/>
      </c>
      <c r="CH32" s="207" t="str">
        <f>IF(AND(C32="Skema 1",B32="fr"),Skemaoplysninger!$M$47,"")</f>
        <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1.9166666666666665</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4"/>
        <v/>
      </c>
      <c r="DL32" t="str">
        <f t="shared" si="14"/>
        <v/>
      </c>
      <c r="DM32" t="str">
        <f t="shared" si="14"/>
        <v/>
      </c>
      <c r="DN32" t="str">
        <f t="shared" si="35"/>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5"/>
        <v>0</v>
      </c>
      <c r="FZ32" s="634">
        <f t="shared" si="16"/>
        <v>0</v>
      </c>
      <c r="GA32">
        <f t="shared" si="17"/>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8"/>
        <v>0</v>
      </c>
      <c r="GL32">
        <f t="shared" si="19"/>
        <v>0</v>
      </c>
      <c r="GM32">
        <f t="shared" si="20"/>
        <v>0</v>
      </c>
      <c r="GN32" s="713">
        <f t="shared" si="21"/>
        <v>0</v>
      </c>
      <c r="GO32">
        <f t="shared" si="37"/>
        <v>0</v>
      </c>
      <c r="GP32" s="647">
        <f t="shared" si="38"/>
        <v>0</v>
      </c>
    </row>
    <row r="33" spans="1:198">
      <c r="A33" s="239">
        <f t="shared" si="22"/>
        <v>20</v>
      </c>
      <c r="B33" s="125" t="str">
        <f t="shared" si="0"/>
        <v>ti</v>
      </c>
      <c r="C33" s="126" t="s">
        <v>203</v>
      </c>
      <c r="D33" s="127" t="str">
        <f t="shared" si="1"/>
        <v/>
      </c>
      <c r="E33" s="1060"/>
      <c r="F33" s="1061"/>
      <c r="G33" s="1062"/>
      <c r="H33" s="292"/>
      <c r="I33" s="745"/>
      <c r="J33" s="746" t="str">
        <f t="shared" si="2"/>
        <v/>
      </c>
      <c r="K33" s="368"/>
      <c r="L33" s="368"/>
      <c r="M33" s="368"/>
      <c r="N33" s="311">
        <f t="shared" si="23"/>
        <v>8.11</v>
      </c>
      <c r="O33" s="311">
        <f t="shared" si="24"/>
        <v>4.5</v>
      </c>
      <c r="P33" s="311">
        <f>IF(Stamoplysninger!$H$34="JA",April!DG33,CX33)</f>
        <v>1.9166666666666665</v>
      </c>
      <c r="Q33" s="311">
        <f t="shared" si="25"/>
        <v>1.6933333333333329</v>
      </c>
      <c r="R33" s="751"/>
      <c r="S33" s="315"/>
      <c r="T33" s="316"/>
      <c r="U33" s="316"/>
      <c r="V33" s="422"/>
      <c r="W33" s="422"/>
      <c r="X33" s="621"/>
      <c r="Y33">
        <f t="shared" si="26"/>
        <v>0</v>
      </c>
      <c r="Z33" s="424">
        <f t="shared" si="27"/>
        <v>0</v>
      </c>
      <c r="AA33" s="1">
        <f t="shared" si="3"/>
        <v>0</v>
      </c>
      <c r="AB33" s="1">
        <f t="shared" si="4"/>
        <v>0</v>
      </c>
      <c r="AC33" s="1">
        <f t="shared" si="5"/>
        <v>0</v>
      </c>
      <c r="AD33" s="1">
        <f t="shared" si="6"/>
        <v>0</v>
      </c>
      <c r="AE33" s="1">
        <f t="shared" si="7"/>
        <v>0</v>
      </c>
      <c r="AF33" s="1">
        <f>IF(C33="Orlov",7.4*Stamoplysninger!$E$20,0)</f>
        <v>0</v>
      </c>
      <c r="AG33" t="str">
        <f>IF(AND(C33="Skema 1",B33="ma"),Arbejdstidsoversigt!$E$77,"")</f>
        <v/>
      </c>
      <c r="AH33">
        <f>IF(AND(C33="Skema 1",B33="ti"),Arbejdstidsoversigt!$E$78,"")</f>
        <v>8.11</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8.11</v>
      </c>
      <c r="BB33" s="224">
        <f t="shared" si="8"/>
        <v>194.64</v>
      </c>
      <c r="BC33" s="1">
        <f t="shared" si="29"/>
        <v>0</v>
      </c>
      <c r="BD33" s="1">
        <f t="shared" si="9"/>
        <v>0</v>
      </c>
      <c r="BE33" s="1">
        <f t="shared" si="10"/>
        <v>0</v>
      </c>
      <c r="BF33" s="1">
        <f t="shared" si="11"/>
        <v>0</v>
      </c>
      <c r="BG33" s="207" t="str">
        <f>IF(AND(C33="Skema 1",B33="ma"),Skemaoplysninger!$E$46,"")</f>
        <v/>
      </c>
      <c r="BH33" s="207">
        <f>IF(AND(C33="Skema 1",B33="ti"),Skemaoplysninger!$G$46,"")</f>
        <v>0.1875</v>
      </c>
      <c r="BI33" s="207" t="str">
        <f>IF(AND(C33="Skema 1",B33="on"),Skemaoplysninger!$I$46,"")</f>
        <v/>
      </c>
      <c r="BJ33" s="207" t="str">
        <f>IF(AND(C33="Skema 1",B33="to"),Skemaoplysninger!$K$46,"")</f>
        <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4.5</v>
      </c>
      <c r="CB33" s="1">
        <f t="shared" si="12"/>
        <v>0</v>
      </c>
      <c r="CC33" s="1">
        <f t="shared" si="13"/>
        <v>0</v>
      </c>
      <c r="CD33" s="207" t="str">
        <f>IF(AND(C33="Skema 1",B33="ma"),Skemaoplysninger!$E$47,"")</f>
        <v/>
      </c>
      <c r="CE33" s="207">
        <f>IF(AND(C33="Skema 1",B33="ti"),Skemaoplysninger!$G$47,"")</f>
        <v>7.9861111111111105E-2</v>
      </c>
      <c r="CF33" s="207" t="str">
        <f>IF(AND(C33="Skema 1",B33="on"),Skemaoplysninger!$I$47,"")</f>
        <v/>
      </c>
      <c r="CG33" s="207" t="str">
        <f>IF(AND(C33="Skema 1",B33="to"),Skemaoplysninger!$K$47,"")</f>
        <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1.9166666666666665</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4"/>
        <v/>
      </c>
      <c r="DL33" t="str">
        <f t="shared" si="14"/>
        <v/>
      </c>
      <c r="DM33" t="str">
        <f t="shared" si="14"/>
        <v/>
      </c>
      <c r="DN33" t="str">
        <f t="shared" si="35"/>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5"/>
        <v>0</v>
      </c>
      <c r="FZ33" s="634">
        <f t="shared" si="16"/>
        <v>0</v>
      </c>
      <c r="GA33">
        <f t="shared" si="17"/>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8"/>
        <v>0</v>
      </c>
      <c r="GL33">
        <f t="shared" si="19"/>
        <v>0</v>
      </c>
      <c r="GM33">
        <f t="shared" si="20"/>
        <v>0</v>
      </c>
      <c r="GN33" s="713">
        <f t="shared" si="21"/>
        <v>0</v>
      </c>
      <c r="GO33">
        <f t="shared" si="37"/>
        <v>0</v>
      </c>
      <c r="GP33" s="647">
        <f t="shared" si="38"/>
        <v>0</v>
      </c>
    </row>
    <row r="34" spans="1:198">
      <c r="A34" s="239">
        <f t="shared" si="22"/>
        <v>21</v>
      </c>
      <c r="B34" s="125" t="str">
        <f t="shared" si="0"/>
        <v>on</v>
      </c>
      <c r="C34" s="126" t="s">
        <v>203</v>
      </c>
      <c r="D34" s="127" t="str">
        <f t="shared" si="1"/>
        <v/>
      </c>
      <c r="E34" s="1060"/>
      <c r="F34" s="1061"/>
      <c r="G34" s="1062"/>
      <c r="H34" s="292"/>
      <c r="I34" s="745"/>
      <c r="J34" s="746" t="str">
        <f t="shared" si="2"/>
        <v/>
      </c>
      <c r="K34" s="368"/>
      <c r="L34" s="368"/>
      <c r="M34" s="368"/>
      <c r="N34" s="311">
        <f t="shared" si="23"/>
        <v>8.11</v>
      </c>
      <c r="O34" s="311">
        <f t="shared" si="24"/>
        <v>2.75</v>
      </c>
      <c r="P34" s="311">
        <f>IF(Stamoplysninger!$H$34="JA",April!DG34,CX34)</f>
        <v>1.25</v>
      </c>
      <c r="Q34" s="311">
        <f t="shared" si="25"/>
        <v>4.1099999999999994</v>
      </c>
      <c r="R34" s="751"/>
      <c r="S34" s="315"/>
      <c r="T34" s="316"/>
      <c r="U34" s="316"/>
      <c r="V34" s="422"/>
      <c r="W34" s="422"/>
      <c r="X34" s="621"/>
      <c r="Y34">
        <f t="shared" si="26"/>
        <v>0</v>
      </c>
      <c r="Z34" s="424">
        <f t="shared" si="27"/>
        <v>0</v>
      </c>
      <c r="AA34" s="1">
        <f t="shared" si="3"/>
        <v>0</v>
      </c>
      <c r="AB34" s="1">
        <f t="shared" si="4"/>
        <v>0</v>
      </c>
      <c r="AC34" s="1">
        <f t="shared" si="5"/>
        <v>0</v>
      </c>
      <c r="AD34" s="1">
        <f t="shared" si="6"/>
        <v>0</v>
      </c>
      <c r="AE34" s="1">
        <f t="shared" si="7"/>
        <v>0</v>
      </c>
      <c r="AF34" s="1">
        <f>IF(C34="Orlov",7.4*Stamoplysninger!$E$20,0)</f>
        <v>0</v>
      </c>
      <c r="AG34" t="str">
        <f>IF(AND(C34="Skema 1",B34="ma"),Arbejdstidsoversigt!$E$77,"")</f>
        <v/>
      </c>
      <c r="AH34" t="str">
        <f>IF(AND(C34="Skema 1",B34="ti"),Arbejdstidsoversigt!$E$78,"")</f>
        <v/>
      </c>
      <c r="AI34">
        <f>IF(AND(C34="Skema 1",B34="on"),Arbejdstidsoversigt!$E$79,"")</f>
        <v>8.11</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8.11</v>
      </c>
      <c r="BB34" s="224">
        <f t="shared" si="8"/>
        <v>194.64</v>
      </c>
      <c r="BC34" s="1">
        <f t="shared" si="29"/>
        <v>0</v>
      </c>
      <c r="BD34" s="1">
        <f t="shared" si="9"/>
        <v>0</v>
      </c>
      <c r="BE34" s="1">
        <f t="shared" si="10"/>
        <v>0</v>
      </c>
      <c r="BF34" s="1">
        <f t="shared" si="11"/>
        <v>0</v>
      </c>
      <c r="BG34" s="207" t="str">
        <f>IF(AND(C34="Skema 1",B34="ma"),Skemaoplysninger!$E$46,"")</f>
        <v/>
      </c>
      <c r="BH34" s="207" t="str">
        <f>IF(AND(C34="Skema 1",B34="ti"),Skemaoplysninger!$G$46,"")</f>
        <v/>
      </c>
      <c r="BI34" s="207">
        <f>IF(AND(C34="Skema 1",B34="on"),Skemaoplysninger!$I$46,"")</f>
        <v>0.11458333333333333</v>
      </c>
      <c r="BJ34" s="207" t="str">
        <f>IF(AND(C34="Skema 1",B34="to"),Skemaoplysninger!$K$46,"")</f>
        <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2.75</v>
      </c>
      <c r="CB34" s="1">
        <f t="shared" si="12"/>
        <v>0</v>
      </c>
      <c r="CC34" s="1">
        <f t="shared" si="13"/>
        <v>0</v>
      </c>
      <c r="CD34" s="207" t="str">
        <f>IF(AND(C34="Skema 1",B34="ma"),Skemaoplysninger!$E$47,"")</f>
        <v/>
      </c>
      <c r="CE34" s="207" t="str">
        <f>IF(AND(C34="Skema 1",B34="ti"),Skemaoplysninger!$G$47,"")</f>
        <v/>
      </c>
      <c r="CF34" s="207">
        <f>IF(AND(C34="Skema 1",B34="on"),Skemaoplysninger!$I$47,"")</f>
        <v>5.2083333333333329E-2</v>
      </c>
      <c r="CG34" s="207" t="str">
        <f>IF(AND(C34="Skema 1",B34="to"),Skemaoplysninger!$K$47,"")</f>
        <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1.25</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4"/>
        <v/>
      </c>
      <c r="DL34" t="str">
        <f t="shared" si="14"/>
        <v/>
      </c>
      <c r="DM34" t="str">
        <f t="shared" si="14"/>
        <v/>
      </c>
      <c r="DN34" t="str">
        <f t="shared" si="35"/>
        <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5"/>
        <v>0</v>
      </c>
      <c r="FZ34" s="634">
        <f t="shared" si="16"/>
        <v>0</v>
      </c>
      <c r="GA34">
        <f t="shared" si="17"/>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8"/>
        <v>0</v>
      </c>
      <c r="GL34">
        <f t="shared" si="19"/>
        <v>0</v>
      </c>
      <c r="GM34">
        <f t="shared" si="20"/>
        <v>0</v>
      </c>
      <c r="GN34" s="713">
        <f t="shared" si="21"/>
        <v>0</v>
      </c>
      <c r="GO34">
        <f t="shared" si="37"/>
        <v>0</v>
      </c>
      <c r="GP34" s="647">
        <f t="shared" si="38"/>
        <v>0</v>
      </c>
    </row>
    <row r="35" spans="1:198">
      <c r="A35" s="239">
        <f t="shared" si="22"/>
        <v>22</v>
      </c>
      <c r="B35" s="125" t="str">
        <f t="shared" si="0"/>
        <v>to</v>
      </c>
      <c r="C35" s="126" t="s">
        <v>203</v>
      </c>
      <c r="D35" s="127" t="str">
        <f t="shared" si="1"/>
        <v/>
      </c>
      <c r="E35" s="1060" t="s">
        <v>769</v>
      </c>
      <c r="F35" s="1061"/>
      <c r="G35" s="1062"/>
      <c r="H35" s="292"/>
      <c r="I35" s="745"/>
      <c r="J35" s="746" t="str">
        <f t="shared" si="2"/>
        <v/>
      </c>
      <c r="K35" s="368"/>
      <c r="L35" s="368"/>
      <c r="M35" s="368"/>
      <c r="N35" s="311">
        <f t="shared" si="23"/>
        <v>9</v>
      </c>
      <c r="O35" s="311">
        <f t="shared" si="24"/>
        <v>3.75</v>
      </c>
      <c r="P35" s="311">
        <f>IF(Stamoplysninger!$H$34="JA",April!DG35,CX35)</f>
        <v>1</v>
      </c>
      <c r="Q35" s="311">
        <f t="shared" si="25"/>
        <v>4.25</v>
      </c>
      <c r="R35" s="751"/>
      <c r="S35" s="315"/>
      <c r="T35" s="316"/>
      <c r="U35" s="316"/>
      <c r="V35" s="422"/>
      <c r="W35" s="422"/>
      <c r="X35" s="621"/>
      <c r="Y35">
        <f t="shared" si="26"/>
        <v>0</v>
      </c>
      <c r="Z35" s="424">
        <f t="shared" si="27"/>
        <v>0</v>
      </c>
      <c r="AA35" s="1">
        <f t="shared" si="3"/>
        <v>0</v>
      </c>
      <c r="AB35" s="1">
        <f t="shared" si="4"/>
        <v>0</v>
      </c>
      <c r="AC35" s="1">
        <f t="shared" si="5"/>
        <v>0</v>
      </c>
      <c r="AD35" s="1">
        <f t="shared" si="6"/>
        <v>0</v>
      </c>
      <c r="AE35" s="1">
        <f t="shared" si="7"/>
        <v>0</v>
      </c>
      <c r="AF35" s="1">
        <f>IF(C35="Orlov",7.4*Stamoplysninger!$E$20,0)</f>
        <v>0</v>
      </c>
      <c r="AG35" t="str">
        <f>IF(AND(C35="Skema 1",B35="ma"),Arbejdstidsoversigt!$E$77,"")</f>
        <v/>
      </c>
      <c r="AH35" t="str">
        <f>IF(AND(C35="Skema 1",B35="ti"),Arbejdstidsoversigt!$E$78,"")</f>
        <v/>
      </c>
      <c r="AI35" t="str">
        <f>IF(AND(C35="Skema 1",B35="on"),Arbejdstidsoversigt!$E$79,"")</f>
        <v/>
      </c>
      <c r="AJ35">
        <f>IF(AND(C35="Skema 1",B35="to"),Arbejdstidsoversigt!$E$80,"")</f>
        <v>9</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9</v>
      </c>
      <c r="BB35" s="224">
        <f t="shared" si="8"/>
        <v>216</v>
      </c>
      <c r="BC35" s="1">
        <f t="shared" si="29"/>
        <v>0</v>
      </c>
      <c r="BD35" s="1">
        <f t="shared" si="9"/>
        <v>0</v>
      </c>
      <c r="BE35" s="1">
        <f t="shared" si="10"/>
        <v>0</v>
      </c>
      <c r="BF35" s="1">
        <f t="shared" si="11"/>
        <v>0</v>
      </c>
      <c r="BG35" s="207" t="str">
        <f>IF(AND(C35="Skema 1",B35="ma"),Skemaoplysninger!$E$46,"")</f>
        <v/>
      </c>
      <c r="BH35" s="207" t="str">
        <f>IF(AND(C35="Skema 1",B35="ti"),Skemaoplysninger!$G$46,"")</f>
        <v/>
      </c>
      <c r="BI35" s="207" t="str">
        <f>IF(AND(C35="Skema 1",B35="on"),Skemaoplysninger!$I$46,"")</f>
        <v/>
      </c>
      <c r="BJ35" s="207">
        <f>IF(AND(C35="Skema 1",B35="to"),Skemaoplysninger!$K$46,"")</f>
        <v>0.15625</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3.75</v>
      </c>
      <c r="CB35" s="1">
        <f t="shared" si="12"/>
        <v>0</v>
      </c>
      <c r="CC35" s="1">
        <f t="shared" si="13"/>
        <v>0</v>
      </c>
      <c r="CD35" s="207" t="str">
        <f>IF(AND(C35="Skema 1",B35="ma"),Skemaoplysninger!$E$47,"")</f>
        <v/>
      </c>
      <c r="CE35" s="207" t="str">
        <f>IF(AND(C35="Skema 1",B35="ti"),Skemaoplysninger!$G$47,"")</f>
        <v/>
      </c>
      <c r="CF35" s="207" t="str">
        <f>IF(AND(C35="Skema 1",B35="on"),Skemaoplysninger!$I$47,"")</f>
        <v/>
      </c>
      <c r="CG35" s="207">
        <f>IF(AND(C35="Skema 1",B35="to"),Skemaoplysninger!$K$47,"")</f>
        <v>4.1666666666666664E-2</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1</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t="str">
        <f t="shared" si="33"/>
        <v>Lærermøde</v>
      </c>
      <c r="DJ35" t="str">
        <f t="shared" si="34"/>
        <v/>
      </c>
      <c r="DK35" t="str">
        <f t="shared" si="14"/>
        <v/>
      </c>
      <c r="DL35" t="str">
        <f t="shared" si="14"/>
        <v>Lærermøde</v>
      </c>
      <c r="DM35" t="str">
        <f t="shared" si="14"/>
        <v/>
      </c>
      <c r="DN35" t="str">
        <f t="shared" si="35"/>
        <v>Lærermøde</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5"/>
        <v>0</v>
      </c>
      <c r="FZ35" s="634">
        <f t="shared" si="16"/>
        <v>0</v>
      </c>
      <c r="GA35">
        <f t="shared" si="17"/>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8"/>
        <v>0</v>
      </c>
      <c r="GL35">
        <f t="shared" si="19"/>
        <v>0</v>
      </c>
      <c r="GM35">
        <f t="shared" si="20"/>
        <v>0</v>
      </c>
      <c r="GN35" s="713">
        <f t="shared" si="21"/>
        <v>0</v>
      </c>
      <c r="GO35">
        <f t="shared" si="37"/>
        <v>0</v>
      </c>
      <c r="GP35" s="647">
        <f t="shared" si="38"/>
        <v>0</v>
      </c>
    </row>
    <row r="36" spans="1:198">
      <c r="A36" s="239">
        <f t="shared" si="22"/>
        <v>23</v>
      </c>
      <c r="B36" s="125" t="str">
        <f t="shared" si="0"/>
        <v>fr</v>
      </c>
      <c r="C36" s="126" t="s">
        <v>203</v>
      </c>
      <c r="D36" s="127" t="str">
        <f t="shared" si="1"/>
        <v/>
      </c>
      <c r="E36" s="1060"/>
      <c r="F36" s="1061"/>
      <c r="G36" s="1062"/>
      <c r="H36" s="292"/>
      <c r="I36" s="745"/>
      <c r="J36" s="746" t="str">
        <f t="shared" si="2"/>
        <v/>
      </c>
      <c r="K36" s="368"/>
      <c r="L36" s="368"/>
      <c r="M36" s="368"/>
      <c r="N36" s="311">
        <f t="shared" si="23"/>
        <v>7.1</v>
      </c>
      <c r="O36" s="311">
        <f t="shared" si="24"/>
        <v>3.75</v>
      </c>
      <c r="P36" s="311">
        <f>IF(Stamoplysninger!$H$34="JA",April!DG36,CX36)</f>
        <v>1</v>
      </c>
      <c r="Q36" s="311">
        <f t="shared" si="25"/>
        <v>2.3499999999999996</v>
      </c>
      <c r="R36" s="751"/>
      <c r="S36" s="315"/>
      <c r="T36" s="316"/>
      <c r="U36" s="316"/>
      <c r="V36" s="422"/>
      <c r="W36" s="422"/>
      <c r="X36" s="621"/>
      <c r="Y36">
        <f t="shared" si="26"/>
        <v>0</v>
      </c>
      <c r="Z36" s="424">
        <f t="shared" si="27"/>
        <v>0</v>
      </c>
      <c r="AA36" s="1">
        <f t="shared" si="3"/>
        <v>0</v>
      </c>
      <c r="AB36" s="1">
        <f t="shared" si="4"/>
        <v>0</v>
      </c>
      <c r="AC36" s="1">
        <f t="shared" si="5"/>
        <v>0</v>
      </c>
      <c r="AD36" s="1">
        <f t="shared" si="6"/>
        <v>0</v>
      </c>
      <c r="AE36" s="1">
        <f t="shared" si="7"/>
        <v>0</v>
      </c>
      <c r="AF36" s="1">
        <f>IF(C36="Orlov",7.4*Stamoplysninger!$E$20,0)</f>
        <v>0</v>
      </c>
      <c r="AG36" t="str">
        <f>IF(AND(C36="Skema 1",B36="ma"),Arbejdstidsoversigt!$E$77,"")</f>
        <v/>
      </c>
      <c r="AH36" t="str">
        <f>IF(AND(C36="Skema 1",B36="ti"),Arbejdstidsoversigt!$E$78,"")</f>
        <v/>
      </c>
      <c r="AI36" t="str">
        <f>IF(AND(C36="Skema 1",B36="on"),Arbejdstidsoversigt!$E$79,"")</f>
        <v/>
      </c>
      <c r="AJ36" t="str">
        <f>IF(AND(C36="Skema 1",B36="to"),Arbejdstidsoversigt!$E$80,"")</f>
        <v/>
      </c>
      <c r="AK36">
        <f>IF(AND(C36="Skema 1",B36="fr"),Arbejdstidsoversigt!$E$81,"")</f>
        <v>7.1</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7.1</v>
      </c>
      <c r="BB36" s="224">
        <f t="shared" si="8"/>
        <v>170.39999999999998</v>
      </c>
      <c r="BC36" s="1">
        <f t="shared" si="29"/>
        <v>0</v>
      </c>
      <c r="BD36" s="1">
        <f t="shared" si="9"/>
        <v>0</v>
      </c>
      <c r="BE36" s="1">
        <f t="shared" si="10"/>
        <v>0</v>
      </c>
      <c r="BF36" s="1">
        <f t="shared" si="11"/>
        <v>0</v>
      </c>
      <c r="BG36" s="207" t="str">
        <f>IF(AND(C36="Skema 1",B36="ma"),Skemaoplysninger!$E$46,"")</f>
        <v/>
      </c>
      <c r="BH36" s="207" t="str">
        <f>IF(AND(C36="Skema 1",B36="ti"),Skemaoplysninger!$G$46,"")</f>
        <v/>
      </c>
      <c r="BI36" s="207" t="str">
        <f>IF(AND(C36="Skema 1",B36="on"),Skemaoplysninger!$I$46,"")</f>
        <v/>
      </c>
      <c r="BJ36" s="207" t="str">
        <f>IF(AND(C36="Skema 1",B36="to"),Skemaoplysninger!$K$46,"")</f>
        <v/>
      </c>
      <c r="BK36" s="207">
        <f>IF(AND(C36="Skema 1",B36="fr"),Skemaoplysninger!$M$46,"")</f>
        <v>0.15625</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3.75</v>
      </c>
      <c r="CB36" s="1">
        <f t="shared" si="12"/>
        <v>0</v>
      </c>
      <c r="CC36" s="1">
        <f t="shared" si="13"/>
        <v>0</v>
      </c>
      <c r="CD36" s="207" t="str">
        <f>IF(AND(C36="Skema 1",B36="ma"),Skemaoplysninger!$E$47,"")</f>
        <v/>
      </c>
      <c r="CE36" s="207" t="str">
        <f>IF(AND(C36="Skema 1",B36="ti"),Skemaoplysninger!$G$47,"")</f>
        <v/>
      </c>
      <c r="CF36" s="207" t="str">
        <f>IF(AND(C36="Skema 1",B36="on"),Skemaoplysninger!$I$47,"")</f>
        <v/>
      </c>
      <c r="CG36" s="207" t="str">
        <f>IF(AND(C36="Skema 1",B36="to"),Skemaoplysninger!$K$47,"")</f>
        <v/>
      </c>
      <c r="CH36" s="207">
        <f>IF(AND(C36="Skema 1",B36="fr"),Skemaoplysninger!$M$47,"")</f>
        <v>4.1666666666666664E-2</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1</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4"/>
        <v/>
      </c>
      <c r="DL36" t="str">
        <f t="shared" si="14"/>
        <v/>
      </c>
      <c r="DM36" t="str">
        <f t="shared" si="14"/>
        <v/>
      </c>
      <c r="DN36" t="str">
        <f t="shared" si="35"/>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5"/>
        <v>0</v>
      </c>
      <c r="FZ36" s="634">
        <f t="shared" si="16"/>
        <v>0</v>
      </c>
      <c r="GA36">
        <f t="shared" si="17"/>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8"/>
        <v>0</v>
      </c>
      <c r="GL36">
        <f t="shared" si="19"/>
        <v>0</v>
      </c>
      <c r="GM36">
        <f t="shared" si="20"/>
        <v>0</v>
      </c>
      <c r="GN36" s="713">
        <f t="shared" si="21"/>
        <v>0</v>
      </c>
      <c r="GO36">
        <f t="shared" si="37"/>
        <v>0</v>
      </c>
      <c r="GP36" s="647">
        <f t="shared" si="38"/>
        <v>0</v>
      </c>
    </row>
    <row r="37" spans="1:198">
      <c r="A37" s="239">
        <f t="shared" si="22"/>
        <v>24</v>
      </c>
      <c r="B37" s="125" t="str">
        <f t="shared" si="0"/>
        <v>lø</v>
      </c>
      <c r="C37" s="126" t="s">
        <v>118</v>
      </c>
      <c r="D37" s="127" t="str">
        <f t="shared" si="1"/>
        <v/>
      </c>
      <c r="E37" s="1123"/>
      <c r="F37" s="1124"/>
      <c r="G37" s="1125"/>
      <c r="H37" s="292"/>
      <c r="I37" s="746" t="str">
        <f>IF(GO37=1,"X","")</f>
        <v/>
      </c>
      <c r="J37" s="746" t="str">
        <f t="shared" si="2"/>
        <v/>
      </c>
      <c r="K37" s="368"/>
      <c r="L37" s="368"/>
      <c r="M37" s="368"/>
      <c r="N37" s="311">
        <f t="shared" si="23"/>
        <v>0</v>
      </c>
      <c r="O37" s="311">
        <f t="shared" si="24"/>
        <v>0</v>
      </c>
      <c r="P37" s="311">
        <f>IF(Stamoplysninger!$H$34="JA",April!DG37,CX37)</f>
        <v>0</v>
      </c>
      <c r="Q37" s="311">
        <f t="shared" si="25"/>
        <v>0</v>
      </c>
      <c r="R37" s="751"/>
      <c r="S37" s="315"/>
      <c r="T37" s="316"/>
      <c r="U37" s="316"/>
      <c r="V37" s="422"/>
      <c r="W37" s="422"/>
      <c r="X37" s="621"/>
      <c r="Y37">
        <f t="shared" si="26"/>
        <v>0</v>
      </c>
      <c r="Z37" s="424">
        <f t="shared" si="27"/>
        <v>0</v>
      </c>
      <c r="AA37" s="1">
        <f t="shared" si="3"/>
        <v>0</v>
      </c>
      <c r="AB37" s="1">
        <f t="shared" si="4"/>
        <v>0</v>
      </c>
      <c r="AC37" s="1">
        <f t="shared" si="5"/>
        <v>0</v>
      </c>
      <c r="AD37" s="1">
        <f t="shared" si="6"/>
        <v>0</v>
      </c>
      <c r="AE37" s="1">
        <f t="shared" si="7"/>
        <v>0</v>
      </c>
      <c r="AF37" s="1">
        <f>IF(C37="Orlov",7.4*Stamoplysninger!$E$20,0)</f>
        <v>0</v>
      </c>
      <c r="AG37" t="str">
        <f>IF(AND(C37="Skema 1",B37="ma"),Arbejdstidsoversigt!$E$77,"")</f>
        <v/>
      </c>
      <c r="AH37" t="str">
        <f>IF(AND(C37="Skema 1",B37="ti"),Arbejdstidsoversigt!$E$78,"")</f>
        <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8"/>
        <v>0</v>
      </c>
      <c r="BC37" s="1">
        <f t="shared" si="29"/>
        <v>0</v>
      </c>
      <c r="BD37" s="1">
        <f t="shared" si="9"/>
        <v>0</v>
      </c>
      <c r="BE37" s="1">
        <f t="shared" si="10"/>
        <v>0</v>
      </c>
      <c r="BF37" s="1">
        <f t="shared" si="11"/>
        <v>0</v>
      </c>
      <c r="BG37" s="207" t="str">
        <f>IF(AND(C37="Skema 1",B37="ma"),Skemaoplysninger!$E$46,"")</f>
        <v/>
      </c>
      <c r="BH37" s="207" t="str">
        <f>IF(AND(C37="Skema 1",B37="ti"),Skemaoplysninger!$G$46,"")</f>
        <v/>
      </c>
      <c r="BI37" s="207" t="str">
        <f>IF(AND(C37="Skema 1",B37="on"),Skemaoplysninger!$I$46,"")</f>
        <v/>
      </c>
      <c r="BJ37" s="207" t="str">
        <f>IF(AND(C37="Skema 1",B37="to"),Skemaoplysninger!$K$46,"")</f>
        <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0</v>
      </c>
      <c r="CB37" s="1">
        <f t="shared" si="12"/>
        <v>0</v>
      </c>
      <c r="CC37" s="1">
        <f t="shared" si="13"/>
        <v>0</v>
      </c>
      <c r="CD37" s="207" t="str">
        <f>IF(AND(C37="Skema 1",B37="ma"),Skemaoplysninger!$E$47,"")</f>
        <v/>
      </c>
      <c r="CE37" s="207" t="str">
        <f>IF(AND(C37="Skema 1",B37="ti"),Skemaoplysninger!$G$47,"")</f>
        <v/>
      </c>
      <c r="CF37" s="207" t="str">
        <f>IF(AND(C37="Skema 1",B37="on"),Skemaoplysninger!$I$47,"")</f>
        <v/>
      </c>
      <c r="CG37" s="207" t="str">
        <f>IF(AND(C37="Skema 1",B37="to"),Skemaoplysninger!$K$47,"")</f>
        <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4"/>
        <v/>
      </c>
      <c r="DL37" t="str">
        <f t="shared" si="14"/>
        <v/>
      </c>
      <c r="DM37" t="str">
        <f t="shared" si="14"/>
        <v/>
      </c>
      <c r="DN37" t="str">
        <f t="shared" si="35"/>
        <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5"/>
        <v>0</v>
      </c>
      <c r="FZ37" s="634">
        <f t="shared" si="16"/>
        <v>0</v>
      </c>
      <c r="GA37">
        <f t="shared" si="17"/>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8"/>
        <v>0</v>
      </c>
      <c r="GL37">
        <f t="shared" si="19"/>
        <v>0</v>
      </c>
      <c r="GM37">
        <f t="shared" si="20"/>
        <v>0</v>
      </c>
      <c r="GN37" s="713">
        <f t="shared" si="21"/>
        <v>0</v>
      </c>
      <c r="GO37">
        <f t="shared" si="37"/>
        <v>0</v>
      </c>
      <c r="GP37" s="647">
        <f t="shared" si="38"/>
        <v>0</v>
      </c>
    </row>
    <row r="38" spans="1:198">
      <c r="A38" s="239">
        <f t="shared" si="22"/>
        <v>25</v>
      </c>
      <c r="B38" s="125" t="str">
        <f t="shared" si="0"/>
        <v>sø</v>
      </c>
      <c r="C38" s="126" t="s">
        <v>118</v>
      </c>
      <c r="D38" s="127" t="str">
        <f t="shared" si="1"/>
        <v/>
      </c>
      <c r="E38" s="1060"/>
      <c r="F38" s="1061"/>
      <c r="G38" s="1062"/>
      <c r="H38" s="292"/>
      <c r="I38" s="746" t="str">
        <f>IF(GO38=1,"X","")</f>
        <v/>
      </c>
      <c r="J38" s="746" t="str">
        <f t="shared" si="2"/>
        <v/>
      </c>
      <c r="K38" s="368"/>
      <c r="L38" s="368"/>
      <c r="M38" s="368"/>
      <c r="N38" s="311">
        <f t="shared" si="23"/>
        <v>0</v>
      </c>
      <c r="O38" s="311">
        <f t="shared" si="24"/>
        <v>0</v>
      </c>
      <c r="P38" s="311">
        <f>IF(Stamoplysninger!$H$34="JA",April!DG38,CX38)</f>
        <v>0</v>
      </c>
      <c r="Q38" s="311">
        <f t="shared" si="25"/>
        <v>0</v>
      </c>
      <c r="R38" s="751"/>
      <c r="S38" s="315"/>
      <c r="T38" s="316"/>
      <c r="U38" s="316"/>
      <c r="V38" s="422"/>
      <c r="W38" s="422"/>
      <c r="X38" s="621"/>
      <c r="Y38">
        <f t="shared" si="26"/>
        <v>0</v>
      </c>
      <c r="Z38" s="424">
        <f t="shared" si="27"/>
        <v>0</v>
      </c>
      <c r="AA38" s="1">
        <f t="shared" si="3"/>
        <v>0</v>
      </c>
      <c r="AB38" s="1">
        <f t="shared" si="4"/>
        <v>0</v>
      </c>
      <c r="AC38" s="1">
        <f t="shared" si="5"/>
        <v>0</v>
      </c>
      <c r="AD38" s="1">
        <f t="shared" si="6"/>
        <v>0</v>
      </c>
      <c r="AE38" s="1">
        <f t="shared" si="7"/>
        <v>0</v>
      </c>
      <c r="AF38" s="1">
        <f>IF(C38="Orlov",7.4*Stamoplysninger!$E$20,0)</f>
        <v>0</v>
      </c>
      <c r="AG38" t="str">
        <f>IF(AND(C38="Skema 1",B38="ma"),Arbejdstidsoversigt!$E$77,"")</f>
        <v/>
      </c>
      <c r="AH38" t="str">
        <f>IF(AND(C38="Skema 1",B38="ti"),Arbejdstidsoversigt!$E$78,"")</f>
        <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8"/>
        <v>0</v>
      </c>
      <c r="BC38" s="1">
        <f t="shared" si="29"/>
        <v>0</v>
      </c>
      <c r="BD38" s="1">
        <f t="shared" si="9"/>
        <v>0</v>
      </c>
      <c r="BE38" s="1">
        <f t="shared" si="10"/>
        <v>0</v>
      </c>
      <c r="BF38" s="1">
        <f t="shared" si="11"/>
        <v>0</v>
      </c>
      <c r="BG38" s="207" t="str">
        <f>IF(AND(C38="Skema 1",B38="ma"),Skemaoplysninger!$E$46,"")</f>
        <v/>
      </c>
      <c r="BH38" s="207" t="str">
        <f>IF(AND(C38="Skema 1",B38="ti"),Skemaoplysninger!$G$46,"")</f>
        <v/>
      </c>
      <c r="BI38" s="207" t="str">
        <f>IF(AND(C38="Skema 1",B38="on"),Skemaoplysninger!$I$46,"")</f>
        <v/>
      </c>
      <c r="BJ38" s="207" t="str">
        <f>IF(AND(C38="Skema 1",B38="to"),Skemaoplysninger!$K$46,"")</f>
        <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0</v>
      </c>
      <c r="CB38" s="1">
        <f t="shared" si="12"/>
        <v>0</v>
      </c>
      <c r="CC38" s="1">
        <f t="shared" si="13"/>
        <v>0</v>
      </c>
      <c r="CD38" s="207" t="str">
        <f>IF(AND(C38="Skema 1",B38="ma"),Skemaoplysninger!$E$47,"")</f>
        <v/>
      </c>
      <c r="CE38" s="207" t="str">
        <f>IF(AND(C38="Skema 1",B38="ti"),Skemaoplysninger!$G$47,"")</f>
        <v/>
      </c>
      <c r="CF38" s="207" t="str">
        <f>IF(AND(C38="Skema 1",B38="on"),Skemaoplysninger!$I$47,"")</f>
        <v/>
      </c>
      <c r="CG38" s="207" t="str">
        <f>IF(AND(C38="Skema 1",B38="to"),Skemaoplysninger!$K$47,"")</f>
        <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f t="shared" si="33"/>
        <v>0</v>
      </c>
      <c r="DJ38">
        <f t="shared" si="34"/>
        <v>0</v>
      </c>
      <c r="DK38" t="str">
        <f t="shared" si="14"/>
        <v/>
      </c>
      <c r="DL38" t="str">
        <f t="shared" si="14"/>
        <v/>
      </c>
      <c r="DM38" t="str">
        <f t="shared" si="14"/>
        <v/>
      </c>
      <c r="DN38" t="str">
        <f t="shared" si="35"/>
        <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5"/>
        <v>0</v>
      </c>
      <c r="FZ38" s="634">
        <f t="shared" si="16"/>
        <v>0</v>
      </c>
      <c r="GA38">
        <f t="shared" si="17"/>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8"/>
        <v>0</v>
      </c>
      <c r="GL38">
        <f t="shared" si="19"/>
        <v>0</v>
      </c>
      <c r="GM38">
        <f t="shared" si="20"/>
        <v>0</v>
      </c>
      <c r="GN38" s="713">
        <f t="shared" si="21"/>
        <v>0</v>
      </c>
      <c r="GO38">
        <f t="shared" si="37"/>
        <v>0</v>
      </c>
      <c r="GP38" s="647">
        <f t="shared" si="38"/>
        <v>0</v>
      </c>
    </row>
    <row r="39" spans="1:198">
      <c r="A39" s="239">
        <f t="shared" si="22"/>
        <v>26</v>
      </c>
      <c r="B39" s="125" t="str">
        <f t="shared" si="0"/>
        <v>ma</v>
      </c>
      <c r="C39" s="126" t="s">
        <v>203</v>
      </c>
      <c r="D39" s="127">
        <f t="shared" si="1"/>
        <v>17.428571428571427</v>
      </c>
      <c r="E39" s="1060"/>
      <c r="F39" s="1061"/>
      <c r="G39" s="1062"/>
      <c r="H39" s="292"/>
      <c r="I39" s="745"/>
      <c r="J39" s="746" t="str">
        <f t="shared" si="2"/>
        <v/>
      </c>
      <c r="K39" s="368"/>
      <c r="L39" s="368"/>
      <c r="M39" s="368"/>
      <c r="N39" s="311">
        <f t="shared" si="23"/>
        <v>8.11</v>
      </c>
      <c r="O39" s="311">
        <f t="shared" si="24"/>
        <v>4.5</v>
      </c>
      <c r="P39" s="311">
        <f>IF(Stamoplysninger!$H$34="JA",April!DG39,CX39)</f>
        <v>1.9166666666666665</v>
      </c>
      <c r="Q39" s="311">
        <f t="shared" si="25"/>
        <v>1.6933333333333329</v>
      </c>
      <c r="R39" s="751"/>
      <c r="S39" s="315"/>
      <c r="T39" s="316"/>
      <c r="U39" s="316"/>
      <c r="V39" s="422"/>
      <c r="W39" s="422"/>
      <c r="X39" s="621"/>
      <c r="Y39">
        <f t="shared" si="26"/>
        <v>0</v>
      </c>
      <c r="Z39" s="424">
        <f t="shared" si="27"/>
        <v>0</v>
      </c>
      <c r="AA39" s="1">
        <f t="shared" si="3"/>
        <v>0</v>
      </c>
      <c r="AB39" s="1">
        <f t="shared" si="4"/>
        <v>0</v>
      </c>
      <c r="AC39" s="1">
        <f t="shared" si="5"/>
        <v>0</v>
      </c>
      <c r="AD39" s="1">
        <f t="shared" si="6"/>
        <v>0</v>
      </c>
      <c r="AE39" s="1">
        <f t="shared" si="7"/>
        <v>0</v>
      </c>
      <c r="AF39" s="1">
        <f>IF(C39="Orlov",7.4*Stamoplysninger!$E$20,0)</f>
        <v>0</v>
      </c>
      <c r="AG39">
        <f>IF(AND(C39="Skema 1",B39="ma"),Arbejdstidsoversigt!$E$77,"")</f>
        <v>8.11</v>
      </c>
      <c r="AH39" t="str">
        <f>IF(AND(C39="Skema 1",B39="ti"),Arbejdstidsoversigt!$E$78,"")</f>
        <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8.11</v>
      </c>
      <c r="BB39" s="224">
        <f t="shared" si="8"/>
        <v>194.64</v>
      </c>
      <c r="BC39" s="1">
        <f t="shared" si="29"/>
        <v>0</v>
      </c>
      <c r="BD39" s="1">
        <f t="shared" si="9"/>
        <v>0</v>
      </c>
      <c r="BE39" s="1">
        <f t="shared" si="10"/>
        <v>0</v>
      </c>
      <c r="BF39" s="1">
        <f t="shared" si="11"/>
        <v>0</v>
      </c>
      <c r="BG39" s="207">
        <f>IF(AND(C39="Skema 1",B39="ma"),Skemaoplysninger!$E$46,"")</f>
        <v>0.1875</v>
      </c>
      <c r="BH39" s="207" t="str">
        <f>IF(AND(C39="Skema 1",B39="ti"),Skemaoplysninger!$G$46,"")</f>
        <v/>
      </c>
      <c r="BI39" s="207" t="str">
        <f>IF(AND(C39="Skema 1",B39="on"),Skemaoplysninger!$I$46,"")</f>
        <v/>
      </c>
      <c r="BJ39" s="207" t="str">
        <f>IF(AND(C39="Skema 1",B39="to"),Skemaoplysninger!$K$46,"")</f>
        <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4.5</v>
      </c>
      <c r="CB39" s="1">
        <f t="shared" si="12"/>
        <v>0</v>
      </c>
      <c r="CC39" s="1">
        <f t="shared" si="13"/>
        <v>0</v>
      </c>
      <c r="CD39" s="207">
        <f>IF(AND(C39="Skema 1",B39="ma"),Skemaoplysninger!$E$47,"")</f>
        <v>7.9861111111111105E-2</v>
      </c>
      <c r="CE39" s="207" t="str">
        <f>IF(AND(C39="Skema 1",B39="ti"),Skemaoplysninger!$G$47,"")</f>
        <v/>
      </c>
      <c r="CF39" s="207" t="str">
        <f>IF(AND(C39="Skema 1",B39="on"),Skemaoplysninger!$I$47,"")</f>
        <v/>
      </c>
      <c r="CG39" s="207" t="str">
        <f>IF(AND(C39="Skema 1",B39="to"),Skemaoplysninger!$K$47,"")</f>
        <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1.9166666666666665</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4"/>
        <v/>
      </c>
      <c r="DL39" t="str">
        <f t="shared" si="14"/>
        <v/>
      </c>
      <c r="DM39" t="str">
        <f t="shared" si="14"/>
        <v/>
      </c>
      <c r="DN39" t="str">
        <f t="shared" si="35"/>
        <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5"/>
        <v>0</v>
      </c>
      <c r="FZ39" s="634">
        <f t="shared" si="16"/>
        <v>0</v>
      </c>
      <c r="GA39">
        <f t="shared" si="17"/>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8"/>
        <v>0</v>
      </c>
      <c r="GL39">
        <f t="shared" si="19"/>
        <v>0</v>
      </c>
      <c r="GM39">
        <f t="shared" si="20"/>
        <v>0</v>
      </c>
      <c r="GN39" s="713">
        <f t="shared" si="21"/>
        <v>0</v>
      </c>
      <c r="GO39">
        <f t="shared" si="37"/>
        <v>0</v>
      </c>
      <c r="GP39" s="647">
        <f t="shared" si="38"/>
        <v>0</v>
      </c>
    </row>
    <row r="40" spans="1:198">
      <c r="A40" s="239">
        <f t="shared" si="22"/>
        <v>27</v>
      </c>
      <c r="B40" s="125" t="str">
        <f t="shared" si="0"/>
        <v>ti</v>
      </c>
      <c r="C40" s="126" t="s">
        <v>203</v>
      </c>
      <c r="D40" s="127" t="str">
        <f t="shared" si="1"/>
        <v/>
      </c>
      <c r="E40" s="1060"/>
      <c r="F40" s="1061"/>
      <c r="G40" s="1062"/>
      <c r="H40" s="292"/>
      <c r="I40" s="745"/>
      <c r="J40" s="746" t="str">
        <f t="shared" si="2"/>
        <v/>
      </c>
      <c r="K40" s="368"/>
      <c r="L40" s="368"/>
      <c r="M40" s="368"/>
      <c r="N40" s="311">
        <f t="shared" si="23"/>
        <v>8.11</v>
      </c>
      <c r="O40" s="311">
        <f t="shared" si="24"/>
        <v>4.5</v>
      </c>
      <c r="P40" s="311">
        <f>IF(Stamoplysninger!$H$34="JA",April!DG40,CX40)</f>
        <v>1.9166666666666665</v>
      </c>
      <c r="Q40" s="311">
        <f t="shared" si="25"/>
        <v>1.6933333333333329</v>
      </c>
      <c r="R40" s="751"/>
      <c r="S40" s="315"/>
      <c r="T40" s="316"/>
      <c r="U40" s="316"/>
      <c r="V40" s="422"/>
      <c r="W40" s="422"/>
      <c r="X40" s="621"/>
      <c r="Y40">
        <f t="shared" si="26"/>
        <v>0</v>
      </c>
      <c r="Z40" s="424">
        <f t="shared" si="27"/>
        <v>0</v>
      </c>
      <c r="AA40" s="1">
        <f t="shared" si="3"/>
        <v>0</v>
      </c>
      <c r="AB40" s="1">
        <f t="shared" si="4"/>
        <v>0</v>
      </c>
      <c r="AC40" s="1">
        <f t="shared" si="5"/>
        <v>0</v>
      </c>
      <c r="AD40" s="1">
        <f t="shared" si="6"/>
        <v>0</v>
      </c>
      <c r="AE40" s="1">
        <f t="shared" si="7"/>
        <v>0</v>
      </c>
      <c r="AF40" s="1">
        <f>IF(C40="Orlov",7.4*Stamoplysninger!$E$20,0)</f>
        <v>0</v>
      </c>
      <c r="AG40" t="str">
        <f>IF(AND(C40="Skema 1",B40="ma"),Arbejdstidsoversigt!$E$77,"")</f>
        <v/>
      </c>
      <c r="AH40">
        <f>IF(AND(C40="Skema 1",B40="ti"),Arbejdstidsoversigt!$E$78,"")</f>
        <v>8.11</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8.11</v>
      </c>
      <c r="BB40" s="224">
        <f t="shared" si="8"/>
        <v>194.64</v>
      </c>
      <c r="BC40" s="1">
        <f t="shared" si="29"/>
        <v>0</v>
      </c>
      <c r="BD40" s="1">
        <f t="shared" si="9"/>
        <v>0</v>
      </c>
      <c r="BE40" s="1">
        <f t="shared" si="10"/>
        <v>0</v>
      </c>
      <c r="BF40" s="1">
        <f t="shared" si="11"/>
        <v>0</v>
      </c>
      <c r="BG40" s="207" t="str">
        <f>IF(AND(C40="Skema 1",B40="ma"),Skemaoplysninger!$E$46,"")</f>
        <v/>
      </c>
      <c r="BH40" s="207">
        <f>IF(AND(C40="Skema 1",B40="ti"),Skemaoplysninger!$G$46,"")</f>
        <v>0.1875</v>
      </c>
      <c r="BI40" s="207" t="str">
        <f>IF(AND(C40="Skema 1",B40="on"),Skemaoplysninger!$I$46,"")</f>
        <v/>
      </c>
      <c r="BJ40" s="207" t="str">
        <f>IF(AND(C40="Skema 1",B40="to"),Skemaoplysninger!$K$46,"")</f>
        <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0"/>
        <v>4.5</v>
      </c>
      <c r="CB40" s="1">
        <f t="shared" si="12"/>
        <v>0</v>
      </c>
      <c r="CC40" s="1">
        <f t="shared" si="13"/>
        <v>0</v>
      </c>
      <c r="CD40" s="207" t="str">
        <f>IF(AND(C40="Skema 1",B40="ma"),Skemaoplysninger!$E$47,"")</f>
        <v/>
      </c>
      <c r="CE40" s="207">
        <f>IF(AND(C40="Skema 1",B40="ti"),Skemaoplysninger!$G$47,"")</f>
        <v>7.9861111111111105E-2</v>
      </c>
      <c r="CF40" s="207" t="str">
        <f>IF(AND(C40="Skema 1",B40="on"),Skemaoplysninger!$I$47,"")</f>
        <v/>
      </c>
      <c r="CG40" s="207" t="str">
        <f>IF(AND(C40="Skema 1",B40="to"),Skemaoplysninger!$K$47,"")</f>
        <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1.9166666666666665</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4"/>
        <v/>
      </c>
      <c r="DL40" t="str">
        <f t="shared" si="14"/>
        <v/>
      </c>
      <c r="DM40" t="str">
        <f t="shared" si="14"/>
        <v/>
      </c>
      <c r="DN40" t="str">
        <f t="shared" si="35"/>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5"/>
        <v>0</v>
      </c>
      <c r="FZ40" s="634">
        <f t="shared" si="16"/>
        <v>0</v>
      </c>
      <c r="GA40">
        <f t="shared" si="17"/>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8"/>
        <v>0</v>
      </c>
      <c r="GL40">
        <f t="shared" si="19"/>
        <v>0</v>
      </c>
      <c r="GM40">
        <f t="shared" si="20"/>
        <v>0</v>
      </c>
      <c r="GN40" s="713">
        <f t="shared" si="21"/>
        <v>0</v>
      </c>
      <c r="GO40">
        <f t="shared" si="37"/>
        <v>0</v>
      </c>
      <c r="GP40" s="647">
        <f t="shared" si="38"/>
        <v>0</v>
      </c>
    </row>
    <row r="41" spans="1:198">
      <c r="A41" s="239">
        <f t="shared" si="22"/>
        <v>28</v>
      </c>
      <c r="B41" s="125" t="str">
        <f t="shared" si="0"/>
        <v>on</v>
      </c>
      <c r="C41" s="126" t="s">
        <v>203</v>
      </c>
      <c r="D41" s="127" t="str">
        <f t="shared" si="1"/>
        <v/>
      </c>
      <c r="E41" s="1060"/>
      <c r="F41" s="1061"/>
      <c r="G41" s="1062"/>
      <c r="H41" s="292"/>
      <c r="I41" s="745"/>
      <c r="J41" s="746" t="str">
        <f t="shared" si="2"/>
        <v/>
      </c>
      <c r="K41" s="368"/>
      <c r="L41" s="368"/>
      <c r="M41" s="368"/>
      <c r="N41" s="311">
        <f t="shared" si="23"/>
        <v>8.11</v>
      </c>
      <c r="O41" s="311">
        <f t="shared" si="24"/>
        <v>2.75</v>
      </c>
      <c r="P41" s="311">
        <f>IF(Stamoplysninger!$H$34="JA",April!DG41,CX41)</f>
        <v>1.25</v>
      </c>
      <c r="Q41" s="311">
        <f t="shared" si="25"/>
        <v>4.1099999999999994</v>
      </c>
      <c r="R41" s="751"/>
      <c r="S41" s="315"/>
      <c r="T41" s="316"/>
      <c r="U41" s="316"/>
      <c r="V41" s="422"/>
      <c r="W41" s="422"/>
      <c r="X41" s="621"/>
      <c r="Y41">
        <f t="shared" si="26"/>
        <v>0</v>
      </c>
      <c r="Z41" s="424">
        <f t="shared" si="27"/>
        <v>0</v>
      </c>
      <c r="AA41" s="1">
        <f t="shared" si="3"/>
        <v>0</v>
      </c>
      <c r="AB41" s="1">
        <f t="shared" si="4"/>
        <v>0</v>
      </c>
      <c r="AC41" s="1">
        <f t="shared" si="5"/>
        <v>0</v>
      </c>
      <c r="AD41" s="1">
        <f t="shared" si="6"/>
        <v>0</v>
      </c>
      <c r="AE41" s="1">
        <f t="shared" si="7"/>
        <v>0</v>
      </c>
      <c r="AF41" s="1">
        <f>IF(C41="Orlov",7.4*Stamoplysninger!$E$20,0)</f>
        <v>0</v>
      </c>
      <c r="AG41" t="str">
        <f>IF(AND(C41="Skema 1",B41="ma"),Arbejdstidsoversigt!$E$77,"")</f>
        <v/>
      </c>
      <c r="AH41" t="str">
        <f>IF(AND(C41="Skema 1",B41="ti"),Arbejdstidsoversigt!$E$78,"")</f>
        <v/>
      </c>
      <c r="AI41">
        <f>IF(AND(C41="Skema 1",B41="on"),Arbejdstidsoversigt!$E$79,"")</f>
        <v>8.11</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8.11</v>
      </c>
      <c r="BB41" s="224">
        <f t="shared" si="8"/>
        <v>194.64</v>
      </c>
      <c r="BC41" s="1">
        <f t="shared" si="29"/>
        <v>0</v>
      </c>
      <c r="BD41" s="1">
        <f t="shared" si="9"/>
        <v>0</v>
      </c>
      <c r="BE41" s="1">
        <f t="shared" si="10"/>
        <v>0</v>
      </c>
      <c r="BF41" s="1">
        <f t="shared" si="11"/>
        <v>0</v>
      </c>
      <c r="BG41" s="207" t="str">
        <f>IF(AND(C41="Skema 1",B41="ma"),Skemaoplysninger!$E$46,"")</f>
        <v/>
      </c>
      <c r="BH41" s="207" t="str">
        <f>IF(AND(C41="Skema 1",B41="ti"),Skemaoplysninger!$G$46,"")</f>
        <v/>
      </c>
      <c r="BI41" s="207">
        <f>IF(AND(C41="Skema 1",B41="on"),Skemaoplysninger!$I$46,"")</f>
        <v>0.11458333333333333</v>
      </c>
      <c r="BJ41" s="207" t="str">
        <f>IF(AND(C41="Skema 1",B41="to"),Skemaoplysninger!$K$46,"")</f>
        <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0"/>
        <v>2.75</v>
      </c>
      <c r="CB41" s="1">
        <f t="shared" si="12"/>
        <v>0</v>
      </c>
      <c r="CC41" s="1">
        <f t="shared" si="13"/>
        <v>0</v>
      </c>
      <c r="CD41" s="207" t="str">
        <f>IF(AND(C41="Skema 1",B41="ma"),Skemaoplysninger!$E$47,"")</f>
        <v/>
      </c>
      <c r="CE41" s="207" t="str">
        <f>IF(AND(C41="Skema 1",B41="ti"),Skemaoplysninger!$G$47,"")</f>
        <v/>
      </c>
      <c r="CF41" s="207">
        <f>IF(AND(C41="Skema 1",B41="on"),Skemaoplysninger!$I$47,"")</f>
        <v>5.2083333333333329E-2</v>
      </c>
      <c r="CG41" s="207" t="str">
        <f>IF(AND(C41="Skema 1",B41="to"),Skemaoplysninger!$K$47,"")</f>
        <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1.25</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4"/>
        <v/>
      </c>
      <c r="DL41" t="str">
        <f t="shared" si="14"/>
        <v/>
      </c>
      <c r="DM41" t="str">
        <f t="shared" si="14"/>
        <v/>
      </c>
      <c r="DN41" t="str">
        <f t="shared" si="35"/>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5"/>
        <v>0</v>
      </c>
      <c r="FZ41" s="634">
        <f t="shared" si="16"/>
        <v>0</v>
      </c>
      <c r="GA41">
        <f t="shared" si="17"/>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8"/>
        <v>0</v>
      </c>
      <c r="GL41">
        <f t="shared" si="19"/>
        <v>0</v>
      </c>
      <c r="GM41">
        <f t="shared" si="20"/>
        <v>0</v>
      </c>
      <c r="GN41" s="713">
        <f t="shared" si="21"/>
        <v>0</v>
      </c>
      <c r="GO41">
        <f t="shared" si="37"/>
        <v>0</v>
      </c>
      <c r="GP41" s="647">
        <f t="shared" si="38"/>
        <v>0</v>
      </c>
    </row>
    <row r="42" spans="1:198">
      <c r="A42" s="239">
        <f>IF(ISNUMBER(A41),A41+1,1)</f>
        <v>29</v>
      </c>
      <c r="B42" s="125" t="str">
        <f t="shared" si="0"/>
        <v>to</v>
      </c>
      <c r="C42" s="126" t="s">
        <v>203</v>
      </c>
      <c r="D42" s="127" t="str">
        <f t="shared" si="1"/>
        <v/>
      </c>
      <c r="E42" s="1060"/>
      <c r="F42" s="1061"/>
      <c r="G42" s="1062"/>
      <c r="H42" s="292"/>
      <c r="I42" s="745"/>
      <c r="J42" s="746" t="str">
        <f t="shared" si="2"/>
        <v/>
      </c>
      <c r="K42" s="368"/>
      <c r="L42" s="368"/>
      <c r="M42" s="368"/>
      <c r="N42" s="311">
        <f t="shared" si="23"/>
        <v>9</v>
      </c>
      <c r="O42" s="311">
        <f t="shared" si="24"/>
        <v>3.75</v>
      </c>
      <c r="P42" s="311">
        <f>IF(Stamoplysninger!$H$34="JA",April!DG42,CX42)</f>
        <v>1</v>
      </c>
      <c r="Q42" s="311">
        <f t="shared" si="25"/>
        <v>4.25</v>
      </c>
      <c r="R42" s="751"/>
      <c r="S42" s="315"/>
      <c r="T42" s="316"/>
      <c r="U42" s="316"/>
      <c r="V42" s="422"/>
      <c r="W42" s="422"/>
      <c r="X42" s="621"/>
      <c r="Y42">
        <f t="shared" si="26"/>
        <v>0</v>
      </c>
      <c r="Z42" s="424">
        <f t="shared" si="27"/>
        <v>0</v>
      </c>
      <c r="AA42" s="1">
        <f t="shared" si="3"/>
        <v>0</v>
      </c>
      <c r="AB42" s="1">
        <f t="shared" si="4"/>
        <v>0</v>
      </c>
      <c r="AC42" s="1">
        <f t="shared" si="5"/>
        <v>0</v>
      </c>
      <c r="AD42" s="1">
        <f t="shared" si="6"/>
        <v>0</v>
      </c>
      <c r="AE42" s="1">
        <f t="shared" si="7"/>
        <v>0</v>
      </c>
      <c r="AF42" s="1">
        <f>IF(C42="Orlov",7.4*Stamoplysninger!$E$20,0)</f>
        <v>0</v>
      </c>
      <c r="AG42" t="str">
        <f>IF(AND(C42="Skema 1",B42="ma"),Arbejdstidsoversigt!$E$77,"")</f>
        <v/>
      </c>
      <c r="AH42" t="str">
        <f>IF(AND(C42="Skema 1",B42="ti"),Arbejdstidsoversigt!$E$78,"")</f>
        <v/>
      </c>
      <c r="AI42" t="str">
        <f>IF(AND(C42="Skema 1",B42="on"),Arbejdstidsoversigt!$E$79,"")</f>
        <v/>
      </c>
      <c r="AJ42">
        <f>IF(AND(C42="Skema 1",B42="to"),Arbejdstidsoversigt!$E$80,"")</f>
        <v>9</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9</v>
      </c>
      <c r="BB42" s="224">
        <f t="shared" si="8"/>
        <v>216</v>
      </c>
      <c r="BC42" s="1">
        <f t="shared" si="29"/>
        <v>0</v>
      </c>
      <c r="BD42" s="1">
        <f t="shared" si="9"/>
        <v>0</v>
      </c>
      <c r="BE42" s="1">
        <f t="shared" si="10"/>
        <v>0</v>
      </c>
      <c r="BF42" s="1">
        <f t="shared" si="11"/>
        <v>0</v>
      </c>
      <c r="BG42" s="207" t="str">
        <f>IF(AND(C42="Skema 1",B42="ma"),Skemaoplysninger!$E$46,"")</f>
        <v/>
      </c>
      <c r="BH42" s="207" t="str">
        <f>IF(AND(C42="Skema 1",B42="ti"),Skemaoplysninger!$G$46,"")</f>
        <v/>
      </c>
      <c r="BI42" s="207" t="str">
        <f>IF(AND(C42="Skema 1",B42="on"),Skemaoplysninger!$I$46,"")</f>
        <v/>
      </c>
      <c r="BJ42" s="207">
        <f>IF(AND(C42="Skema 1",B42="to"),Skemaoplysninger!$K$46,"")</f>
        <v>0.15625</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 t="shared" si="30"/>
        <v>3.75</v>
      </c>
      <c r="CB42" s="1">
        <f t="shared" si="12"/>
        <v>0</v>
      </c>
      <c r="CC42" s="1">
        <f t="shared" si="13"/>
        <v>0</v>
      </c>
      <c r="CD42" s="207" t="str">
        <f>IF(AND(C42="Skema 1",B42="ma"),Skemaoplysninger!$E$47,"")</f>
        <v/>
      </c>
      <c r="CE42" s="207" t="str">
        <f>IF(AND(C42="Skema 1",B42="ti"),Skemaoplysninger!$G$47,"")</f>
        <v/>
      </c>
      <c r="CF42" s="207" t="str">
        <f>IF(AND(C42="Skema 1",B42="on"),Skemaoplysninger!$I$47,"")</f>
        <v/>
      </c>
      <c r="CG42" s="207">
        <f>IF(AND(C42="Skema 1",B42="to"),Skemaoplysninger!$K$47,"")</f>
        <v>4.1666666666666664E-2</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1</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f t="shared" si="33"/>
        <v>0</v>
      </c>
      <c r="DJ42">
        <f t="shared" si="34"/>
        <v>0</v>
      </c>
      <c r="DK42" t="str">
        <f t="shared" si="14"/>
        <v/>
      </c>
      <c r="DL42" t="str">
        <f t="shared" si="14"/>
        <v/>
      </c>
      <c r="DM42" t="str">
        <f t="shared" si="14"/>
        <v/>
      </c>
      <c r="DN42" t="str">
        <f t="shared" si="35"/>
        <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5"/>
        <v>0</v>
      </c>
      <c r="FZ42" s="634">
        <f t="shared" si="16"/>
        <v>0</v>
      </c>
      <c r="GA42">
        <f t="shared" si="17"/>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8"/>
        <v>0</v>
      </c>
      <c r="GL42">
        <f t="shared" si="19"/>
        <v>0</v>
      </c>
      <c r="GM42">
        <f t="shared" si="20"/>
        <v>0</v>
      </c>
      <c r="GN42" s="713">
        <f t="shared" si="21"/>
        <v>0</v>
      </c>
      <c r="GO42">
        <f t="shared" si="37"/>
        <v>0</v>
      </c>
      <c r="GP42" s="647">
        <f t="shared" si="38"/>
        <v>0</v>
      </c>
    </row>
    <row r="43" spans="1:198" ht="17" thickBot="1">
      <c r="A43" s="239">
        <f t="shared" si="22"/>
        <v>30</v>
      </c>
      <c r="B43" s="125" t="str">
        <f t="shared" si="0"/>
        <v>fr</v>
      </c>
      <c r="C43" s="126" t="s">
        <v>203</v>
      </c>
      <c r="D43" s="127" t="str">
        <f t="shared" si="1"/>
        <v/>
      </c>
      <c r="E43" s="1060"/>
      <c r="F43" s="1061"/>
      <c r="G43" s="1062"/>
      <c r="H43" s="292"/>
      <c r="I43" s="745"/>
      <c r="J43" s="746" t="str">
        <f t="shared" si="2"/>
        <v/>
      </c>
      <c r="K43" s="368"/>
      <c r="L43" s="368"/>
      <c r="M43" s="368"/>
      <c r="N43" s="311">
        <f t="shared" si="23"/>
        <v>7.1</v>
      </c>
      <c r="O43" s="311">
        <f t="shared" si="24"/>
        <v>3.75</v>
      </c>
      <c r="P43" s="311">
        <f>IF(Stamoplysninger!$H$34="JA",April!DG43,CX43)</f>
        <v>1</v>
      </c>
      <c r="Q43" s="311">
        <f t="shared" si="25"/>
        <v>2.3499999999999996</v>
      </c>
      <c r="R43" s="751"/>
      <c r="S43" s="315"/>
      <c r="T43" s="316"/>
      <c r="U43" s="316"/>
      <c r="V43" s="422"/>
      <c r="W43" s="422"/>
      <c r="X43" s="621"/>
      <c r="Y43">
        <f t="shared" si="26"/>
        <v>0</v>
      </c>
      <c r="Z43" s="424">
        <f t="shared" si="27"/>
        <v>0</v>
      </c>
      <c r="AA43" s="1">
        <f t="shared" si="3"/>
        <v>0</v>
      </c>
      <c r="AB43" s="1">
        <f t="shared" si="4"/>
        <v>0</v>
      </c>
      <c r="AC43" s="1">
        <f t="shared" si="5"/>
        <v>0</v>
      </c>
      <c r="AD43" s="1">
        <f t="shared" si="6"/>
        <v>0</v>
      </c>
      <c r="AE43" s="1">
        <f t="shared" si="7"/>
        <v>0</v>
      </c>
      <c r="AF43" s="1">
        <f>IF(C43="Orlov",7.4*Stamoplysninger!$E$20,0)</f>
        <v>0</v>
      </c>
      <c r="AG43" t="str">
        <f>IF(AND(C43="Skema 1",B43="ma"),Arbejdstidsoversigt!$E$77,"")</f>
        <v/>
      </c>
      <c r="AH43" t="str">
        <f>IF(AND(C43="Skema 1",B43="ti"),Arbejdstidsoversigt!$E$78,"")</f>
        <v/>
      </c>
      <c r="AI43" t="str">
        <f>IF(AND(C43="Skema 1",B43="on"),Arbejdstidsoversigt!$E$79,"")</f>
        <v/>
      </c>
      <c r="AJ43" t="str">
        <f>IF(AND(C43="Skema 1",B43="to"),Arbejdstidsoversigt!$E$80,"")</f>
        <v/>
      </c>
      <c r="AK43">
        <f>IF(AND(C43="Skema 1",B43="fr"),Arbejdstidsoversigt!$E$81,"")</f>
        <v>7.1</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7.1</v>
      </c>
      <c r="BB43" s="224">
        <f t="shared" si="8"/>
        <v>170.39999999999998</v>
      </c>
      <c r="BC43" s="1">
        <f t="shared" si="29"/>
        <v>0</v>
      </c>
      <c r="BD43" s="1">
        <f t="shared" si="9"/>
        <v>0</v>
      </c>
      <c r="BE43" s="1">
        <f t="shared" si="10"/>
        <v>0</v>
      </c>
      <c r="BF43" s="1">
        <f t="shared" si="11"/>
        <v>0</v>
      </c>
      <c r="BG43" s="207" t="str">
        <f>IF(AND(C43="Skema 1",B43="ma"),Skemaoplysninger!$E$46,"")</f>
        <v/>
      </c>
      <c r="BH43" s="207" t="str">
        <f>IF(AND(C43="Skema 1",B43="ti"),Skemaoplysninger!$G$46,"")</f>
        <v/>
      </c>
      <c r="BI43" s="207" t="str">
        <f>IF(AND(C43="Skema 1",B43="on"),Skemaoplysninger!$I$46,"")</f>
        <v/>
      </c>
      <c r="BJ43" s="207" t="str">
        <f>IF(AND(C43="Skema 1",B43="to"),Skemaoplysninger!$K$46,"")</f>
        <v/>
      </c>
      <c r="BK43" s="207">
        <f>IF(AND(C43="Skema 1",B43="fr"),Skemaoplysninger!$M$46,"")</f>
        <v>0.15625</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 t="shared" si="30"/>
        <v>3.75</v>
      </c>
      <c r="CB43" s="1">
        <f t="shared" si="12"/>
        <v>0</v>
      </c>
      <c r="CC43" s="1">
        <f t="shared" si="13"/>
        <v>0</v>
      </c>
      <c r="CD43" s="207" t="str">
        <f>IF(AND(C43="Skema 1",B43="ma"),Skemaoplysninger!$E$47,"")</f>
        <v/>
      </c>
      <c r="CE43" s="207" t="str">
        <f>IF(AND(C43="Skema 1",B43="ti"),Skemaoplysninger!$G$47,"")</f>
        <v/>
      </c>
      <c r="CF43" s="207" t="str">
        <f>IF(AND(C43="Skema 1",B43="on"),Skemaoplysninger!$I$47,"")</f>
        <v/>
      </c>
      <c r="CG43" s="207" t="str">
        <f>IF(AND(C43="Skema 1",B43="to"),Skemaoplysninger!$K$47,"")</f>
        <v/>
      </c>
      <c r="CH43" s="207">
        <f>IF(AND(C43="Skema 1",B43="fr"),Skemaoplysninger!$M$47,"")</f>
        <v>4.1666666666666664E-2</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1</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f t="shared" si="33"/>
        <v>0</v>
      </c>
      <c r="DJ43">
        <f t="shared" si="34"/>
        <v>0</v>
      </c>
      <c r="DK43" t="str">
        <f t="shared" si="14"/>
        <v/>
      </c>
      <c r="DL43" t="str">
        <f t="shared" si="14"/>
        <v/>
      </c>
      <c r="DM43" t="str">
        <f t="shared" si="14"/>
        <v/>
      </c>
      <c r="DN43" t="str">
        <f t="shared" si="35"/>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5"/>
        <v>0</v>
      </c>
      <c r="FZ43" s="634">
        <f t="shared" si="16"/>
        <v>0</v>
      </c>
      <c r="GA43">
        <f t="shared" si="17"/>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8"/>
        <v>0</v>
      </c>
      <c r="GL43">
        <f t="shared" si="19"/>
        <v>0</v>
      </c>
      <c r="GM43">
        <f t="shared" si="20"/>
        <v>0</v>
      </c>
      <c r="GN43" s="713">
        <f t="shared" si="21"/>
        <v>0</v>
      </c>
      <c r="GO43">
        <f t="shared" si="37"/>
        <v>0</v>
      </c>
      <c r="GP43" s="647">
        <f t="shared" si="38"/>
        <v>0</v>
      </c>
    </row>
    <row r="44" spans="1:198" ht="17" thickBot="1">
      <c r="A44" s="1100" t="s">
        <v>257</v>
      </c>
      <c r="B44" s="1101"/>
      <c r="C44" s="1101"/>
      <c r="D44" s="1101"/>
      <c r="E44" s="1101"/>
      <c r="F44" s="1101"/>
      <c r="G44" s="1101"/>
      <c r="H44" s="1101"/>
      <c r="I44" s="1102"/>
      <c r="J44" s="306"/>
      <c r="K44" s="313"/>
      <c r="L44" s="313"/>
      <c r="M44" s="313"/>
      <c r="N44" s="314">
        <f>SUM(N14:N43)</f>
        <v>167.39000000000001</v>
      </c>
      <c r="O44" s="314">
        <f>SUM(O14:O43)</f>
        <v>84</v>
      </c>
      <c r="P44" s="314">
        <f>SUM(P14:P43)</f>
        <v>28.25</v>
      </c>
      <c r="Q44" s="314">
        <f>SUM(Q14:Q43)</f>
        <v>55.14</v>
      </c>
      <c r="R44" s="752">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f>
        <v>0</v>
      </c>
      <c r="S44" s="419"/>
      <c r="T44" s="420"/>
      <c r="U44" s="420"/>
      <c r="V44"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f>
        <v>0</v>
      </c>
      <c r="W44" s="420">
        <f>IF(T13="x",W13,0)+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f>
        <v>0</v>
      </c>
      <c r="X44" s="421">
        <f>IF(U13="x",X13,0)+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f>
        <v>0</v>
      </c>
      <c r="Y44" s="208">
        <f>SUM(Y14:Y43)</f>
        <v>0</v>
      </c>
      <c r="Z44" s="386">
        <f>Z14+Z15+Z16+Z17+Z18+Z19+Z20+Z21+Z22+Z23+Z24+Z25+Z26+Z27+Z28+Z29+Z30+Z31+Z32+Z33+Z34+Z35+Z36+Z37+Z38+Z39+Z40+Z41+Z42+Z43</f>
        <v>0</v>
      </c>
      <c r="AA44" s="229">
        <f t="shared" ref="AA44:AF44" si="39">SUM(AA14:AA43)</f>
        <v>30</v>
      </c>
      <c r="AB44" s="229">
        <f t="shared" si="39"/>
        <v>0</v>
      </c>
      <c r="AC44" s="229">
        <f t="shared" si="39"/>
        <v>0</v>
      </c>
      <c r="AD44" s="229">
        <f t="shared" si="39"/>
        <v>0</v>
      </c>
      <c r="AE44" s="229">
        <f t="shared" si="39"/>
        <v>0</v>
      </c>
      <c r="AF44" s="229">
        <f t="shared" si="39"/>
        <v>0</v>
      </c>
      <c r="BA44" s="1">
        <f>SUM(BA14:BA43)</f>
        <v>167.39000000000001</v>
      </c>
      <c r="BB44" s="109"/>
      <c r="BC44" s="229">
        <f>SUM(BC14:BC43)</f>
        <v>0</v>
      </c>
      <c r="BD44" s="229">
        <f>SUM(BD14:BD43)</f>
        <v>0</v>
      </c>
      <c r="BE44" s="229">
        <f>SUM(BE14:BE43)</f>
        <v>0</v>
      </c>
      <c r="BF44" s="229">
        <f>SUM(BF14:BF43)</f>
        <v>18.75</v>
      </c>
      <c r="CA44" s="229">
        <f>SUM(CA14:CA43)</f>
        <v>84</v>
      </c>
      <c r="CB44" s="229">
        <f>SUM(CB14:CB43)</f>
        <v>0</v>
      </c>
      <c r="CC44" s="229">
        <f>SUM(CC14:CC43)</f>
        <v>5</v>
      </c>
      <c r="CX44" s="243"/>
      <c r="CY44" s="243">
        <f t="shared" ref="CY44:DG44" si="40">SUM(CY14:CY43)</f>
        <v>0</v>
      </c>
      <c r="CZ44" s="243">
        <f t="shared" si="40"/>
        <v>0</v>
      </c>
      <c r="DA44" s="243">
        <f t="shared" si="40"/>
        <v>0</v>
      </c>
      <c r="DB44" s="243">
        <f t="shared" si="40"/>
        <v>0</v>
      </c>
      <c r="DC44" s="243">
        <f t="shared" si="40"/>
        <v>0</v>
      </c>
      <c r="DD44" s="243">
        <f t="shared" si="40"/>
        <v>0</v>
      </c>
      <c r="DE44" s="243">
        <f t="shared" si="40"/>
        <v>0</v>
      </c>
      <c r="DF44" s="243">
        <f t="shared" si="40"/>
        <v>0</v>
      </c>
      <c r="DG44" s="243">
        <f t="shared" si="40"/>
        <v>0</v>
      </c>
      <c r="DO44" s="645">
        <f t="shared" ref="DO44:ET44" si="41">SUM(DO14:DO43)</f>
        <v>0</v>
      </c>
      <c r="DP44" s="646">
        <f t="shared" si="41"/>
        <v>0</v>
      </c>
      <c r="DQ44" s="646">
        <f t="shared" si="41"/>
        <v>0</v>
      </c>
      <c r="DR44" s="646">
        <f t="shared" si="41"/>
        <v>0</v>
      </c>
      <c r="DS44" s="649">
        <f t="shared" si="41"/>
        <v>0</v>
      </c>
      <c r="DT44" s="649">
        <f t="shared" si="41"/>
        <v>0</v>
      </c>
      <c r="DU44" s="646">
        <f t="shared" si="41"/>
        <v>0</v>
      </c>
      <c r="DV44" s="649">
        <f t="shared" si="41"/>
        <v>0</v>
      </c>
      <c r="DW44" s="646">
        <f t="shared" si="41"/>
        <v>0</v>
      </c>
      <c r="DX44" s="646">
        <f t="shared" si="41"/>
        <v>0</v>
      </c>
      <c r="DY44" s="646">
        <f t="shared" si="41"/>
        <v>0</v>
      </c>
      <c r="DZ44" s="646">
        <f t="shared" si="41"/>
        <v>0</v>
      </c>
      <c r="EA44" s="649">
        <f t="shared" si="41"/>
        <v>0</v>
      </c>
      <c r="EB44" s="649">
        <f t="shared" si="41"/>
        <v>0</v>
      </c>
      <c r="EC44" s="649">
        <f t="shared" si="41"/>
        <v>0</v>
      </c>
      <c r="ED44" s="649">
        <f t="shared" si="41"/>
        <v>0</v>
      </c>
      <c r="EE44" s="646">
        <f t="shared" si="41"/>
        <v>0</v>
      </c>
      <c r="EF44" s="646">
        <f t="shared" si="41"/>
        <v>0</v>
      </c>
      <c r="EG44" s="649">
        <f t="shared" si="41"/>
        <v>0</v>
      </c>
      <c r="EH44" s="649">
        <f t="shared" si="41"/>
        <v>0</v>
      </c>
      <c r="EI44" s="646">
        <f t="shared" si="41"/>
        <v>0</v>
      </c>
      <c r="EJ44" s="646">
        <f t="shared" si="41"/>
        <v>0</v>
      </c>
      <c r="EK44" s="649">
        <f t="shared" si="41"/>
        <v>0</v>
      </c>
      <c r="EL44" s="649">
        <f t="shared" si="41"/>
        <v>0</v>
      </c>
      <c r="EM44" s="646">
        <f t="shared" si="41"/>
        <v>0</v>
      </c>
      <c r="EN44" s="646">
        <f t="shared" si="41"/>
        <v>0</v>
      </c>
      <c r="EO44" s="649">
        <f t="shared" si="41"/>
        <v>0</v>
      </c>
      <c r="EP44" s="652">
        <f t="shared" si="41"/>
        <v>0</v>
      </c>
      <c r="EQ44" s="646">
        <f t="shared" si="41"/>
        <v>0</v>
      </c>
      <c r="ER44" s="646">
        <f t="shared" si="41"/>
        <v>0</v>
      </c>
      <c r="ES44" s="649">
        <f t="shared" si="41"/>
        <v>0</v>
      </c>
      <c r="ET44" s="652">
        <f t="shared" si="41"/>
        <v>0</v>
      </c>
      <c r="EU44" s="646">
        <f t="shared" ref="EU44:FZ44" si="42">SUM(EU14:EU43)</f>
        <v>0</v>
      </c>
      <c r="EV44" s="646">
        <f t="shared" si="42"/>
        <v>0</v>
      </c>
      <c r="EW44" s="649">
        <f t="shared" si="42"/>
        <v>0</v>
      </c>
      <c r="EX44" s="652">
        <f t="shared" si="42"/>
        <v>0</v>
      </c>
      <c r="EY44" s="646">
        <f t="shared" si="42"/>
        <v>0</v>
      </c>
      <c r="EZ44" s="646">
        <f t="shared" si="42"/>
        <v>0</v>
      </c>
      <c r="FA44" s="649">
        <f t="shared" si="42"/>
        <v>0</v>
      </c>
      <c r="FB44" s="652">
        <f t="shared" si="42"/>
        <v>0</v>
      </c>
      <c r="FC44" s="646">
        <f t="shared" si="42"/>
        <v>0</v>
      </c>
      <c r="FD44" s="646">
        <f t="shared" si="42"/>
        <v>0</v>
      </c>
      <c r="FE44" s="649">
        <f t="shared" si="42"/>
        <v>0</v>
      </c>
      <c r="FF44" s="652">
        <f t="shared" si="42"/>
        <v>0</v>
      </c>
      <c r="FG44" s="646">
        <f t="shared" si="42"/>
        <v>0</v>
      </c>
      <c r="FH44" s="646">
        <f t="shared" si="42"/>
        <v>0</v>
      </c>
      <c r="FI44" s="649">
        <f t="shared" si="42"/>
        <v>0</v>
      </c>
      <c r="FJ44" s="652">
        <f t="shared" si="42"/>
        <v>0</v>
      </c>
      <c r="FK44" s="661">
        <f t="shared" si="42"/>
        <v>0</v>
      </c>
      <c r="FL44" s="646">
        <f t="shared" si="42"/>
        <v>0</v>
      </c>
      <c r="FM44" s="661">
        <f t="shared" si="42"/>
        <v>0</v>
      </c>
      <c r="FN44" s="649">
        <f t="shared" si="42"/>
        <v>0</v>
      </c>
      <c r="FO44" s="661">
        <f t="shared" si="42"/>
        <v>0</v>
      </c>
      <c r="FP44" s="646">
        <f t="shared" si="42"/>
        <v>0</v>
      </c>
      <c r="FQ44" s="661">
        <f t="shared" si="42"/>
        <v>0</v>
      </c>
      <c r="FR44" s="649">
        <f t="shared" si="42"/>
        <v>0</v>
      </c>
      <c r="FS44" s="661">
        <f t="shared" si="42"/>
        <v>0</v>
      </c>
      <c r="FT44" s="661">
        <f t="shared" si="42"/>
        <v>0</v>
      </c>
      <c r="FU44" s="661">
        <f t="shared" si="42"/>
        <v>0</v>
      </c>
      <c r="FV44" s="646">
        <f t="shared" si="42"/>
        <v>0</v>
      </c>
      <c r="FW44" s="661">
        <f t="shared" si="42"/>
        <v>0</v>
      </c>
      <c r="FX44" s="652">
        <f t="shared" si="42"/>
        <v>0</v>
      </c>
      <c r="FY44" s="665">
        <f t="shared" si="42"/>
        <v>0</v>
      </c>
      <c r="FZ44" s="666">
        <f t="shared" si="42"/>
        <v>0</v>
      </c>
      <c r="GA44" s="666">
        <f t="shared" ref="GA44:GI44" si="43">SUM(GA14:GA43)</f>
        <v>0</v>
      </c>
      <c r="GB44" s="665">
        <f t="shared" si="43"/>
        <v>0</v>
      </c>
      <c r="GC44" s="666">
        <f t="shared" si="43"/>
        <v>0</v>
      </c>
      <c r="GD44" s="665">
        <f t="shared" si="43"/>
        <v>0</v>
      </c>
      <c r="GE44" s="666">
        <f t="shared" si="43"/>
        <v>0</v>
      </c>
      <c r="GF44" s="661">
        <f t="shared" si="43"/>
        <v>0</v>
      </c>
      <c r="GG44" s="661">
        <f t="shared" si="43"/>
        <v>0</v>
      </c>
      <c r="GH44" s="661">
        <f t="shared" si="43"/>
        <v>0</v>
      </c>
      <c r="GI44" s="661">
        <f t="shared" si="43"/>
        <v>0</v>
      </c>
      <c r="GP44" s="647">
        <f>SUM(GP14:GP43)</f>
        <v>0</v>
      </c>
    </row>
    <row r="45" spans="1:198" ht="17" thickBot="1">
      <c r="A45" s="227"/>
      <c r="B45" s="227"/>
      <c r="C45" s="227"/>
      <c r="D45" s="227"/>
      <c r="E45" s="227"/>
      <c r="F45" s="227"/>
      <c r="G45" s="227"/>
      <c r="H45" s="227"/>
      <c r="I45" s="227"/>
      <c r="J45" s="227"/>
      <c r="K45" s="233"/>
      <c r="L45" s="233"/>
      <c r="M45" s="233"/>
      <c r="N45" s="233"/>
      <c r="O45" s="233"/>
      <c r="P45" s="233"/>
      <c r="Q45" s="233"/>
      <c r="R45" s="233"/>
      <c r="S45" s="233"/>
      <c r="T45" s="233"/>
      <c r="U45" s="233"/>
      <c r="V45" s="233"/>
      <c r="W45" s="233"/>
      <c r="X45" s="233"/>
      <c r="Y45" s="241"/>
      <c r="Z45" s="208"/>
      <c r="AA45" s="229"/>
      <c r="AB45" s="208"/>
      <c r="AC45" s="208"/>
      <c r="AD45" s="229"/>
      <c r="AE45" s="229"/>
      <c r="AF45" s="229"/>
      <c r="AG45" s="229"/>
      <c r="BC45" s="229"/>
      <c r="BD45" s="229"/>
      <c r="BE45" s="229"/>
      <c r="BF45" s="229"/>
      <c r="BG45" s="109"/>
      <c r="CB45" s="229"/>
      <c r="CC45" s="229"/>
      <c r="CD45" s="109"/>
      <c r="CX45" s="242"/>
      <c r="CZ45"/>
      <c r="DO45" s="728"/>
      <c r="DP45" s="728"/>
      <c r="DQ45" s="728"/>
      <c r="DR45" s="728"/>
      <c r="DS45" s="728"/>
      <c r="DT45" s="728"/>
      <c r="DU45" s="728"/>
      <c r="DV45" s="728"/>
      <c r="DW45" s="729"/>
      <c r="DX45" s="729"/>
      <c r="DY45" s="729"/>
      <c r="DZ45" s="729"/>
      <c r="EA45" s="729"/>
      <c r="EB45" s="729"/>
      <c r="EC45" s="729"/>
      <c r="ED45" s="729"/>
      <c r="EE45" s="732"/>
      <c r="EF45" s="732"/>
      <c r="EG45" s="732"/>
      <c r="EH45" s="732"/>
      <c r="EI45" s="732"/>
      <c r="EJ45" s="732"/>
      <c r="EM45" s="734"/>
      <c r="EN45" s="734"/>
      <c r="EO45" s="734"/>
      <c r="EP45" s="734"/>
      <c r="EQ45" s="734"/>
      <c r="ER45" s="734"/>
      <c r="EU45" s="736"/>
      <c r="EV45" s="736"/>
      <c r="EW45" s="736"/>
      <c r="EX45" s="736"/>
      <c r="EY45" s="738"/>
      <c r="EZ45" s="738"/>
      <c r="FA45" s="738"/>
      <c r="FB45" s="738"/>
      <c r="FC45" s="740"/>
      <c r="FD45" s="740"/>
      <c r="FE45" s="740"/>
      <c r="FF45" s="740"/>
      <c r="FG45" s="742"/>
      <c r="FH45" s="742"/>
      <c r="FI45" s="742"/>
      <c r="FJ45" s="742"/>
      <c r="FK45" s="726"/>
      <c r="FM45" s="744"/>
      <c r="FO45" s="726"/>
      <c r="FS45" s="726"/>
      <c r="FT45" s="744"/>
      <c r="FU45" s="726"/>
      <c r="FW45" s="744"/>
      <c r="GA45" s="744"/>
      <c r="GB45" s="726"/>
      <c r="GC45" s="744"/>
      <c r="GD45" s="726"/>
      <c r="GE45" s="744"/>
      <c r="GF45" s="726"/>
      <c r="GG45" s="744"/>
      <c r="GH45" s="726"/>
      <c r="GI45" s="744"/>
      <c r="GP45" s="743" t="s">
        <v>663</v>
      </c>
    </row>
    <row r="46" spans="1:198" ht="70" customHeight="1">
      <c r="A46" s="1086" t="str">
        <f>"Arbejdstid for "&amp;A12&amp;" måned:"</f>
        <v>Arbejdstid for April måned:</v>
      </c>
      <c r="B46" s="1087"/>
      <c r="C46" s="1087"/>
      <c r="D46" s="1087"/>
      <c r="E46" s="1087"/>
      <c r="F46" s="1087"/>
      <c r="G46" s="1087"/>
      <c r="H46" s="321" t="s">
        <v>252</v>
      </c>
      <c r="I46" s="1087" t="s">
        <v>218</v>
      </c>
      <c r="J46" s="1088"/>
      <c r="K46" s="1089"/>
      <c r="L46" s="256"/>
      <c r="M46" s="1134" t="str">
        <f>"Ulempetimer og weekendtimer i "&amp;A10&amp;""</f>
        <v>Ulempetimer og weekendtimer i April måneds kalender for: Beate Simonsen. Måneden vedr. normperioden:  - .</v>
      </c>
      <c r="N46" s="1117"/>
      <c r="O46" s="1117"/>
      <c r="P46" s="1117"/>
      <c r="Q46" s="1117"/>
      <c r="R46" s="1117"/>
      <c r="S46" s="1117"/>
      <c r="T46" s="1117"/>
      <c r="U46" s="1117"/>
      <c r="V46" s="1117"/>
      <c r="W46" s="1117"/>
      <c r="X46" s="1118"/>
      <c r="Y46" s="233"/>
      <c r="Z46" s="233"/>
      <c r="AD46" s="87"/>
      <c r="AE46" s="87"/>
      <c r="BM46" s="1"/>
      <c r="CJ46" s="1"/>
      <c r="CU46" s="242"/>
      <c r="CV46" s="242"/>
      <c r="CY46"/>
      <c r="CZ46"/>
    </row>
    <row r="47" spans="1:198">
      <c r="A47" s="1090" t="str">
        <f>August!A49</f>
        <v>Arbejdstid eks. lørdage og søndage</v>
      </c>
      <c r="B47" s="1091"/>
      <c r="C47" s="1091"/>
      <c r="D47" s="1091"/>
      <c r="E47" s="1091"/>
      <c r="F47" s="1091"/>
      <c r="G47" s="1091"/>
      <c r="H47" s="250">
        <f>D82</f>
        <v>22</v>
      </c>
      <c r="I47" s="1103">
        <f>IF(Stamoplysninger!$E$17="Ja",1924/Arbejdstidsoversigt!$K$14*Stamoplysninger!$E$20*H47,H47*7.4*Stamoplysninger!$E$20)</f>
        <v>162.80000000000001</v>
      </c>
      <c r="J47" s="1104"/>
      <c r="K47" s="1105"/>
      <c r="L47" s="252"/>
      <c r="M47" s="1135" t="s">
        <v>480</v>
      </c>
      <c r="N47" s="1136"/>
      <c r="O47" s="1136"/>
      <c r="P47" s="1136"/>
      <c r="Q47" s="1136"/>
      <c r="R47" s="1136"/>
      <c r="S47" s="1136"/>
      <c r="T47" s="1136"/>
      <c r="U47" s="1137"/>
      <c r="V47" s="1138">
        <f>P69+P73+P76+P78</f>
        <v>0</v>
      </c>
      <c r="W47" s="1139"/>
      <c r="X47" s="1140"/>
      <c r="Y47" s="233"/>
      <c r="Z47" s="233"/>
      <c r="AD47" s="87"/>
      <c r="AE47" s="87"/>
      <c r="BM47" s="1"/>
      <c r="CJ47" s="1"/>
      <c r="CU47" s="242"/>
      <c r="CV47" s="242"/>
      <c r="CY47"/>
      <c r="CZ47"/>
    </row>
    <row r="48" spans="1:198">
      <c r="A48" s="1090" t="str">
        <f>"Ferie "&amp;A12&amp;" måned"</f>
        <v>Ferie April måned</v>
      </c>
      <c r="B48" s="1091"/>
      <c r="C48" s="1091"/>
      <c r="D48" s="1091"/>
      <c r="E48" s="1091"/>
      <c r="F48" s="1091"/>
      <c r="G48" s="1091"/>
      <c r="H48" s="251" t="str">
        <f>IF(D77&gt;0,$D$77,"0")</f>
        <v>0</v>
      </c>
      <c r="I48" s="1092">
        <f>H48*7.4*Stamoplysninger!$E$20</f>
        <v>0</v>
      </c>
      <c r="J48" s="1093"/>
      <c r="K48" s="1094"/>
      <c r="L48" s="252"/>
      <c r="M48" s="1141" t="s">
        <v>256</v>
      </c>
      <c r="N48" s="1142"/>
      <c r="O48" s="1142"/>
      <c r="P48" s="1142"/>
      <c r="Q48" s="1142"/>
      <c r="R48" s="1142"/>
      <c r="S48" s="1142"/>
      <c r="T48" s="1142"/>
      <c r="U48" s="1143"/>
      <c r="V48" s="1144">
        <f>Q70+Q72+Q75+Q77</f>
        <v>0</v>
      </c>
      <c r="W48" s="1145"/>
      <c r="X48" s="1146"/>
      <c r="Y48" s="233"/>
      <c r="Z48" s="233"/>
      <c r="AD48" s="87"/>
      <c r="AE48" s="87"/>
      <c r="BM48" s="1"/>
      <c r="CJ48" s="1"/>
      <c r="CU48" s="242"/>
      <c r="CV48" s="242"/>
      <c r="CY48"/>
      <c r="CZ48"/>
    </row>
    <row r="49" spans="1:110">
      <c r="A49" s="1090" t="str">
        <f>"Søgnehelligdage i "&amp;A12&amp;" måned"</f>
        <v>Søgnehelligdage i April måned</v>
      </c>
      <c r="B49" s="1091"/>
      <c r="C49" s="1091"/>
      <c r="D49" s="1091"/>
      <c r="E49" s="1091"/>
      <c r="F49" s="1091"/>
      <c r="G49" s="1091"/>
      <c r="H49" s="251">
        <f>IF(D76&gt;0,D76,0)</f>
        <v>0</v>
      </c>
      <c r="I49" s="1092">
        <f>H49*7.4*Stamoplysninger!$E$20</f>
        <v>0</v>
      </c>
      <c r="J49" s="1093"/>
      <c r="K49" s="1094"/>
      <c r="L49" s="253"/>
      <c r="M49" s="1286" t="s">
        <v>292</v>
      </c>
      <c r="N49" s="1287"/>
      <c r="O49" s="1287"/>
      <c r="P49" s="1287"/>
      <c r="Q49" s="1287"/>
      <c r="R49" s="1287"/>
      <c r="S49" s="1287"/>
      <c r="T49" s="1287"/>
      <c r="U49" s="1288"/>
      <c r="V49" s="1291">
        <f>Marts!V58</f>
        <v>7.5</v>
      </c>
      <c r="W49" s="1292"/>
      <c r="X49" s="1295"/>
      <c r="Y49" s="233"/>
      <c r="Z49" s="233"/>
      <c r="AD49" s="87"/>
      <c r="AE49" s="87"/>
      <c r="BM49" s="1"/>
      <c r="CJ49" s="1"/>
      <c r="CU49" s="242"/>
      <c r="CV49" s="242"/>
      <c r="CY49"/>
      <c r="CZ49"/>
    </row>
    <row r="50" spans="1:110">
      <c r="A50" s="1090" t="str">
        <f>"Nettoarbejdstid ialt i "&amp;A12&amp;" måned"</f>
        <v>Nettoarbejdstid ialt i April måned</v>
      </c>
      <c r="B50" s="1091"/>
      <c r="C50" s="1091"/>
      <c r="D50" s="1091"/>
      <c r="E50" s="1091"/>
      <c r="F50" s="1091"/>
      <c r="G50" s="1091"/>
      <c r="H50" s="254">
        <f>H47-H48-H49</f>
        <v>22</v>
      </c>
      <c r="I50" s="1092">
        <f>I47-I48-I49</f>
        <v>162.80000000000001</v>
      </c>
      <c r="J50" s="1093"/>
      <c r="K50" s="1094"/>
      <c r="L50" s="375"/>
      <c r="M50" s="1149" t="s">
        <v>298</v>
      </c>
      <c r="N50" s="1150"/>
      <c r="O50" s="1150"/>
      <c r="P50" s="1150"/>
      <c r="Q50" s="1150"/>
      <c r="R50" s="1150"/>
      <c r="S50" s="1150"/>
      <c r="T50" s="1150"/>
      <c r="U50" s="1151"/>
      <c r="V50" s="1152">
        <f>SUM(V48:X49)</f>
        <v>7.5</v>
      </c>
      <c r="W50" s="1153"/>
      <c r="X50" s="1154"/>
      <c r="Y50" s="233"/>
      <c r="Z50" s="233"/>
      <c r="AD50" s="87"/>
      <c r="AE50" s="87"/>
      <c r="BM50" s="1"/>
      <c r="CJ50" s="1"/>
      <c r="CU50" s="242"/>
      <c r="CV50" s="242"/>
      <c r="CY50"/>
      <c r="CZ50"/>
    </row>
    <row r="51" spans="1:110">
      <c r="A51" s="1106" t="str">
        <f>"Planlagt arbejdstid efter ovennstående "&amp;A12&amp;" måned kalender"</f>
        <v>Planlagt arbejdstid efter ovennstående April måned kalender</v>
      </c>
      <c r="B51" s="1107"/>
      <c r="C51" s="1107"/>
      <c r="D51" s="1107"/>
      <c r="E51" s="1107"/>
      <c r="F51" s="1107"/>
      <c r="G51" s="1107"/>
      <c r="H51" s="461">
        <f>D68+D69+D70+D71+D72+D73+D74</f>
        <v>22</v>
      </c>
      <c r="I51" s="1108">
        <f>N44+R44+V109</f>
        <v>167.39000000000001</v>
      </c>
      <c r="J51" s="1109"/>
      <c r="K51" s="1110"/>
      <c r="L51" s="375"/>
      <c r="M51" s="1161" t="s">
        <v>290</v>
      </c>
      <c r="N51" s="1162"/>
      <c r="O51" s="1162"/>
      <c r="P51" s="1162"/>
      <c r="Q51" s="1162"/>
      <c r="R51" s="1162"/>
      <c r="S51" s="1162"/>
      <c r="T51" s="1162"/>
      <c r="U51" s="1162"/>
      <c r="V51" s="1162"/>
      <c r="W51" s="1162"/>
      <c r="X51" s="1163"/>
      <c r="Y51" s="233"/>
      <c r="Z51" s="233"/>
      <c r="AD51" s="87"/>
      <c r="AE51" s="87"/>
      <c r="BM51" s="1"/>
      <c r="CJ51" s="1"/>
      <c r="CU51" s="242"/>
      <c r="CV51" s="242"/>
      <c r="CY51"/>
      <c r="CZ51"/>
    </row>
    <row r="52" spans="1:110">
      <c r="A52" s="1268" t="str">
        <f>August!A54</f>
        <v>Heraf planlagte weekendtimer til afspadsering, udb. eller indgået lokalaftale - Ovf. til afsp/udb.(box til højre) eller jv. lokalaftale</v>
      </c>
      <c r="B52" s="1269"/>
      <c r="C52" s="1269"/>
      <c r="D52" s="1269"/>
      <c r="E52" s="1269"/>
      <c r="F52" s="1269"/>
      <c r="G52" s="1269"/>
      <c r="H52" s="1270"/>
      <c r="I52" s="1111">
        <f>(FK44+FO44+FS44+FU44+GB44+GD44+GF44+GH44)*-1+FM44+FT44+FW44+GC44+GE44+GG44+GI44+GA44</f>
        <v>0</v>
      </c>
      <c r="J52" s="1112"/>
      <c r="K52" s="1113"/>
      <c r="L52" s="376"/>
      <c r="M52" s="1164" t="s">
        <v>450</v>
      </c>
      <c r="N52" s="1165"/>
      <c r="O52" s="1165"/>
      <c r="P52" s="1165"/>
      <c r="Q52" s="1165"/>
      <c r="R52" s="1165"/>
      <c r="S52" s="1165"/>
      <c r="T52" s="1165"/>
      <c r="U52" s="1166"/>
      <c r="V52" s="1167" t="s">
        <v>218</v>
      </c>
      <c r="W52" s="1168"/>
      <c r="X52" s="1169"/>
      <c r="Y52" s="233"/>
      <c r="Z52" s="233"/>
      <c r="AD52" s="87"/>
      <c r="AE52" s="87"/>
      <c r="BM52" s="1"/>
      <c r="CJ52" s="1"/>
      <c r="CU52" s="242"/>
      <c r="CV52" s="242"/>
      <c r="CY52"/>
      <c r="CZ52"/>
    </row>
    <row r="53" spans="1:110">
      <c r="A53" s="1128" t="str">
        <f>"Arbejde særligt planlagt for "&amp;A12&amp;" måned efter fanen skemaoplysninger"</f>
        <v>Arbejde særligt planlagt for April måned efter fanen skemaoplysninger</v>
      </c>
      <c r="B53" s="1129"/>
      <c r="C53" s="1129"/>
      <c r="D53" s="1129"/>
      <c r="E53" s="1129"/>
      <c r="F53" s="1129"/>
      <c r="G53" s="1129"/>
      <c r="H53" s="1130"/>
      <c r="I53" s="1109">
        <f>IF(I51&gt;0,Skemaoplysninger!S107,0)</f>
        <v>0</v>
      </c>
      <c r="J53" s="1126"/>
      <c r="K53" s="1127"/>
      <c r="L53" s="235"/>
      <c r="M53" s="1036" t="s">
        <v>790</v>
      </c>
      <c r="N53" s="1037"/>
      <c r="O53" s="1037"/>
      <c r="P53" s="1037"/>
      <c r="Q53" s="1037"/>
      <c r="R53" s="1037"/>
      <c r="S53" s="1037"/>
      <c r="T53" s="1037"/>
      <c r="U53" s="1038"/>
      <c r="V53" s="1170">
        <v>6</v>
      </c>
      <c r="W53" s="1170"/>
      <c r="X53" s="1171"/>
      <c r="Y53"/>
      <c r="Z53" s="233"/>
      <c r="AA53" s="233"/>
      <c r="AG53" s="87"/>
      <c r="AH53" s="87"/>
      <c r="BA53" s="233"/>
      <c r="BO53" s="1"/>
      <c r="CL53" s="1"/>
      <c r="CV53" s="242"/>
      <c r="CW53" s="242"/>
      <c r="CY53"/>
      <c r="CZ53"/>
    </row>
    <row r="54" spans="1:110">
      <c r="A54" s="1095" t="s">
        <v>288</v>
      </c>
      <c r="B54" s="1096"/>
      <c r="C54" s="1096"/>
      <c r="D54" s="1096"/>
      <c r="E54" s="1096"/>
      <c r="F54" s="1096"/>
      <c r="G54" s="1096"/>
      <c r="H54" s="1096"/>
      <c r="I54" s="1097">
        <f>V44+X44+R109-GP44+T109</f>
        <v>0</v>
      </c>
      <c r="J54" s="1098"/>
      <c r="K54" s="1099"/>
      <c r="L54" s="235"/>
      <c r="M54" s="1036"/>
      <c r="N54" s="1037"/>
      <c r="O54" s="1037"/>
      <c r="P54" s="1037"/>
      <c r="Q54" s="1037"/>
      <c r="R54" s="1037"/>
      <c r="S54" s="1037"/>
      <c r="T54" s="1037"/>
      <c r="U54" s="1038"/>
      <c r="V54" s="1039"/>
      <c r="W54" s="1040"/>
      <c r="X54" s="1041"/>
      <c r="Y54"/>
      <c r="Z54" s="233"/>
      <c r="AA54" s="233"/>
      <c r="AE54" s="87"/>
      <c r="AG54" s="87"/>
      <c r="BN54" s="1"/>
      <c r="CK54" s="1"/>
      <c r="CV54" s="242"/>
      <c r="CW54" s="242"/>
      <c r="CY54"/>
      <c r="CZ54"/>
    </row>
    <row r="55" spans="1:110" ht="17" thickBot="1">
      <c r="A55" s="255" t="str">
        <f>"Faktisk arbejdstid ialt i "&amp;A12&amp;" måned"</f>
        <v>Faktisk arbejdstid ialt i April måned</v>
      </c>
      <c r="B55" s="307"/>
      <c r="C55" s="308"/>
      <c r="D55" s="308"/>
      <c r="E55" s="308"/>
      <c r="F55" s="308"/>
      <c r="G55" s="308"/>
      <c r="H55" s="309"/>
      <c r="I55" s="1131">
        <f>I51+I54+I53+I52</f>
        <v>167.39000000000001</v>
      </c>
      <c r="J55" s="1132"/>
      <c r="K55" s="1133"/>
      <c r="L55" s="235"/>
      <c r="M55" s="1036"/>
      <c r="N55" s="1037"/>
      <c r="O55" s="1037"/>
      <c r="P55" s="1037"/>
      <c r="Q55" s="1037"/>
      <c r="R55" s="1037"/>
      <c r="S55" s="1037"/>
      <c r="T55" s="1037"/>
      <c r="U55" s="1038"/>
      <c r="V55" s="1039"/>
      <c r="W55" s="1040"/>
      <c r="X55" s="1041"/>
      <c r="Y55" s="233"/>
      <c r="Z55" s="233"/>
      <c r="AA55" s="211"/>
      <c r="AB55" s="241"/>
      <c r="AC55" s="241"/>
      <c r="AD55" s="241"/>
      <c r="AE55" s="233"/>
      <c r="AF55" s="241"/>
      <c r="AH55" s="233"/>
      <c r="AI55" s="233"/>
      <c r="AM55" s="87"/>
      <c r="AN55" s="87"/>
      <c r="BU55" s="1"/>
      <c r="CR55" s="1"/>
      <c r="CY55"/>
      <c r="CZ55"/>
      <c r="DC55" s="242"/>
      <c r="DD55" s="242"/>
    </row>
    <row r="56" spans="1:110" ht="17" thickBot="1">
      <c r="A56" s="249"/>
      <c r="B56" s="249"/>
      <c r="C56" s="249"/>
      <c r="D56" s="249"/>
      <c r="E56" s="249"/>
      <c r="F56" s="249"/>
      <c r="G56" s="249"/>
      <c r="H56" s="249"/>
      <c r="I56" s="507"/>
      <c r="J56" s="507"/>
      <c r="K56" s="507"/>
      <c r="L56" s="485"/>
      <c r="M56" s="1036"/>
      <c r="N56" s="1037"/>
      <c r="O56" s="1037"/>
      <c r="P56" s="1037"/>
      <c r="Q56" s="1037"/>
      <c r="R56" s="1037"/>
      <c r="S56" s="1037"/>
      <c r="T56" s="1037"/>
      <c r="U56" s="1038"/>
      <c r="V56" s="1039"/>
      <c r="W56" s="1040"/>
      <c r="X56" s="1041"/>
      <c r="Y56" s="233"/>
      <c r="Z56" s="233"/>
      <c r="AA56" s="233"/>
      <c r="AB56" s="233"/>
      <c r="AC56" s="211"/>
      <c r="AD56" s="241"/>
      <c r="AE56" s="241"/>
      <c r="AF56" s="241"/>
      <c r="AG56" s="241"/>
      <c r="AH56" s="233"/>
      <c r="AJ56" s="233"/>
      <c r="AK56" s="233"/>
      <c r="AO56" s="87"/>
      <c r="AP56" s="87"/>
      <c r="BW56" s="1"/>
      <c r="CT56" s="1"/>
      <c r="CY56"/>
      <c r="CZ56"/>
      <c r="DE56" s="242"/>
      <c r="DF56" s="242"/>
    </row>
    <row r="57" spans="1:110" ht="26" thickBot="1">
      <c r="A57" s="1086" t="s">
        <v>463</v>
      </c>
      <c r="B57" s="1087"/>
      <c r="C57" s="1087"/>
      <c r="D57" s="1087"/>
      <c r="E57" s="1087"/>
      <c r="F57" s="1087"/>
      <c r="G57" s="1087"/>
      <c r="H57" s="681" t="s">
        <v>608</v>
      </c>
      <c r="I57" s="1087" t="s">
        <v>462</v>
      </c>
      <c r="J57" s="1087"/>
      <c r="K57" s="1089"/>
      <c r="L57" s="485"/>
      <c r="M57" s="1155" t="s">
        <v>291</v>
      </c>
      <c r="N57" s="1156"/>
      <c r="O57" s="1156"/>
      <c r="P57" s="1156"/>
      <c r="Q57" s="1156"/>
      <c r="R57" s="1156"/>
      <c r="S57" s="1156"/>
      <c r="T57" s="1156"/>
      <c r="U57" s="1157"/>
      <c r="V57" s="1247">
        <f>V50-SUM(V53:X56)</f>
        <v>1.5</v>
      </c>
      <c r="W57" s="1248"/>
      <c r="X57" s="1249"/>
      <c r="Y57" s="233"/>
      <c r="Z57" s="233"/>
      <c r="AA57" s="233"/>
      <c r="AB57" s="233"/>
      <c r="AC57" s="211"/>
      <c r="AD57" s="241"/>
      <c r="AE57" s="241"/>
      <c r="AF57" s="241"/>
      <c r="AG57" s="241"/>
      <c r="AH57" s="233"/>
      <c r="AJ57" s="233"/>
      <c r="AK57" s="233"/>
      <c r="AO57" s="87"/>
      <c r="AP57" s="87"/>
      <c r="BW57" s="1"/>
      <c r="CT57" s="1"/>
      <c r="CY57"/>
      <c r="CZ57"/>
      <c r="DE57" s="242"/>
      <c r="DF57" s="242"/>
    </row>
    <row r="58" spans="1:110" ht="16" customHeight="1">
      <c r="A58" s="1121"/>
      <c r="B58" s="1122"/>
      <c r="C58" s="1122"/>
      <c r="D58" s="1122"/>
      <c r="E58" s="1122"/>
      <c r="F58" s="1122"/>
      <c r="G58" s="1122"/>
      <c r="H58" s="589">
        <f>Marts!H67</f>
        <v>0</v>
      </c>
      <c r="I58" s="1250">
        <f>Marts!I67</f>
        <v>0</v>
      </c>
      <c r="J58" s="1250"/>
      <c r="K58" s="1251"/>
      <c r="L58" s="485"/>
      <c r="M58" s="508"/>
      <c r="N58" s="508"/>
      <c r="O58" s="508"/>
      <c r="P58" s="508"/>
      <c r="Q58" s="509"/>
      <c r="R58" s="510"/>
      <c r="S58" s="510"/>
      <c r="T58" s="510"/>
      <c r="U58" s="510"/>
      <c r="V58" s="508"/>
      <c r="W58" s="511"/>
      <c r="X58" s="508"/>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235" t="s">
        <v>466</v>
      </c>
      <c r="B59" s="1236"/>
      <c r="C59" s="1236"/>
      <c r="D59" s="1236"/>
      <c r="E59" s="1236"/>
      <c r="F59" s="1236"/>
      <c r="G59" s="1237"/>
      <c r="H59" s="587"/>
      <c r="I59" s="1238"/>
      <c r="J59" s="1239"/>
      <c r="K59" s="1240"/>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37" customHeight="1">
      <c r="A60" s="1033" t="s">
        <v>609</v>
      </c>
      <c r="B60" s="1034"/>
      <c r="C60" s="1034"/>
      <c r="D60" s="1034"/>
      <c r="E60" s="1034"/>
      <c r="F60" s="1034"/>
      <c r="G60" s="1034"/>
      <c r="H60" s="1034"/>
      <c r="I60" s="1034"/>
      <c r="J60" s="1034"/>
      <c r="K60" s="1035"/>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5" customHeight="1">
      <c r="A61" s="1079" t="s">
        <v>610</v>
      </c>
      <c r="B61" s="1080"/>
      <c r="C61" s="1052" t="s">
        <v>492</v>
      </c>
      <c r="D61" s="1053"/>
      <c r="E61" s="1081" t="s">
        <v>493</v>
      </c>
      <c r="F61" s="1034"/>
      <c r="G61" s="1082"/>
      <c r="H61" s="1083" t="s">
        <v>464</v>
      </c>
      <c r="I61" s="1083"/>
      <c r="J61" s="1083"/>
      <c r="K61" s="1084"/>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c r="A62" s="1050"/>
      <c r="B62" s="1051"/>
      <c r="C62" s="1026"/>
      <c r="D62" s="1025"/>
      <c r="E62" s="1021"/>
      <c r="F62" s="1022"/>
      <c r="G62" s="1023"/>
      <c r="H62" s="588"/>
      <c r="I62" s="1019"/>
      <c r="J62" s="1019"/>
      <c r="K62" s="1020"/>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024"/>
      <c r="B63" s="1025"/>
      <c r="C63" s="1026"/>
      <c r="D63" s="1025"/>
      <c r="E63" s="1021"/>
      <c r="F63" s="1022"/>
      <c r="G63" s="1023"/>
      <c r="H63" s="588"/>
      <c r="I63" s="1019"/>
      <c r="J63" s="1019"/>
      <c r="K63" s="1020"/>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1024"/>
      <c r="B64" s="1025"/>
      <c r="C64" s="1026"/>
      <c r="D64" s="1025"/>
      <c r="E64" s="1021"/>
      <c r="F64" s="1022"/>
      <c r="G64" s="1023"/>
      <c r="H64" s="588"/>
      <c r="I64" s="1019"/>
      <c r="J64" s="1019"/>
      <c r="K64" s="1020"/>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c r="A65" s="1024"/>
      <c r="B65" s="1025"/>
      <c r="C65" s="1026"/>
      <c r="D65" s="1025"/>
      <c r="E65" s="1021"/>
      <c r="F65" s="1022"/>
      <c r="G65" s="1023"/>
      <c r="H65" s="588"/>
      <c r="I65" s="1019"/>
      <c r="J65" s="1019"/>
      <c r="K65" s="1020"/>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ht="19" customHeight="1" thickBot="1">
      <c r="A66" s="1054" t="s">
        <v>465</v>
      </c>
      <c r="B66" s="1055"/>
      <c r="C66" s="1056"/>
      <c r="D66" s="1056"/>
      <c r="E66" s="1056"/>
      <c r="F66" s="1056"/>
      <c r="G66" s="1056"/>
      <c r="H66" s="590">
        <f>H59+H58-SUM(H62:H65)</f>
        <v>0</v>
      </c>
      <c r="I66" s="1063">
        <f>I58+I59-SUM(I62:K65)</f>
        <v>0</v>
      </c>
      <c r="J66" s="1064"/>
      <c r="K66" s="1065"/>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0" ht="19" hidden="1" customHeight="1">
      <c r="A67" s="427"/>
      <c r="B67" s="427"/>
      <c r="C67" s="427"/>
      <c r="D67" s="427"/>
      <c r="E67" s="427"/>
      <c r="F67" s="427"/>
      <c r="G67" s="427"/>
      <c r="H67" s="437"/>
      <c r="I67" s="491"/>
      <c r="J67" s="491"/>
      <c r="K67" s="481"/>
      <c r="L67" s="635"/>
      <c r="M67" s="635"/>
      <c r="N67" s="635"/>
      <c r="O67" s="635"/>
      <c r="P67" s="635"/>
      <c r="Q67" s="509"/>
      <c r="R67" s="510"/>
      <c r="S67" s="510"/>
      <c r="T67" s="510"/>
      <c r="U67" s="510"/>
      <c r="V67" s="508" t="s">
        <v>538</v>
      </c>
      <c r="W67" s="511"/>
      <c r="X67" s="508"/>
      <c r="Y67"/>
      <c r="Z67"/>
      <c r="AA67" s="87"/>
      <c r="AB67" s="87"/>
      <c r="BI67" s="1"/>
      <c r="CF67" s="1"/>
      <c r="CQ67" s="242"/>
      <c r="CR67" s="242"/>
      <c r="CY67"/>
      <c r="CZ67"/>
    </row>
    <row r="68" spans="1:110" ht="19" hidden="1" customHeight="1">
      <c r="A68" s="120" t="s">
        <v>203</v>
      </c>
      <c r="B68" s="120"/>
      <c r="C68" s="120"/>
      <c r="D68" s="120">
        <f>COUNTIF([0]!April,"Skema 1")</f>
        <v>17</v>
      </c>
      <c r="E68" s="383"/>
      <c r="F68" s="120" t="s">
        <v>183</v>
      </c>
      <c r="G68" s="120">
        <f>COUNTIFS($B$14:$B$43,"ma",[0]!April,"Skema 1")</f>
        <v>3</v>
      </c>
      <c r="H68" s="120"/>
      <c r="I68" s="496"/>
      <c r="J68" s="635"/>
      <c r="K68" s="635"/>
      <c r="L68" s="496"/>
      <c r="M68" s="636"/>
      <c r="N68" s="635"/>
      <c r="O68" s="636"/>
      <c r="P68" s="654" t="s">
        <v>551</v>
      </c>
      <c r="Q68" s="656" t="s">
        <v>562</v>
      </c>
      <c r="R68" s="225"/>
      <c r="S68" s="225"/>
      <c r="T68" s="225"/>
      <c r="U68" s="225"/>
      <c r="V68" s="225"/>
      <c r="W68" s="115"/>
      <c r="X68" s="115"/>
      <c r="Y68"/>
      <c r="Z68"/>
      <c r="AA68" s="87"/>
      <c r="AB68" s="87"/>
      <c r="BI68" s="1"/>
      <c r="CF68" s="1"/>
      <c r="CQ68" s="242"/>
      <c r="CR68" s="242"/>
      <c r="CY68"/>
      <c r="CZ68"/>
    </row>
    <row r="69" spans="1:110" ht="19" hidden="1" customHeight="1">
      <c r="A69" s="1271" t="s">
        <v>204</v>
      </c>
      <c r="B69" s="1271"/>
      <c r="C69" s="1271"/>
      <c r="D69" s="483">
        <f>COUNTIF([0]!April,"Skema 2")</f>
        <v>0</v>
      </c>
      <c r="E69" s="484"/>
      <c r="F69" s="483" t="s">
        <v>184</v>
      </c>
      <c r="G69" s="483">
        <f>COUNTIFS($B$14:$B$43,"ti",[0]!April,"Skema 1")</f>
        <v>3</v>
      </c>
      <c r="H69" s="120"/>
      <c r="I69" s="496" t="s">
        <v>552</v>
      </c>
      <c r="J69" s="635"/>
      <c r="K69" s="496"/>
      <c r="L69" s="638"/>
      <c r="M69" s="636"/>
      <c r="N69" s="636"/>
      <c r="O69" s="639"/>
      <c r="P69" s="654">
        <f>IF(Stamoplysninger!$B$27="Ulempetillæg udbetales med 25% af nettotimelønnen.",SUM(DO44:DR44)-SUM(DS44:DV44),0)</f>
        <v>0</v>
      </c>
      <c r="Q69" s="656"/>
      <c r="R69" s="730"/>
      <c r="S69" s="225"/>
      <c r="T69" s="225"/>
      <c r="U69" s="225"/>
      <c r="V69" s="225"/>
      <c r="W69" s="115"/>
      <c r="X69" s="115"/>
      <c r="Y69"/>
      <c r="Z69"/>
      <c r="AA69" s="87"/>
      <c r="AB69" s="87"/>
      <c r="BI69" s="1"/>
      <c r="CF69" s="1"/>
      <c r="CQ69" s="242"/>
      <c r="CR69" s="242"/>
      <c r="CY69"/>
      <c r="CZ69"/>
    </row>
    <row r="70" spans="1:110" ht="19" hidden="1" customHeight="1">
      <c r="A70" s="1271" t="s">
        <v>205</v>
      </c>
      <c r="B70" s="1271"/>
      <c r="C70" s="1271"/>
      <c r="D70" s="483">
        <f>COUNTIF([0]!April,"Skema 3")</f>
        <v>0</v>
      </c>
      <c r="E70" s="484"/>
      <c r="F70" s="483" t="s">
        <v>185</v>
      </c>
      <c r="G70" s="483">
        <f>COUNTIFS($B$14:$B$43,"on",[0]!April,"Skema 1")</f>
        <v>3</v>
      </c>
      <c r="H70" s="483"/>
      <c r="I70" s="653" t="s">
        <v>553</v>
      </c>
      <c r="J70" s="635"/>
      <c r="K70" s="496"/>
      <c r="L70" s="638"/>
      <c r="M70" s="636"/>
      <c r="N70" s="636"/>
      <c r="O70" s="636"/>
      <c r="P70" s="654"/>
      <c r="Q70" s="656">
        <f>IF(Stamoplysninger!$B$27="Ulempetillæg afspadseres med 25%(Kræver en aftale imellem ledelsen og den ansatte)",DW44+DX44+DY44+DZ44-EA44-EB44-EC44-ED44,0)</f>
        <v>0</v>
      </c>
      <c r="R70" s="731"/>
      <c r="S70" s="225"/>
      <c r="T70" s="225"/>
      <c r="U70" s="225"/>
      <c r="V70" s="225"/>
      <c r="W70" s="115"/>
      <c r="X70" s="115"/>
      <c r="Y70"/>
      <c r="Z70"/>
      <c r="AA70" s="87"/>
      <c r="AB70" s="87"/>
      <c r="BI70" s="1"/>
      <c r="CF70" s="1"/>
      <c r="CQ70" s="242"/>
      <c r="CR70" s="242"/>
      <c r="CY70"/>
      <c r="CZ70"/>
    </row>
    <row r="71" spans="1:110" ht="19" hidden="1" customHeight="1">
      <c r="A71" s="1271" t="s">
        <v>206</v>
      </c>
      <c r="B71" s="1271"/>
      <c r="C71" s="1271"/>
      <c r="D71" s="483">
        <f>COUNTIF([0]!April,"Skema 4")</f>
        <v>0</v>
      </c>
      <c r="E71" s="484"/>
      <c r="F71" s="483" t="s">
        <v>187</v>
      </c>
      <c r="G71" s="483">
        <f>COUNTIFS($B$14:$B$43,"to",[0]!April,"Skema 1")</f>
        <v>4</v>
      </c>
      <c r="H71" s="483"/>
      <c r="I71" s="653" t="s">
        <v>554</v>
      </c>
      <c r="J71" s="635"/>
      <c r="K71" s="496"/>
      <c r="L71" s="638"/>
      <c r="M71" s="641"/>
      <c r="N71" s="641"/>
      <c r="O71" s="4"/>
      <c r="P71" s="654"/>
      <c r="Q71" s="656"/>
      <c r="R71" s="225"/>
      <c r="S71" s="225"/>
      <c r="T71" s="225"/>
      <c r="U71" s="225"/>
      <c r="V71" s="225"/>
      <c r="W71" s="115"/>
      <c r="X71" s="115"/>
      <c r="Y71" s="233"/>
      <c r="Z71" s="233"/>
      <c r="AA71" s="233"/>
      <c r="AB71" s="211"/>
      <c r="AC71" s="241"/>
      <c r="AD71" s="241"/>
      <c r="AE71" s="241"/>
      <c r="AF71" s="241"/>
      <c r="AG71" s="233"/>
      <c r="AI71" s="233"/>
      <c r="AJ71" s="233"/>
      <c r="AN71" s="87"/>
      <c r="AO71" s="87"/>
      <c r="BV71" s="1"/>
      <c r="CS71" s="1"/>
      <c r="CY71"/>
      <c r="CZ71"/>
      <c r="DD71" s="242"/>
      <c r="DE71" s="242"/>
    </row>
    <row r="72" spans="1:110" ht="19" hidden="1" customHeight="1">
      <c r="A72" s="483" t="s">
        <v>111</v>
      </c>
      <c r="B72" s="483"/>
      <c r="C72" s="483"/>
      <c r="D72" s="483">
        <f>COUNTIF([0]!April,"Fagdag")+COUNTIF([0]!April,"emnedag")</f>
        <v>5</v>
      </c>
      <c r="E72" s="484"/>
      <c r="F72" s="483" t="s">
        <v>186</v>
      </c>
      <c r="G72" s="483">
        <f>COUNTIFS($B$14:$B$43,"fr",[0]!April,"Skema 1")</f>
        <v>4</v>
      </c>
      <c r="H72" s="483"/>
      <c r="I72" s="638" t="s">
        <v>555</v>
      </c>
      <c r="J72" s="635"/>
      <c r="K72" s="496"/>
      <c r="L72" s="638"/>
      <c r="M72" s="641"/>
      <c r="N72" s="641"/>
      <c r="O72" s="4"/>
      <c r="P72" s="654"/>
      <c r="Q72" s="656">
        <f>IF(Stamoplysninger!$B$31="Weekendtimer og weekendtillæg afspadseres.",EE44+EF44-EG44-EH44+EI44+EJ44,0)</f>
        <v>0</v>
      </c>
      <c r="R72" s="733"/>
      <c r="S72" s="225"/>
      <c r="T72" s="225"/>
      <c r="U72" s="225"/>
      <c r="V72" s="225"/>
      <c r="W72" s="115"/>
      <c r="X72" s="115"/>
      <c r="Y72" s="233"/>
      <c r="Z72" s="233"/>
      <c r="AA72" s="233"/>
      <c r="AB72" s="211"/>
      <c r="AC72" s="241"/>
      <c r="AD72" s="241"/>
      <c r="AE72" s="241"/>
      <c r="AF72" s="211"/>
      <c r="AG72" s="233"/>
      <c r="AI72" s="233"/>
      <c r="AJ72" s="233"/>
      <c r="AN72" s="87"/>
      <c r="AO72" s="87"/>
      <c r="BV72" s="1"/>
      <c r="CS72" s="1"/>
      <c r="CY72"/>
      <c r="CZ72"/>
      <c r="DD72" s="242"/>
      <c r="DE72" s="242"/>
    </row>
    <row r="73" spans="1:110" ht="19" hidden="1" customHeight="1">
      <c r="A73" s="487" t="s">
        <v>110</v>
      </c>
      <c r="B73" s="483"/>
      <c r="C73" s="483"/>
      <c r="D73" s="483">
        <f>COUNTIF([0]!April,"Lejrskole")+COUNTIF([0]!April,"Ekskursion")</f>
        <v>0</v>
      </c>
      <c r="E73" s="484"/>
      <c r="F73" s="483"/>
      <c r="G73" s="483"/>
      <c r="H73" s="483"/>
      <c r="I73" s="638" t="s">
        <v>556</v>
      </c>
      <c r="J73" s="638"/>
      <c r="K73" s="638"/>
      <c r="L73" s="638"/>
      <c r="M73" s="642"/>
      <c r="N73" s="642"/>
      <c r="O73" s="4"/>
      <c r="P73" s="655">
        <f>IF(Stamoplysninger!$B$31="Weekendtimer og weekendtillæg udbetales.",EM44+EN44-EO44-EP44+EQ44+ER44,0)</f>
        <v>0</v>
      </c>
      <c r="Q73" s="656"/>
      <c r="R73" s="735"/>
      <c r="S73" s="225"/>
      <c r="T73" s="225"/>
      <c r="U73" s="225"/>
      <c r="V73" s="225"/>
      <c r="W73" s="115"/>
      <c r="X73" s="115"/>
      <c r="Y73" s="233"/>
      <c r="Z73" s="233"/>
      <c r="AA73" s="233"/>
      <c r="AB73" s="211"/>
      <c r="AC73" s="241"/>
      <c r="AD73" s="241"/>
      <c r="AE73" s="241"/>
      <c r="AF73" s="211"/>
      <c r="AG73" s="233"/>
      <c r="AI73" s="233"/>
      <c r="AJ73" s="233"/>
      <c r="AN73" s="87"/>
      <c r="AO73" s="87"/>
      <c r="BV73" s="1"/>
      <c r="CS73" s="1"/>
      <c r="CY73"/>
      <c r="CZ73"/>
      <c r="DD73" s="242"/>
      <c r="DE73" s="242"/>
    </row>
    <row r="74" spans="1:110" ht="19" hidden="1" customHeight="1">
      <c r="A74" s="483" t="s">
        <v>109</v>
      </c>
      <c r="B74" s="483"/>
      <c r="C74" s="483"/>
      <c r="D74" s="483">
        <f>COUNTIF([0]!April,"Pæd.dag")</f>
        <v>0</v>
      </c>
      <c r="E74" s="484"/>
      <c r="F74" s="483" t="s">
        <v>188</v>
      </c>
      <c r="G74" s="483">
        <f>COUNTIFS($B$14:$B$43,"ma",[0]!April,"Skema 2")</f>
        <v>0</v>
      </c>
      <c r="H74" s="483"/>
      <c r="I74" s="638" t="s">
        <v>557</v>
      </c>
      <c r="J74" s="638"/>
      <c r="K74" s="638"/>
      <c r="L74" s="638"/>
      <c r="M74" s="642"/>
      <c r="N74" s="642"/>
      <c r="O74" s="4"/>
      <c r="P74" s="654"/>
      <c r="Q74" s="656"/>
      <c r="R74" s="225"/>
      <c r="S74" s="225"/>
      <c r="T74" s="225"/>
      <c r="U74" s="225"/>
      <c r="V74" s="225"/>
      <c r="W74" s="115"/>
      <c r="X74" s="115"/>
      <c r="Y74" s="233"/>
      <c r="Z74" s="233"/>
      <c r="AA74" s="233"/>
      <c r="AB74" s="211"/>
      <c r="AC74" s="241"/>
      <c r="AD74" s="241"/>
      <c r="AE74" s="241"/>
      <c r="AF74" s="211"/>
      <c r="AG74" s="233"/>
      <c r="AI74" s="233"/>
      <c r="AJ74" s="233"/>
      <c r="AN74" s="87"/>
      <c r="AO74" s="87"/>
      <c r="BV74" s="1"/>
      <c r="CS74" s="1"/>
      <c r="CY74"/>
      <c r="CZ74"/>
      <c r="DD74" s="242"/>
      <c r="DE74" s="242"/>
    </row>
    <row r="75" spans="1:110" ht="19" hidden="1" customHeight="1">
      <c r="A75" s="483" t="s">
        <v>118</v>
      </c>
      <c r="B75" s="483"/>
      <c r="C75" s="483"/>
      <c r="D75" s="483">
        <f>COUNTIF([0]!April,"Weekend")</f>
        <v>8</v>
      </c>
      <c r="E75" s="484"/>
      <c r="F75" s="483" t="s">
        <v>189</v>
      </c>
      <c r="G75" s="483">
        <f>COUNTIFS($B$14:$B$43,"ti",[0]!April,"Skema 2")</f>
        <v>0</v>
      </c>
      <c r="H75" s="483"/>
      <c r="I75" s="638" t="s">
        <v>558</v>
      </c>
      <c r="J75" s="638"/>
      <c r="K75" s="638"/>
      <c r="L75" s="638"/>
      <c r="M75" s="643"/>
      <c r="N75" s="643"/>
      <c r="O75" s="4"/>
      <c r="P75" s="654"/>
      <c r="Q75" s="657">
        <f>IF(Stamoplysninger!$B$31="Der er indgået lokalaftale omkring weekendtimer.(Kræver aftale med TR/FSL) Weekendtillæg afspadseres.",EU44+EV44-EW44-EX44,0)</f>
        <v>0</v>
      </c>
      <c r="R75" s="737"/>
      <c r="S75" s="225"/>
      <c r="T75" s="225"/>
      <c r="U75" s="225"/>
      <c r="V75" s="225"/>
      <c r="W75" s="115"/>
      <c r="X75" s="115"/>
      <c r="Y75"/>
      <c r="Z75"/>
      <c r="AM75" s="1"/>
      <c r="BJ75" s="1"/>
      <c r="BU75" s="242"/>
      <c r="BV75" s="242"/>
      <c r="CY75"/>
      <c r="CZ75"/>
    </row>
    <row r="76" spans="1:110" ht="19" hidden="1" customHeight="1">
      <c r="A76" s="483" t="s">
        <v>125</v>
      </c>
      <c r="B76" s="483"/>
      <c r="C76" s="483"/>
      <c r="D76" s="483">
        <f>COUNTIF([0]!April,"SH-dag")</f>
        <v>0</v>
      </c>
      <c r="E76" s="484"/>
      <c r="F76" s="483" t="s">
        <v>190</v>
      </c>
      <c r="G76" s="483">
        <f>COUNTIFS($B$14:$B$43,"on",[0]!April,"Skema 2")</f>
        <v>0</v>
      </c>
      <c r="H76" s="483"/>
      <c r="I76" s="638" t="s">
        <v>559</v>
      </c>
      <c r="J76" s="638"/>
      <c r="K76" s="638"/>
      <c r="L76" s="638"/>
      <c r="M76" s="643"/>
      <c r="N76" s="643"/>
      <c r="O76" s="4"/>
      <c r="P76" s="654">
        <f>IF(Stamoplysninger!$B$31="Der er indgået lokalaftale omkring weekendtimer(Kræver aftale med TR/FSL). Weekendtillæg udbetales.",EY44+EZ44-FA44-FB44,0)</f>
        <v>0</v>
      </c>
      <c r="Q76" s="656"/>
      <c r="R76" s="739"/>
      <c r="S76" s="225"/>
      <c r="T76" s="225"/>
      <c r="U76" s="225"/>
      <c r="V76" s="225"/>
      <c r="W76" s="115"/>
      <c r="X76" s="115"/>
      <c r="Y76"/>
      <c r="Z76"/>
      <c r="AM76" s="1"/>
      <c r="BJ76" s="1"/>
      <c r="BU76" s="242"/>
      <c r="BV76" s="242"/>
      <c r="CY76"/>
      <c r="CZ76"/>
    </row>
    <row r="77" spans="1:110" ht="19" hidden="1" customHeight="1">
      <c r="A77" s="483" t="s">
        <v>108</v>
      </c>
      <c r="B77" s="483"/>
      <c r="C77" s="483"/>
      <c r="D77" s="483">
        <f>COUNTIF([0]!April,"Feriedag")</f>
        <v>0</v>
      </c>
      <c r="E77" s="484"/>
      <c r="F77" s="483" t="s">
        <v>191</v>
      </c>
      <c r="G77" s="483">
        <f>COUNTIFS($B$14:$B$43,"to",[0]!April,"Skema 2")</f>
        <v>0</v>
      </c>
      <c r="H77" s="483"/>
      <c r="I77" s="638" t="s">
        <v>560</v>
      </c>
      <c r="J77" s="638"/>
      <c r="K77" s="638"/>
      <c r="L77" s="638"/>
      <c r="M77" s="643"/>
      <c r="N77" s="643"/>
      <c r="O77" s="4"/>
      <c r="P77" s="654"/>
      <c r="Q77" s="610">
        <f>IF(Stamoplysninger!$B$31="Der er indgået lokalaftale omkring weekendtillæg(Kræver aftale med TR/FSL). Weekendtimerne afspadseres.",FC44+FD44-FE44-FF44,0)</f>
        <v>0</v>
      </c>
      <c r="R77" s="741"/>
      <c r="S77" s="38"/>
      <c r="T77" s="38"/>
      <c r="Y77"/>
      <c r="Z77"/>
      <c r="AM77" s="1"/>
      <c r="BJ77" s="1"/>
      <c r="BU77" s="242"/>
      <c r="BV77" s="242"/>
      <c r="CY77"/>
      <c r="CZ77"/>
    </row>
    <row r="78" spans="1:110" ht="19" hidden="1" customHeight="1">
      <c r="A78" s="483" t="s">
        <v>175</v>
      </c>
      <c r="B78" s="483"/>
      <c r="C78" s="483"/>
      <c r="D78" s="483">
        <f>COUNTIF([0]!April,"Nul-dag")</f>
        <v>0</v>
      </c>
      <c r="E78" s="484"/>
      <c r="F78" s="483" t="s">
        <v>192</v>
      </c>
      <c r="G78" s="483">
        <f>COUNTIFS($B$14:$B$43,"fr",[0]!April,"Skema 2")</f>
        <v>0</v>
      </c>
      <c r="H78" s="483"/>
      <c r="I78" s="638" t="s">
        <v>561</v>
      </c>
      <c r="J78" s="638"/>
      <c r="K78" s="638"/>
      <c r="L78" s="638"/>
      <c r="M78" s="643"/>
      <c r="N78" s="643"/>
      <c r="O78" s="4"/>
      <c r="P78" s="654">
        <f>IF(Stamoplysninger!$B$31="Der er indgået lokalaftale omkring weekendtillæg(Kræver aftale med TR/FSL). Weekendtimerne udbetales.",FG44+FH44-FI44-FJ44,0)</f>
        <v>0</v>
      </c>
      <c r="Q78" s="610"/>
      <c r="R78" s="742"/>
      <c r="V78" t="s">
        <v>612</v>
      </c>
      <c r="Y78"/>
      <c r="Z78"/>
      <c r="AM78" s="1"/>
      <c r="BJ78" s="1"/>
      <c r="BU78" s="242"/>
      <c r="BV78" s="242"/>
      <c r="CY78"/>
      <c r="CZ78"/>
    </row>
    <row r="79" spans="1:110" ht="19" hidden="1" customHeight="1">
      <c r="A79" s="488" t="s">
        <v>406</v>
      </c>
      <c r="B79" s="483"/>
      <c r="C79" s="483"/>
      <c r="D79" s="483">
        <f>COUNTIF([0]!April,"Orlov")</f>
        <v>0</v>
      </c>
      <c r="E79" s="484"/>
      <c r="F79" s="489"/>
      <c r="G79" s="489"/>
      <c r="H79" s="489"/>
      <c r="I79" s="638" t="s">
        <v>567</v>
      </c>
      <c r="J79" s="638"/>
      <c r="K79" s="638"/>
      <c r="L79" s="638"/>
      <c r="M79" s="644"/>
      <c r="N79" s="644"/>
      <c r="O79" s="4"/>
      <c r="P79" s="637"/>
      <c r="R79" s="727">
        <f>IF(AND(C14="ikke relevant",S14="X"),V14*-1,0)</f>
        <v>0</v>
      </c>
      <c r="T79" s="727">
        <f>IF(AND(C14="ikke relevant",U14="X"),X14*-1,0)</f>
        <v>0</v>
      </c>
      <c r="V79">
        <f>IF(AND(C14="ikke relevant",H14&gt;""),R14*-1,0)</f>
        <v>0</v>
      </c>
      <c r="Y79"/>
      <c r="Z79"/>
      <c r="AM79" s="1"/>
      <c r="BJ79" s="1"/>
      <c r="BU79" s="242"/>
      <c r="BV79" s="242"/>
      <c r="CY79"/>
      <c r="CZ79"/>
    </row>
    <row r="80" spans="1:110" ht="19" hidden="1" customHeight="1">
      <c r="A80" s="483" t="s">
        <v>158</v>
      </c>
      <c r="B80" s="483"/>
      <c r="C80" s="483"/>
      <c r="D80" s="483">
        <f>COUNTIF([0]!April,"Ikke relevant")</f>
        <v>0</v>
      </c>
      <c r="E80" s="484"/>
      <c r="F80" s="483" t="s">
        <v>193</v>
      </c>
      <c r="G80" s="483">
        <f>COUNTIFS($B$14:$B$43,"ma",[0]!April,"Skema 3")</f>
        <v>0</v>
      </c>
      <c r="H80" s="483"/>
      <c r="I80" s="638"/>
      <c r="J80" s="638"/>
      <c r="K80" s="638"/>
      <c r="L80" s="496"/>
      <c r="M80" s="644"/>
      <c r="N80" s="644"/>
      <c r="O80" s="4"/>
      <c r="P80" s="637"/>
      <c r="R80" s="727">
        <f t="shared" ref="R80:R108" si="44">IF(AND(C15="ikke relevant",S15="X"),V15*-1,0)</f>
        <v>0</v>
      </c>
      <c r="T80" s="727">
        <f t="shared" ref="T80:T107" si="45">IF(AND(C15="ikke relevant",U15="X"),X15*-1,0)</f>
        <v>0</v>
      </c>
      <c r="V80">
        <f t="shared" ref="V80:V107" si="46">IF(AND(C15="ikke relevant",H15&gt;""),R15*-1,0)</f>
        <v>0</v>
      </c>
      <c r="Y80" s="378">
        <f>IF(Stamoplysninger!B31="Der er indgået lokalaftale omkring weekendtillæg. Weekendtimerne udbetales.",April!#REF!,0)</f>
        <v>0</v>
      </c>
      <c r="Z80" s="378"/>
      <c r="AA80" s="378"/>
      <c r="AB80" s="379"/>
      <c r="AC80" s="120"/>
      <c r="AD80" s="120"/>
      <c r="AE80" s="225"/>
      <c r="AG80" s="225"/>
      <c r="AH80" s="225"/>
      <c r="AI80" s="225"/>
      <c r="AJ80" s="115"/>
      <c r="AK80" s="115"/>
      <c r="BA80" s="1"/>
      <c r="BX80" s="1"/>
      <c r="CI80" s="242"/>
      <c r="CJ80" s="242"/>
      <c r="CY80"/>
      <c r="CZ80"/>
    </row>
    <row r="81" spans="1:104" ht="19" hidden="1" customHeight="1">
      <c r="A81" s="483" t="s">
        <v>107</v>
      </c>
      <c r="B81" s="483"/>
      <c r="C81" s="483"/>
      <c r="D81" s="483">
        <f>SUM(D68:D80)</f>
        <v>30</v>
      </c>
      <c r="E81" s="483"/>
      <c r="F81" s="483" t="s">
        <v>194</v>
      </c>
      <c r="G81" s="483">
        <f>COUNTIFS($B$14:$B$43,"ti",[0]!April,"Skema 3")</f>
        <v>0</v>
      </c>
      <c r="H81" s="483"/>
      <c r="I81" s="638"/>
      <c r="J81" s="638"/>
      <c r="K81" s="638"/>
      <c r="L81" s="496"/>
      <c r="M81" s="644"/>
      <c r="N81" s="644"/>
      <c r="O81" s="4"/>
      <c r="P81" s="637"/>
      <c r="R81" s="727">
        <f t="shared" si="44"/>
        <v>0</v>
      </c>
      <c r="T81" s="727">
        <f t="shared" si="45"/>
        <v>0</v>
      </c>
      <c r="V81">
        <f t="shared" si="46"/>
        <v>0</v>
      </c>
      <c r="Y81"/>
      <c r="Z81"/>
      <c r="AO81" s="1"/>
      <c r="BL81" s="1"/>
      <c r="BW81" s="242"/>
      <c r="BX81" s="242"/>
      <c r="CY81"/>
      <c r="CZ81"/>
    </row>
    <row r="82" spans="1:104" ht="19" hidden="1" customHeight="1">
      <c r="A82" s="483" t="s">
        <v>236</v>
      </c>
      <c r="B82" s="483"/>
      <c r="C82" s="483"/>
      <c r="D82" s="483">
        <f>D81-D75-A91-D80</f>
        <v>22</v>
      </c>
      <c r="E82" s="490"/>
      <c r="F82" s="483" t="s">
        <v>195</v>
      </c>
      <c r="G82" s="483">
        <f>COUNTIFS($B$14:$B$43,"on",[0]!April,"Skema 3")</f>
        <v>0</v>
      </c>
      <c r="H82" s="483"/>
      <c r="I82" s="638"/>
      <c r="J82" s="638"/>
      <c r="K82" s="638"/>
      <c r="L82" s="496"/>
      <c r="M82" s="644"/>
      <c r="N82" s="644"/>
      <c r="O82" s="4"/>
      <c r="P82" s="637"/>
      <c r="R82" s="727">
        <f t="shared" si="44"/>
        <v>0</v>
      </c>
      <c r="T82" s="727">
        <f t="shared" si="45"/>
        <v>0</v>
      </c>
      <c r="V82">
        <f t="shared" si="46"/>
        <v>0</v>
      </c>
      <c r="Y82"/>
      <c r="Z82"/>
      <c r="AO82" s="1"/>
      <c r="BL82" s="1"/>
      <c r="BW82" s="242"/>
      <c r="BX82" s="242"/>
      <c r="CY82"/>
      <c r="CZ82"/>
    </row>
    <row r="83" spans="1:104" ht="19" hidden="1" customHeight="1">
      <c r="A83" s="483"/>
      <c r="B83" s="483"/>
      <c r="C83" s="483"/>
      <c r="D83" s="483"/>
      <c r="E83" s="483"/>
      <c r="F83" s="483" t="s">
        <v>196</v>
      </c>
      <c r="G83" s="483">
        <f>COUNTIFS($B$14:$B$43,"to",[0]!April,"Skema 3")</f>
        <v>0</v>
      </c>
      <c r="H83" s="483"/>
      <c r="I83" s="640"/>
      <c r="J83" s="638"/>
      <c r="K83" s="638"/>
      <c r="L83" s="496"/>
      <c r="M83" s="636"/>
      <c r="N83" s="636"/>
      <c r="O83" s="4"/>
      <c r="P83" s="637"/>
      <c r="R83" s="727">
        <f t="shared" si="44"/>
        <v>0</v>
      </c>
      <c r="T83" s="727">
        <f t="shared" si="45"/>
        <v>0</v>
      </c>
      <c r="V83">
        <f t="shared" si="46"/>
        <v>0</v>
      </c>
      <c r="Y83"/>
      <c r="Z83"/>
      <c r="AO83" s="1"/>
      <c r="BL83" s="1"/>
      <c r="BW83" s="242"/>
      <c r="BX83" s="242"/>
      <c r="CY83"/>
      <c r="CZ83"/>
    </row>
    <row r="84" spans="1:104" ht="19" hidden="1" customHeight="1">
      <c r="A84" s="483"/>
      <c r="B84" s="483"/>
      <c r="C84" s="483"/>
      <c r="D84" s="483"/>
      <c r="E84" s="483"/>
      <c r="F84" s="483" t="s">
        <v>197</v>
      </c>
      <c r="G84" s="483">
        <f>COUNTIFS($B$14:$B$43,"fr",[0]!April,"Skema 3")</f>
        <v>0</v>
      </c>
      <c r="H84" s="483"/>
      <c r="I84" s="491"/>
      <c r="J84" s="496"/>
      <c r="K84" s="496"/>
      <c r="L84" s="496"/>
      <c r="M84" s="4"/>
      <c r="N84" s="4"/>
      <c r="O84" s="4"/>
      <c r="P84" s="4"/>
      <c r="R84" s="727">
        <f t="shared" si="44"/>
        <v>0</v>
      </c>
      <c r="T84" s="727">
        <f t="shared" si="45"/>
        <v>0</v>
      </c>
      <c r="V84">
        <f t="shared" si="46"/>
        <v>0</v>
      </c>
      <c r="Y84"/>
      <c r="Z84"/>
      <c r="AO84" s="1"/>
      <c r="BL84" s="1"/>
      <c r="BW84" s="242"/>
      <c r="BX84" s="242"/>
      <c r="CY84"/>
      <c r="CZ84"/>
    </row>
    <row r="85" spans="1:104" ht="19" hidden="1" customHeight="1">
      <c r="A85" s="483" t="s">
        <v>289</v>
      </c>
      <c r="B85" s="483"/>
      <c r="C85" s="483"/>
      <c r="D85" s="483"/>
      <c r="E85" s="483"/>
      <c r="F85" s="483"/>
      <c r="G85" s="483"/>
      <c r="H85" s="483"/>
      <c r="I85" s="491"/>
      <c r="J85" s="496"/>
      <c r="K85" s="496"/>
      <c r="L85" s="496"/>
      <c r="M85" s="4"/>
      <c r="N85" s="4"/>
      <c r="O85" s="4"/>
      <c r="P85" s="4"/>
      <c r="R85" s="727">
        <f t="shared" si="44"/>
        <v>0</v>
      </c>
      <c r="T85" s="727">
        <f t="shared" si="45"/>
        <v>0</v>
      </c>
      <c r="V85">
        <f t="shared" si="46"/>
        <v>0</v>
      </c>
      <c r="Y85"/>
      <c r="Z85"/>
      <c r="AO85" s="1"/>
      <c r="BL85" s="1"/>
      <c r="BW85" s="242"/>
      <c r="BX85" s="242"/>
      <c r="CY85"/>
      <c r="CZ85"/>
    </row>
    <row r="86" spans="1:104" ht="19" hidden="1" customHeight="1">
      <c r="A86" s="483">
        <f>COUNTIF(C16:C17,"Skema 1")+COUNTIF(C16:C17,"Skema 2")+COUNTIF(C16:C17,"Skema 3")+COUNTIF(C16:C17,"Skema 4")+COUNTIF(C16:C17,"Fagdag")+COUNTIF(C16:C17,"Emnedag")+COUNTIF(C16:C17,"Lejrskole")+COUNTIF(C16:C17,"Ekskursion")+COUNTIF(C16:C17,"Pæd.dag")</f>
        <v>0</v>
      </c>
      <c r="B86" s="483"/>
      <c r="C86" s="483"/>
      <c r="D86" s="483"/>
      <c r="E86" s="483"/>
      <c r="F86" s="483" t="s">
        <v>198</v>
      </c>
      <c r="G86" s="483">
        <f>COUNTIFS($B$14:$B$43,"ma",[0]!April,"Skema 4")</f>
        <v>0</v>
      </c>
      <c r="H86" s="483"/>
      <c r="I86" s="491"/>
      <c r="J86" s="496"/>
      <c r="K86" s="496"/>
      <c r="L86" s="496"/>
      <c r="M86" s="4"/>
      <c r="N86" s="4"/>
      <c r="O86" s="4"/>
      <c r="P86" s="4"/>
      <c r="R86" s="727">
        <f t="shared" si="44"/>
        <v>0</v>
      </c>
      <c r="T86" s="727">
        <f t="shared" si="45"/>
        <v>0</v>
      </c>
      <c r="V86">
        <f t="shared" si="46"/>
        <v>0</v>
      </c>
      <c r="Y86"/>
      <c r="Z86"/>
      <c r="AO86" s="1"/>
      <c r="BL86" s="1"/>
      <c r="BW86" s="242"/>
      <c r="BX86" s="242"/>
      <c r="CY86"/>
      <c r="CZ86"/>
    </row>
    <row r="87" spans="1:104" ht="19" hidden="1" customHeight="1">
      <c r="A87" s="483">
        <f>COUNTIF(C23:C24,"Skema 1")+COUNTIF(C23:C24,"Skema 2")+COUNTIF(C23:C24,"Skema 3")+COUNTIF(C23:C24,"Skema 4")+COUNTIF(C23:C24,"Fagdag")+COUNTIF(C23:C24,"Emnedag")+COUNTIF(C23:C24,"Lejrskole")+COUNTIF(C23:C24,"Ekskursion")+COUNTIF(C23:C24,"Pæd.dag")</f>
        <v>0</v>
      </c>
      <c r="B87" s="483"/>
      <c r="C87" s="483"/>
      <c r="D87" s="483"/>
      <c r="E87" s="483"/>
      <c r="F87" s="483" t="s">
        <v>199</v>
      </c>
      <c r="G87" s="483">
        <f>COUNTIFS($B$14:$B$43,"ti",[0]!April,"Skema 4")</f>
        <v>0</v>
      </c>
      <c r="H87" s="483"/>
      <c r="I87" s="491"/>
      <c r="J87" s="496"/>
      <c r="K87" s="496"/>
      <c r="L87" s="496"/>
      <c r="M87" s="4"/>
      <c r="N87" s="4"/>
      <c r="O87" s="4"/>
      <c r="P87" s="4"/>
      <c r="R87" s="727">
        <f t="shared" si="44"/>
        <v>0</v>
      </c>
      <c r="T87" s="727">
        <f t="shared" si="45"/>
        <v>0</v>
      </c>
      <c r="V87">
        <f t="shared" si="46"/>
        <v>0</v>
      </c>
      <c r="Y87"/>
      <c r="Z87"/>
      <c r="AO87" s="1"/>
      <c r="BL87" s="1"/>
      <c r="BW87" s="242"/>
      <c r="BX87" s="242"/>
      <c r="CY87"/>
      <c r="CZ87"/>
    </row>
    <row r="88" spans="1:104" ht="19" hidden="1" customHeight="1">
      <c r="A88" s="483">
        <f>COUNTIF(C30:C31,"Skema 1")+COUNTIF(C30:C31,"Skema 2")+COUNTIF(C30:C31,"Skema 3")+COUNTIF(C30:C31,"Skema 4")+COUNTIF(C30:C31,"Fagdag")+COUNTIF(C30:C31,"Emnedag")+COUNTIF(C30:C31,"Lejrskole")+COUNTIF(C30:C31,"Ekskursion")+COUNTIF(C30:C31,"Pæd.dag")</f>
        <v>0</v>
      </c>
      <c r="B88" s="483"/>
      <c r="C88" s="483"/>
      <c r="D88" s="483"/>
      <c r="E88" s="483"/>
      <c r="F88" s="483" t="s">
        <v>200</v>
      </c>
      <c r="G88" s="483">
        <f>COUNTIFS($B$14:$B$43,"on",[0]!April,"Skema 4")</f>
        <v>0</v>
      </c>
      <c r="H88" s="483"/>
      <c r="I88" s="491"/>
      <c r="J88" s="496"/>
      <c r="K88" s="496"/>
      <c r="L88" s="496"/>
      <c r="M88" s="4"/>
      <c r="N88" s="4"/>
      <c r="O88" s="4"/>
      <c r="P88" s="4"/>
      <c r="R88" s="727">
        <f t="shared" si="44"/>
        <v>0</v>
      </c>
      <c r="T88" s="727">
        <f t="shared" si="45"/>
        <v>0</v>
      </c>
      <c r="V88">
        <f t="shared" si="46"/>
        <v>0</v>
      </c>
      <c r="Y88"/>
      <c r="Z88"/>
      <c r="AO88" s="1"/>
      <c r="BL88" s="1"/>
      <c r="BW88" s="242"/>
      <c r="BX88" s="242"/>
      <c r="CY88"/>
      <c r="CZ88"/>
    </row>
    <row r="89" spans="1:104" ht="19" hidden="1" customHeight="1">
      <c r="A89" s="483">
        <f>COUNTIF(C37:C38,"Skema 1")+COUNTIF(C37:C38,"Skema 2")+COUNTIF(C37:C38,"Skema 3")+COUNTIF(C37:C38,"Skema 4")+COUNTIF(C37:C38,"Fagdag")+COUNTIF(C37:C38,"Emnedag")+COUNTIF(C37:C38,"Lejrskole")+COUNTIF(C37:C38,"Ekskursion")+COUNTIF(C37:C38,"Pæd.dag")</f>
        <v>0</v>
      </c>
      <c r="B89" s="483"/>
      <c r="C89" s="483"/>
      <c r="D89" s="483"/>
      <c r="E89" s="483"/>
      <c r="F89" s="483" t="s">
        <v>201</v>
      </c>
      <c r="G89" s="483">
        <f>COUNTIFS($B$14:$B$43,"to",[0]!April,"Skema 4")</f>
        <v>0</v>
      </c>
      <c r="H89" s="483"/>
      <c r="I89" s="491"/>
      <c r="J89" s="496"/>
      <c r="K89" s="496"/>
      <c r="L89" s="496"/>
      <c r="M89" s="4"/>
      <c r="N89" s="4"/>
      <c r="O89" s="4"/>
      <c r="P89" s="4"/>
      <c r="R89" s="727">
        <f t="shared" si="44"/>
        <v>0</v>
      </c>
      <c r="T89" s="727">
        <f t="shared" si="45"/>
        <v>0</v>
      </c>
      <c r="V89">
        <f t="shared" si="46"/>
        <v>0</v>
      </c>
      <c r="Y89"/>
      <c r="Z89"/>
      <c r="AO89" s="1">
        <f>SUM(N89:AN89)</f>
        <v>0</v>
      </c>
      <c r="BL89" s="1">
        <f>SUM(AI89:BK89)</f>
        <v>0</v>
      </c>
      <c r="BW89" s="242"/>
      <c r="BX89" s="242"/>
      <c r="CY89"/>
      <c r="CZ89"/>
    </row>
    <row r="90" spans="1:104" ht="19" hidden="1" customHeight="1">
      <c r="A90" s="483"/>
      <c r="B90" s="483"/>
      <c r="C90" s="483"/>
      <c r="D90" s="483"/>
      <c r="E90" s="483"/>
      <c r="F90" s="483" t="s">
        <v>202</v>
      </c>
      <c r="G90" s="483">
        <f>COUNTIFS($B$14:$B$43,"fr",[0]!April,"Skema 4")</f>
        <v>0</v>
      </c>
      <c r="H90" s="483"/>
      <c r="I90" s="483"/>
      <c r="J90" s="486"/>
      <c r="K90" s="486"/>
      <c r="L90" s="38"/>
      <c r="R90" s="727">
        <f t="shared" si="44"/>
        <v>0</v>
      </c>
      <c r="T90" s="727">
        <f t="shared" si="45"/>
        <v>0</v>
      </c>
      <c r="V90">
        <f t="shared" si="46"/>
        <v>0</v>
      </c>
      <c r="Y90"/>
      <c r="Z90"/>
      <c r="AO90" s="1">
        <f>SUM(N90:AN90)</f>
        <v>0</v>
      </c>
      <c r="BL90" s="1">
        <f>SUM(AI90:BK90)</f>
        <v>0</v>
      </c>
      <c r="BW90" s="242"/>
      <c r="BX90" s="242"/>
      <c r="CY90"/>
      <c r="CZ90"/>
    </row>
    <row r="91" spans="1:104" ht="19" hidden="1" customHeight="1">
      <c r="A91" s="483">
        <f>SUM(A86:A90)</f>
        <v>0</v>
      </c>
      <c r="B91" s="483"/>
      <c r="C91" s="483"/>
      <c r="D91" s="483"/>
      <c r="E91" s="483"/>
      <c r="F91" s="483"/>
      <c r="G91" s="488">
        <f>SUM(G68:G90)</f>
        <v>17</v>
      </c>
      <c r="H91" s="486"/>
      <c r="I91" s="483"/>
      <c r="J91" s="486"/>
      <c r="K91" s="486"/>
      <c r="L91" s="38"/>
      <c r="R91" s="727">
        <f t="shared" si="44"/>
        <v>0</v>
      </c>
      <c r="T91" s="727">
        <f t="shared" si="45"/>
        <v>0</v>
      </c>
      <c r="V91">
        <f t="shared" si="46"/>
        <v>0</v>
      </c>
      <c r="Y91"/>
      <c r="Z91"/>
      <c r="AO91" s="1">
        <f>SUM(N91:AN91)</f>
        <v>0</v>
      </c>
      <c r="BL91" s="1">
        <f>SUM(AI91:BK91)</f>
        <v>0</v>
      </c>
      <c r="BW91" s="242"/>
      <c r="BX91" s="242"/>
      <c r="CY91"/>
      <c r="CZ91"/>
    </row>
    <row r="92" spans="1:104" ht="19" hidden="1" customHeight="1">
      <c r="A92" s="486"/>
      <c r="B92" s="486"/>
      <c r="C92" s="486"/>
      <c r="D92" s="486"/>
      <c r="E92" s="483"/>
      <c r="F92" s="483"/>
      <c r="G92" s="483"/>
      <c r="H92" s="38"/>
      <c r="I92" s="486"/>
      <c r="J92" s="486"/>
      <c r="K92" s="486"/>
      <c r="L92" s="38"/>
      <c r="R92" s="727">
        <f t="shared" si="44"/>
        <v>0</v>
      </c>
      <c r="T92" s="727">
        <f t="shared" si="45"/>
        <v>0</v>
      </c>
      <c r="V92">
        <f t="shared" si="46"/>
        <v>0</v>
      </c>
      <c r="Y92"/>
      <c r="Z92"/>
      <c r="AO92" s="1">
        <f>SUM(N92:AN92)</f>
        <v>0</v>
      </c>
      <c r="BL92" s="1">
        <f>SUM(AI92:BK92)</f>
        <v>0</v>
      </c>
      <c r="BW92" s="242"/>
      <c r="BX92" s="242"/>
      <c r="CY92"/>
      <c r="CZ92"/>
    </row>
    <row r="93" spans="1:104" hidden="1">
      <c r="A93" s="486"/>
      <c r="B93" s="486"/>
      <c r="C93" s="486"/>
      <c r="D93" s="486"/>
      <c r="E93" s="483"/>
      <c r="F93" s="483"/>
      <c r="G93" s="483"/>
      <c r="H93" s="38"/>
      <c r="I93" s="38"/>
      <c r="J93" s="486"/>
      <c r="K93" s="486"/>
      <c r="L93" s="38"/>
      <c r="R93" s="727">
        <f t="shared" si="44"/>
        <v>0</v>
      </c>
      <c r="T93" s="727">
        <f t="shared" si="45"/>
        <v>0</v>
      </c>
      <c r="V93">
        <f t="shared" si="46"/>
        <v>0</v>
      </c>
      <c r="Y93"/>
      <c r="Z93"/>
      <c r="BW93" s="242"/>
      <c r="BX93" s="242"/>
      <c r="CY93"/>
      <c r="CZ93"/>
    </row>
    <row r="94" spans="1:104" hidden="1">
      <c r="A94" s="486"/>
      <c r="B94" s="486"/>
      <c r="C94" s="486"/>
      <c r="D94" s="486"/>
      <c r="E94" s="483"/>
      <c r="F94" s="483"/>
      <c r="G94" s="483"/>
      <c r="H94" s="38"/>
      <c r="I94" s="38"/>
      <c r="J94" s="38"/>
      <c r="K94" s="38"/>
      <c r="L94" s="38"/>
      <c r="R94" s="727">
        <f t="shared" si="44"/>
        <v>0</v>
      </c>
      <c r="T94" s="727">
        <f t="shared" si="45"/>
        <v>0</v>
      </c>
      <c r="V94">
        <f t="shared" si="46"/>
        <v>0</v>
      </c>
      <c r="Y94"/>
      <c r="Z94"/>
      <c r="BW94" s="242"/>
      <c r="BX94" s="242"/>
      <c r="CY94"/>
      <c r="CZ94"/>
    </row>
    <row r="95" spans="1:104" hidden="1">
      <c r="A95" s="486"/>
      <c r="B95" s="486"/>
      <c r="C95" s="486"/>
      <c r="D95" s="486"/>
      <c r="E95" s="483"/>
      <c r="F95" s="483"/>
      <c r="G95" s="483"/>
      <c r="H95" s="38"/>
      <c r="I95" s="38"/>
      <c r="J95" s="38"/>
      <c r="K95" s="38"/>
      <c r="L95" s="38"/>
      <c r="R95" s="727">
        <f t="shared" si="44"/>
        <v>0</v>
      </c>
      <c r="T95" s="727">
        <f t="shared" si="45"/>
        <v>0</v>
      </c>
      <c r="V95">
        <f t="shared" si="46"/>
        <v>0</v>
      </c>
      <c r="Y95"/>
      <c r="Z95"/>
      <c r="BW95" s="242"/>
      <c r="BX95" s="242"/>
      <c r="CY95"/>
      <c r="CZ95"/>
    </row>
    <row r="96" spans="1:104" hidden="1">
      <c r="A96" s="486"/>
      <c r="B96" s="486"/>
      <c r="C96" s="486"/>
      <c r="D96" s="486"/>
      <c r="E96" s="483"/>
      <c r="F96" s="483"/>
      <c r="G96" s="483"/>
      <c r="I96" s="38"/>
      <c r="J96" s="38"/>
      <c r="K96" s="38"/>
      <c r="L96" s="38"/>
      <c r="R96" s="727">
        <f t="shared" si="44"/>
        <v>0</v>
      </c>
      <c r="T96" s="727">
        <f>IF(AND(C31="ikke relevant",U31="X"),X31*-1,0)</f>
        <v>0</v>
      </c>
      <c r="V96">
        <f>IF(AND(C31="ikke relevant",H31&gt;""),R31*-1,0)</f>
        <v>0</v>
      </c>
      <c r="Y96"/>
      <c r="Z96"/>
      <c r="BW96" s="242"/>
      <c r="BX96" s="242"/>
      <c r="CY96"/>
      <c r="CZ96"/>
    </row>
    <row r="97" spans="1:111" hidden="1">
      <c r="A97" s="432"/>
      <c r="B97" s="432"/>
      <c r="C97" s="432"/>
      <c r="D97" s="432"/>
      <c r="E97" s="115"/>
      <c r="F97" s="115"/>
      <c r="G97" s="115"/>
      <c r="I97" s="38"/>
      <c r="J97" s="38"/>
      <c r="K97" s="38"/>
      <c r="L97" s="38"/>
      <c r="R97" s="727">
        <f t="shared" si="44"/>
        <v>0</v>
      </c>
      <c r="T97" s="727">
        <f t="shared" si="45"/>
        <v>0</v>
      </c>
      <c r="V97">
        <f t="shared" si="46"/>
        <v>0</v>
      </c>
      <c r="Y97"/>
      <c r="Z97"/>
      <c r="BW97" s="242"/>
      <c r="BX97" s="242"/>
      <c r="CY97"/>
      <c r="CZ97"/>
    </row>
    <row r="98" spans="1:111" hidden="1">
      <c r="A98" s="432"/>
      <c r="B98" s="432"/>
      <c r="C98" s="432"/>
      <c r="D98" s="432"/>
      <c r="E98" s="115"/>
      <c r="F98" s="115"/>
      <c r="G98" s="115"/>
      <c r="I98" s="38"/>
      <c r="J98" s="38"/>
      <c r="K98" s="38"/>
      <c r="L98" s="38"/>
      <c r="R98" s="727">
        <f t="shared" si="44"/>
        <v>0</v>
      </c>
      <c r="T98" s="727">
        <f t="shared" si="45"/>
        <v>0</v>
      </c>
      <c r="V98">
        <f t="shared" si="46"/>
        <v>0</v>
      </c>
      <c r="Y98"/>
      <c r="Z98"/>
      <c r="AD98" s="4"/>
      <c r="AE98" s="226"/>
      <c r="AF98" s="226"/>
      <c r="AG98" s="226"/>
      <c r="AH98" s="226"/>
      <c r="CY98"/>
      <c r="CZ98"/>
      <c r="DF98" s="242"/>
      <c r="DG98" s="242"/>
    </row>
    <row r="99" spans="1:111" hidden="1">
      <c r="A99" s="432"/>
      <c r="B99" s="432"/>
      <c r="C99" s="432"/>
      <c r="D99" s="432"/>
      <c r="E99" s="115"/>
      <c r="F99" s="115"/>
      <c r="G99" s="115"/>
      <c r="I99" s="38"/>
      <c r="J99" s="38"/>
      <c r="K99" s="38"/>
      <c r="L99" s="38"/>
      <c r="R99" s="727">
        <f t="shared" si="44"/>
        <v>0</v>
      </c>
      <c r="T99" s="727">
        <f t="shared" si="45"/>
        <v>0</v>
      </c>
      <c r="V99">
        <f t="shared" si="46"/>
        <v>0</v>
      </c>
      <c r="Y99"/>
      <c r="Z99"/>
      <c r="AD99" s="4"/>
      <c r="AE99" s="226"/>
      <c r="AF99" s="226"/>
      <c r="AG99" s="226"/>
      <c r="AH99" s="226"/>
      <c r="CY99"/>
      <c r="CZ99"/>
      <c r="DF99" s="242"/>
      <c r="DG99" s="242"/>
    </row>
    <row r="100" spans="1:111" hidden="1">
      <c r="E100" s="87"/>
      <c r="F100" s="87"/>
      <c r="G100" s="87"/>
      <c r="I100" s="38"/>
      <c r="J100" s="38"/>
      <c r="K100" s="38"/>
      <c r="L100" s="38"/>
      <c r="R100" s="727">
        <f t="shared" si="44"/>
        <v>0</v>
      </c>
      <c r="T100" s="727">
        <f t="shared" si="45"/>
        <v>0</v>
      </c>
      <c r="V100">
        <f t="shared" si="46"/>
        <v>0</v>
      </c>
    </row>
    <row r="101" spans="1:111" hidden="1">
      <c r="E101" s="87"/>
      <c r="F101" s="87"/>
      <c r="G101" s="87"/>
      <c r="I101" s="38"/>
      <c r="J101" s="38"/>
      <c r="K101" s="38"/>
      <c r="L101" s="38"/>
      <c r="R101" s="727">
        <f t="shared" si="44"/>
        <v>0</v>
      </c>
      <c r="T101" s="727">
        <f t="shared" si="45"/>
        <v>0</v>
      </c>
      <c r="V101">
        <f t="shared" si="46"/>
        <v>0</v>
      </c>
    </row>
    <row r="102" spans="1:111" hidden="1">
      <c r="I102" s="38"/>
      <c r="J102" s="38"/>
      <c r="K102" s="38"/>
      <c r="L102" s="38"/>
      <c r="R102" s="727">
        <f t="shared" si="44"/>
        <v>0</v>
      </c>
      <c r="T102" s="727">
        <f t="shared" si="45"/>
        <v>0</v>
      </c>
      <c r="V102">
        <f t="shared" si="46"/>
        <v>0</v>
      </c>
    </row>
    <row r="103" spans="1:111" hidden="1">
      <c r="I103" s="38"/>
      <c r="J103" s="38"/>
      <c r="K103" s="38"/>
      <c r="L103" s="38"/>
      <c r="R103" s="727">
        <f t="shared" si="44"/>
        <v>0</v>
      </c>
      <c r="T103" s="727">
        <f t="shared" si="45"/>
        <v>0</v>
      </c>
      <c r="V103">
        <f t="shared" si="46"/>
        <v>0</v>
      </c>
    </row>
    <row r="104" spans="1:111" hidden="1">
      <c r="I104" s="38"/>
      <c r="J104" s="38"/>
      <c r="K104" s="38"/>
      <c r="L104" s="432"/>
      <c r="R104" s="727">
        <f t="shared" si="44"/>
        <v>0</v>
      </c>
      <c r="T104" s="727">
        <f t="shared" si="45"/>
        <v>0</v>
      </c>
      <c r="V104">
        <f t="shared" si="46"/>
        <v>0</v>
      </c>
    </row>
    <row r="105" spans="1:111" hidden="1">
      <c r="I105" s="38"/>
      <c r="J105" s="38"/>
      <c r="K105" s="38"/>
      <c r="L105" s="432"/>
      <c r="R105" s="727">
        <f t="shared" si="44"/>
        <v>0</v>
      </c>
      <c r="T105" s="727">
        <f t="shared" si="45"/>
        <v>0</v>
      </c>
      <c r="V105">
        <f t="shared" si="46"/>
        <v>0</v>
      </c>
    </row>
    <row r="106" spans="1:111" hidden="1">
      <c r="I106" s="38"/>
      <c r="J106" s="38"/>
      <c r="K106" s="38"/>
      <c r="L106" s="432"/>
      <c r="R106" s="727">
        <f t="shared" si="44"/>
        <v>0</v>
      </c>
      <c r="T106" s="727">
        <f t="shared" si="45"/>
        <v>0</v>
      </c>
      <c r="V106">
        <f t="shared" si="46"/>
        <v>0</v>
      </c>
    </row>
    <row r="107" spans="1:111" hidden="1">
      <c r="I107" s="432"/>
      <c r="J107" s="38"/>
      <c r="K107" s="38"/>
      <c r="L107" s="432"/>
      <c r="R107" s="727">
        <f t="shared" si="44"/>
        <v>0</v>
      </c>
      <c r="T107" s="727">
        <f t="shared" si="45"/>
        <v>0</v>
      </c>
      <c r="V107">
        <f t="shared" si="46"/>
        <v>0</v>
      </c>
    </row>
    <row r="108" spans="1:111" ht="17" hidden="1" thickBot="1">
      <c r="I108" s="432"/>
      <c r="J108" s="432"/>
      <c r="K108" s="432"/>
      <c r="L108" s="432"/>
      <c r="R108" s="727">
        <f t="shared" si="44"/>
        <v>0</v>
      </c>
      <c r="T108" s="727">
        <f>IF(AND(C43="ikke relevant",U43="X"),X43*-1,0)</f>
        <v>0</v>
      </c>
      <c r="V108">
        <f>IF(AND(C43="ikke relevant",H43&gt;""),R43*-1,0)</f>
        <v>0</v>
      </c>
    </row>
    <row r="109" spans="1:111" ht="17" hidden="1" thickBot="1">
      <c r="I109" s="432"/>
      <c r="J109" s="432"/>
      <c r="K109" s="432"/>
      <c r="L109" s="432"/>
      <c r="P109" t="s">
        <v>664</v>
      </c>
      <c r="R109" s="669">
        <f>SUM(R79:R108)</f>
        <v>0</v>
      </c>
      <c r="S109" s="669">
        <f>SUM(S79:S108)</f>
        <v>0</v>
      </c>
      <c r="T109" s="669">
        <f>SUM(T79:T108)</f>
        <v>0</v>
      </c>
      <c r="V109" s="669">
        <f>SUM(V79:V108)</f>
        <v>0</v>
      </c>
    </row>
    <row r="110" spans="1:111" hidden="1">
      <c r="I110" s="432"/>
      <c r="J110" s="432"/>
      <c r="K110" s="432"/>
      <c r="L110" s="432"/>
      <c r="R110" s="1030" t="s">
        <v>666</v>
      </c>
      <c r="T110" s="1030" t="s">
        <v>667</v>
      </c>
    </row>
    <row r="111" spans="1:111" hidden="1">
      <c r="I111" s="432"/>
      <c r="J111" s="432"/>
      <c r="K111" s="432"/>
      <c r="L111" s="432"/>
      <c r="R111" s="884"/>
      <c r="T111" s="884"/>
    </row>
    <row r="112" spans="1:111" hidden="1">
      <c r="R112" s="884"/>
      <c r="T112" s="884"/>
    </row>
    <row r="113" spans="18:20" hidden="1">
      <c r="R113" s="884"/>
      <c r="T113" s="884"/>
    </row>
    <row r="114" spans="18:20" hidden="1"/>
  </sheetData>
  <sheetProtection sheet="1" objects="1" scenarios="1"/>
  <mergeCells count="198">
    <mergeCell ref="FQ13:FR13"/>
    <mergeCell ref="DS13:DV13"/>
    <mergeCell ref="A3:H3"/>
    <mergeCell ref="A4:B4"/>
    <mergeCell ref="C4:D4"/>
    <mergeCell ref="E4:F4"/>
    <mergeCell ref="G4:H4"/>
    <mergeCell ref="I4:J4"/>
    <mergeCell ref="A5:B5"/>
    <mergeCell ref="C5:D5"/>
    <mergeCell ref="E5:F5"/>
    <mergeCell ref="G5:H5"/>
    <mergeCell ref="A6:B6"/>
    <mergeCell ref="C6:D6"/>
    <mergeCell ref="E6:F6"/>
    <mergeCell ref="G6:H6"/>
    <mergeCell ref="A7:B7"/>
    <mergeCell ref="C7:D7"/>
    <mergeCell ref="E7:F7"/>
    <mergeCell ref="G7:H7"/>
    <mergeCell ref="FI8:GC8"/>
    <mergeCell ref="FI9:FL9"/>
    <mergeCell ref="FO9:FR9"/>
    <mergeCell ref="DO11:DV11"/>
    <mergeCell ref="FO11:FR11"/>
    <mergeCell ref="FS11:FT11"/>
    <mergeCell ref="GB11:GC11"/>
    <mergeCell ref="FC10:FF10"/>
    <mergeCell ref="FG10:FJ10"/>
    <mergeCell ref="FK10:FX10"/>
    <mergeCell ref="A65:B65"/>
    <mergeCell ref="C65:D65"/>
    <mergeCell ref="E65:G65"/>
    <mergeCell ref="I65:K65"/>
    <mergeCell ref="A53:H53"/>
    <mergeCell ref="I53:K53"/>
    <mergeCell ref="A49:G49"/>
    <mergeCell ref="A52:H52"/>
    <mergeCell ref="I52:K52"/>
    <mergeCell ref="V49:X49"/>
    <mergeCell ref="M50:U50"/>
    <mergeCell ref="V50:X50"/>
    <mergeCell ref="M51:X51"/>
    <mergeCell ref="M52:U52"/>
    <mergeCell ref="V52:X52"/>
    <mergeCell ref="M53:U53"/>
    <mergeCell ref="V53:X53"/>
    <mergeCell ref="A47:G47"/>
    <mergeCell ref="A66:G66"/>
    <mergeCell ref="I66:K66"/>
    <mergeCell ref="I62:K62"/>
    <mergeCell ref="A63:B63"/>
    <mergeCell ref="C63:D63"/>
    <mergeCell ref="E63:G63"/>
    <mergeCell ref="I63:K63"/>
    <mergeCell ref="A64:B64"/>
    <mergeCell ref="C64:D64"/>
    <mergeCell ref="E64:G64"/>
    <mergeCell ref="I64:K64"/>
    <mergeCell ref="A71:C71"/>
    <mergeCell ref="A69:C69"/>
    <mergeCell ref="A54:H54"/>
    <mergeCell ref="I54:K54"/>
    <mergeCell ref="I55:K55"/>
    <mergeCell ref="M54:U54"/>
    <mergeCell ref="V54:X54"/>
    <mergeCell ref="M55:U55"/>
    <mergeCell ref="V55:X55"/>
    <mergeCell ref="A70:C70"/>
    <mergeCell ref="M56:U56"/>
    <mergeCell ref="V56:X56"/>
    <mergeCell ref="A57:G58"/>
    <mergeCell ref="I57:K57"/>
    <mergeCell ref="M57:U57"/>
    <mergeCell ref="V57:X57"/>
    <mergeCell ref="A60:K60"/>
    <mergeCell ref="A61:B61"/>
    <mergeCell ref="C61:D61"/>
    <mergeCell ref="E61:G61"/>
    <mergeCell ref="H61:K61"/>
    <mergeCell ref="A62:B62"/>
    <mergeCell ref="C62:D62"/>
    <mergeCell ref="E62:G62"/>
    <mergeCell ref="I47:K47"/>
    <mergeCell ref="A48:G48"/>
    <mergeCell ref="I48:K48"/>
    <mergeCell ref="M48:U48"/>
    <mergeCell ref="V48:X48"/>
    <mergeCell ref="A51:G51"/>
    <mergeCell ref="I51:K51"/>
    <mergeCell ref="E41:G41"/>
    <mergeCell ref="E42:G42"/>
    <mergeCell ref="E43:G43"/>
    <mergeCell ref="A44:I44"/>
    <mergeCell ref="A46:G46"/>
    <mergeCell ref="I46:K46"/>
    <mergeCell ref="M46:X46"/>
    <mergeCell ref="M47:U47"/>
    <mergeCell ref="V47:X47"/>
    <mergeCell ref="I49:K49"/>
    <mergeCell ref="A50:G50"/>
    <mergeCell ref="I50:K50"/>
    <mergeCell ref="M49:U49"/>
    <mergeCell ref="DA11:DE11"/>
    <mergeCell ref="A12:D13"/>
    <mergeCell ref="H12:H13"/>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P11:P12"/>
    <mergeCell ref="Q11:Q12"/>
    <mergeCell ref="R11:R12"/>
    <mergeCell ref="AA11:AE11"/>
    <mergeCell ref="AG11:AK11"/>
    <mergeCell ref="E11:G13"/>
    <mergeCell ref="K11:L11"/>
    <mergeCell ref="E35:G35"/>
    <mergeCell ref="E36:G36"/>
    <mergeCell ref="E40:G40"/>
    <mergeCell ref="E28:G28"/>
    <mergeCell ref="A8:X8"/>
    <mergeCell ref="N11:N12"/>
    <mergeCell ref="O11:O12"/>
    <mergeCell ref="B2:E2"/>
    <mergeCell ref="E9:G9"/>
    <mergeCell ref="K9:L9"/>
    <mergeCell ref="A10:R10"/>
    <mergeCell ref="A9:D9"/>
    <mergeCell ref="K13:R13"/>
    <mergeCell ref="I11:I13"/>
    <mergeCell ref="J11:J13"/>
    <mergeCell ref="E29:G29"/>
    <mergeCell ref="E30:G30"/>
    <mergeCell ref="E31:G31"/>
    <mergeCell ref="E32:G32"/>
    <mergeCell ref="E33:G33"/>
    <mergeCell ref="E37:G37"/>
    <mergeCell ref="E38:G38"/>
    <mergeCell ref="E39:G39"/>
    <mergeCell ref="EU11:EX11"/>
    <mergeCell ref="EY11:FB11"/>
    <mergeCell ref="FC11:FF11"/>
    <mergeCell ref="FG11:FJ11"/>
    <mergeCell ref="I58:K58"/>
    <mergeCell ref="A59:G59"/>
    <mergeCell ref="I59:K59"/>
    <mergeCell ref="S10:X10"/>
    <mergeCell ref="S11:X11"/>
    <mergeCell ref="S13:U13"/>
    <mergeCell ref="V13:X13"/>
    <mergeCell ref="E22:G22"/>
    <mergeCell ref="E23:G23"/>
    <mergeCell ref="E24:G24"/>
    <mergeCell ref="E25:G25"/>
    <mergeCell ref="E26:G26"/>
    <mergeCell ref="E27:G27"/>
    <mergeCell ref="E16:G16"/>
    <mergeCell ref="E17:G17"/>
    <mergeCell ref="E18:G18"/>
    <mergeCell ref="E19:G19"/>
    <mergeCell ref="E20:G20"/>
    <mergeCell ref="E21:G21"/>
    <mergeCell ref="E34:G34"/>
    <mergeCell ref="R110:R113"/>
    <mergeCell ref="T110:T113"/>
    <mergeCell ref="FK11:FN11"/>
    <mergeCell ref="FU11:FX11"/>
    <mergeCell ref="FY11:FZ11"/>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DW11:ED11"/>
    <mergeCell ref="EE11:EH11"/>
    <mergeCell ref="EI11:EL11"/>
    <mergeCell ref="EM11:EP11"/>
    <mergeCell ref="EQ11:ET11"/>
  </mergeCells>
  <phoneticPr fontId="5" type="noConversion"/>
  <conditionalFormatting sqref="A14:H14 D15:H36 A15:C43 D37:E37 H37 D38:H43">
    <cfRule type="expression" dxfId="555" priority="47" stopIfTrue="1">
      <formula>OR($C14="Orlov")</formula>
    </cfRule>
    <cfRule type="expression" dxfId="554" priority="41">
      <formula>OR($C14="ekskursion")</formula>
    </cfRule>
    <cfRule type="expression" dxfId="553" priority="34">
      <formula>OR($C14="skema 2")</formula>
    </cfRule>
    <cfRule type="expression" dxfId="552" priority="35">
      <formula>OR($C14="Skema 3")</formula>
    </cfRule>
    <cfRule type="expression" dxfId="551" priority="36">
      <formula>OR($C14="Skema 4")</formula>
    </cfRule>
    <cfRule type="expression" dxfId="550" priority="37">
      <formula>OR($C14="Ikke relevant")</formula>
    </cfRule>
    <cfRule type="expression" dxfId="549" priority="38">
      <formula>OR($C14="pæd.dag")</formula>
    </cfRule>
    <cfRule type="expression" dxfId="548" priority="39">
      <formula>OR($C14="nul-dag")</formula>
    </cfRule>
    <cfRule type="expression" dxfId="547" priority="40">
      <formula>OR($C14="SH-dag")</formula>
    </cfRule>
    <cfRule type="expression" dxfId="546" priority="46">
      <formula>OR($C14="weekend")</formula>
    </cfRule>
    <cfRule type="expression" dxfId="545" priority="45">
      <formula>OR($C14="feriedag")</formula>
    </cfRule>
    <cfRule type="expression" dxfId="544" priority="44">
      <formula>OR($C14="fagdag")</formula>
    </cfRule>
    <cfRule type="expression" dxfId="543" priority="43">
      <formula>OR($C14="emnedag")</formula>
    </cfRule>
    <cfRule type="expression" dxfId="542" priority="33">
      <formula>OR($C14="Skema 1")</formula>
    </cfRule>
    <cfRule type="expression" dxfId="541" priority="42">
      <formula>OR($C14="lejrskole")</formula>
    </cfRule>
  </conditionalFormatting>
  <conditionalFormatting sqref="E25">
    <cfRule type="expression" dxfId="540" priority="54">
      <formula>OR($D24="fagdag")</formula>
    </cfRule>
    <cfRule type="expression" dxfId="539" priority="51">
      <formula>OR($D24="ekskursion")</formula>
    </cfRule>
    <cfRule type="expression" dxfId="538" priority="50">
      <formula>OR($D24="SH-dag")</formula>
    </cfRule>
    <cfRule type="expression" dxfId="537" priority="49">
      <formula>OR($D24="nul-dag")</formula>
    </cfRule>
    <cfRule type="expression" dxfId="536" priority="52">
      <formula>OR($D24="lejrskole")</formula>
    </cfRule>
    <cfRule type="expression" dxfId="535" priority="53">
      <formula>OR($D24="emnedag")</formula>
    </cfRule>
    <cfRule type="expression" dxfId="534" priority="55">
      <formula>OR($D24="feriedag")</formula>
    </cfRule>
    <cfRule type="expression" dxfId="533" priority="56">
      <formula>OR($D24="weekend")</formula>
    </cfRule>
    <cfRule type="expression" dxfId="532" priority="57" stopIfTrue="1">
      <formula>OR($D24="skoledag")</formula>
    </cfRule>
    <cfRule type="expression" dxfId="531" priority="58">
      <formula>OR($D24="Ikke relevant")</formula>
    </cfRule>
    <cfRule type="expression" dxfId="530" priority="48">
      <formula>OR($D24="pæd.dag")</formula>
    </cfRule>
  </conditionalFormatting>
  <conditionalFormatting sqref="H62:H65">
    <cfRule type="expression" dxfId="529" priority="1">
      <formula>OR($A62&gt;0,)</formula>
    </cfRule>
  </conditionalFormatting>
  <conditionalFormatting sqref="I62:I65">
    <cfRule type="expression" dxfId="528" priority="2">
      <formula>OR($C62&gt;0,)</formula>
    </cfRule>
  </conditionalFormatting>
  <conditionalFormatting sqref="K14:K43">
    <cfRule type="expression" dxfId="527" priority="30">
      <formula>OR($C14="Pæd.dag",)</formula>
    </cfRule>
  </conditionalFormatting>
  <conditionalFormatting sqref="K14:L43">
    <cfRule type="expression" dxfId="526" priority="32">
      <formula>OR($C14="Ekskursion",)</formula>
    </cfRule>
    <cfRule type="expression" dxfId="525" priority="31">
      <formula>OR($C14="Lejrskole",)</formula>
    </cfRule>
  </conditionalFormatting>
  <conditionalFormatting sqref="K14:M43">
    <cfRule type="expression" dxfId="524" priority="29">
      <formula>OR($C14="emnedag",)</formula>
    </cfRule>
    <cfRule type="expression" dxfId="523" priority="28">
      <formula>OR($C14="fagdag",)</formula>
    </cfRule>
  </conditionalFormatting>
  <conditionalFormatting sqref="R14:R43">
    <cfRule type="expression" dxfId="522" priority="59">
      <formula>OR($H14&gt;"0",)</formula>
    </cfRule>
  </conditionalFormatting>
  <conditionalFormatting sqref="V14:V43">
    <cfRule type="expression" dxfId="521" priority="10">
      <formula>OR($S14="X",)</formula>
    </cfRule>
  </conditionalFormatting>
  <conditionalFormatting sqref="V53:X56">
    <cfRule type="expression" dxfId="520" priority="3">
      <formula>OR($M53&gt;0,)</formula>
    </cfRule>
  </conditionalFormatting>
  <conditionalFormatting sqref="W14:W43">
    <cfRule type="expression" dxfId="519" priority="8">
      <formula>OR($T14="X",)</formula>
    </cfRule>
  </conditionalFormatting>
  <conditionalFormatting sqref="X14:X43">
    <cfRule type="expression" dxfId="518" priority="9">
      <formula>OR($U14="X",)</formula>
    </cfRule>
  </conditionalFormatting>
  <dataValidations count="1">
    <dataValidation type="list" allowBlank="1" showInputMessage="1" showErrorMessage="1" sqref="S14:U43 A62:D65" xr:uid="{6C7E9F36-C5DB-A948-BC25-9131908838E7}">
      <formula1>$W$1:$W$2</formula1>
    </dataValidation>
  </dataValidations>
  <hyperlinks>
    <hyperlink ref="E4:F4" location="Arbejdstidsoversigt!A19" display="Arbejdstids-oversigt" xr:uid="{1D70B7C6-8FC4-2B40-B65A-64E35A9B2C67}"/>
    <hyperlink ref="G4:H4" location="Opgørelse!B12" display="Opgørelse" xr:uid="{8870064F-6052-3A47-9BCF-B43275DE7339}"/>
    <hyperlink ref="A5:B5" location="August!A12" display="August" xr:uid="{04E31B77-CD54-0046-9F53-F7B99778629D}"/>
    <hyperlink ref="C5:D5" location="September!A8" display="September" xr:uid="{F82B3B49-C895-F14E-B4D9-76DD349A75F9}"/>
    <hyperlink ref="E5:F5" location="Oktober!A8" display="Oktober" xr:uid="{A5E20728-813E-1445-BE7D-A2C9256CB254}"/>
    <hyperlink ref="G5:H5" location="November!A8" display="November" xr:uid="{FC786965-7FF8-0E4B-867F-571E9E3FF7E7}"/>
    <hyperlink ref="A6:B6" location="December!A8" display="December" xr:uid="{64F77BDE-CFF0-FD40-B183-1E9B3DC35633}"/>
    <hyperlink ref="C6:D6" location="Januar!A8" display="Januar" xr:uid="{02CAD5FB-93CF-8745-88E6-B40C257DF3BA}"/>
    <hyperlink ref="E6:F6" location="Februar!A8" display="Februar" xr:uid="{B89184C6-BDCB-B34D-B68E-991105B2F5BC}"/>
    <hyperlink ref="A7:B7" location="April!A8" display="April" xr:uid="{6B8723D7-312E-6D44-8AFE-3E19B62F62A2}"/>
    <hyperlink ref="C7:D7" location="Maj!A8" display="Maj" xr:uid="{99042C69-BF72-5649-927F-D62D194C97A9}"/>
    <hyperlink ref="E7:F7" location="Juni!A8" display="Juni" xr:uid="{5A27CACD-7B3C-6C40-A400-89D372F4E590}"/>
    <hyperlink ref="G7:H7" location="Juli!A8" display="Juli" xr:uid="{2C140F38-FE05-EC44-84C6-1124E659FA6C}"/>
    <hyperlink ref="G6:H6" location="Marts!A8" display="Marts" xr:uid="{22A627B7-73EF-4B4C-88B7-6C41D3842D01}"/>
    <hyperlink ref="I4:J4" location="Stamoplysninger!E18" display="Stamoplysninger" xr:uid="{C323F45D-25DF-274B-9599-A0F151FDAD00}"/>
    <hyperlink ref="C4:D4" location="Opgaver!A8" display="Opgaver" xr:uid="{F361BD63-85B4-F148-8ACC-F42C2BA43259}"/>
    <hyperlink ref="A4:B4" location="Skemaoplysninger!A20" display="Skemaoplysninger" xr:uid="{E3D1F9EA-2E82-974E-A753-8B6ABEF76937}"/>
  </hyperlinks>
  <pageMargins left="0.7" right="0.7" top="0.75" bottom="0.75" header="0.3" footer="0.3"/>
  <pageSetup paperSize="9" scale="59" orientation="landscape" horizontalDpi="0" verticalDpi="0"/>
  <drawing r:id="rId1"/>
  <legacyDrawing r:id="rId2"/>
  <extLst>
    <ext xmlns:x14="http://schemas.microsoft.com/office/spreadsheetml/2009/9/main" uri="{CCE6A557-97BC-4b89-ADB6-D9C93CAAB3DF}">
      <x14:dataValidations xmlns:xm="http://schemas.microsoft.com/office/excel/2006/main" count="1">
        <x14:dataValidation type="list" allowBlank="1" showInputMessage="1" xr:uid="{4CF7B6A6-F178-4542-A347-7572CD7C83B4}">
          <x14:formula1>
            <xm:f>August!$A$94:$A$108</xm:f>
          </x14:formula1>
          <xm:sqref>C14:C43</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C6B31-457F-CD4A-9C4B-CED4E72CB9C5}">
  <sheetPr>
    <tabColor theme="4" tint="-0.249977111117893"/>
    <pageSetUpPr fitToPage="1"/>
  </sheetPr>
  <dimension ref="A1:GP116"/>
  <sheetViews>
    <sheetView topLeftCell="A12" zoomScale="90" workbookViewId="0">
      <selection activeCell="E32" sqref="E32:G32"/>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5" width="10.83203125" hidden="1" customWidth="1"/>
    <col min="186" max="221"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38"/>
      <c r="Y1" s="240"/>
      <c r="Z1" s="87"/>
      <c r="AB1" s="87"/>
      <c r="AC1" s="87"/>
      <c r="AH1" s="87"/>
      <c r="AI1" s="87"/>
      <c r="CX1" s="242"/>
      <c r="CZ1"/>
    </row>
    <row r="2" spans="1:198" ht="20">
      <c r="A2" s="89">
        <v>5</v>
      </c>
      <c r="B2" s="1252"/>
      <c r="C2" s="1252"/>
      <c r="D2" s="1252"/>
      <c r="E2" s="1252"/>
      <c r="F2" s="87"/>
      <c r="G2" s="87"/>
      <c r="H2" s="273"/>
      <c r="I2" s="272"/>
      <c r="J2" s="225"/>
      <c r="K2" s="225"/>
      <c r="L2" s="225"/>
      <c r="M2" s="225"/>
      <c r="N2" s="225"/>
      <c r="O2" s="225"/>
      <c r="P2" s="87"/>
      <c r="Q2" s="87"/>
      <c r="R2" s="87"/>
      <c r="S2" s="87"/>
      <c r="T2" s="87"/>
      <c r="U2" s="87"/>
      <c r="V2" s="87"/>
      <c r="W2" s="120" t="s">
        <v>31</v>
      </c>
      <c r="X2" s="120" t="s">
        <v>31</v>
      </c>
      <c r="Y2"/>
      <c r="Z2" s="87"/>
      <c r="AA2" s="87"/>
      <c r="AE2" s="87"/>
      <c r="AG2" s="87"/>
      <c r="CV2" s="242"/>
      <c r="CW2" s="242"/>
      <c r="CY2"/>
      <c r="CZ2"/>
    </row>
    <row r="3" spans="1:198" ht="24" customHeight="1" thickBot="1">
      <c r="A3" s="864" t="s">
        <v>689</v>
      </c>
      <c r="B3" s="864"/>
      <c r="C3" s="864"/>
      <c r="D3" s="864"/>
      <c r="E3" s="864"/>
      <c r="F3" s="864"/>
      <c r="G3" s="864"/>
      <c r="H3" s="864"/>
      <c r="I3" s="723"/>
      <c r="J3" s="723"/>
      <c r="K3" s="723"/>
      <c r="L3" s="723"/>
      <c r="M3" s="723"/>
      <c r="N3" s="723"/>
      <c r="O3" s="723"/>
      <c r="P3" s="723"/>
      <c r="Q3" s="723"/>
      <c r="R3" s="723"/>
      <c r="S3" s="723"/>
      <c r="T3" s="723"/>
      <c r="Y3"/>
      <c r="Z3"/>
      <c r="AP3" s="38"/>
      <c r="CY3"/>
      <c r="CZ3"/>
    </row>
    <row r="4" spans="1:198" ht="50" customHeight="1" thickBot="1">
      <c r="A4" s="1226" t="s">
        <v>691</v>
      </c>
      <c r="B4" s="1227"/>
      <c r="C4" s="867" t="s">
        <v>495</v>
      </c>
      <c r="D4" s="868"/>
      <c r="E4" s="869" t="s">
        <v>688</v>
      </c>
      <c r="F4" s="870"/>
      <c r="G4" s="965" t="s">
        <v>367</v>
      </c>
      <c r="H4" s="966"/>
      <c r="I4" s="871" t="s">
        <v>687</v>
      </c>
      <c r="J4" s="1018"/>
      <c r="K4" s="628"/>
      <c r="Y4"/>
      <c r="Z4"/>
      <c r="CY4"/>
      <c r="CZ4"/>
    </row>
    <row r="5" spans="1:198" ht="50" customHeight="1" thickBot="1">
      <c r="A5" s="873" t="s">
        <v>231</v>
      </c>
      <c r="B5" s="873"/>
      <c r="C5" s="1228" t="s">
        <v>233</v>
      </c>
      <c r="D5" s="1228"/>
      <c r="E5" s="873" t="s">
        <v>234</v>
      </c>
      <c r="F5" s="873"/>
      <c r="G5" s="873" t="s">
        <v>235</v>
      </c>
      <c r="H5" s="873"/>
      <c r="Y5"/>
      <c r="Z5"/>
      <c r="CY5"/>
      <c r="CZ5"/>
    </row>
    <row r="6" spans="1:198" ht="50" customHeight="1" thickBot="1">
      <c r="A6" s="873" t="s">
        <v>279</v>
      </c>
      <c r="B6" s="873"/>
      <c r="C6" s="873" t="s">
        <v>280</v>
      </c>
      <c r="D6" s="873"/>
      <c r="E6" s="873" t="s">
        <v>281</v>
      </c>
      <c r="F6" s="873"/>
      <c r="G6" s="873" t="s">
        <v>282</v>
      </c>
      <c r="H6" s="873"/>
      <c r="Y6"/>
      <c r="Z6"/>
      <c r="CY6"/>
      <c r="CZ6"/>
    </row>
    <row r="7" spans="1:198" ht="50" customHeight="1" thickBot="1">
      <c r="A7" s="873" t="s">
        <v>283</v>
      </c>
      <c r="B7" s="873"/>
      <c r="C7" s="873" t="s">
        <v>284</v>
      </c>
      <c r="D7" s="873"/>
      <c r="E7" s="873" t="s">
        <v>285</v>
      </c>
      <c r="F7" s="873"/>
      <c r="G7" s="873" t="s">
        <v>286</v>
      </c>
      <c r="H7" s="873"/>
      <c r="Y7"/>
      <c r="Z7"/>
      <c r="CY7"/>
      <c r="CZ7"/>
    </row>
    <row r="8" spans="1:198" ht="17" thickBot="1">
      <c r="A8" s="1273" t="s">
        <v>306</v>
      </c>
      <c r="B8" s="1274"/>
      <c r="C8" s="1274"/>
      <c r="D8" s="1274"/>
      <c r="E8" s="1274"/>
      <c r="F8" s="1274"/>
      <c r="G8" s="1274"/>
      <c r="H8" s="1274"/>
      <c r="I8" s="1274"/>
      <c r="J8" s="1274"/>
      <c r="K8" s="1274"/>
      <c r="L8" s="1274"/>
      <c r="M8" s="1274"/>
      <c r="N8" s="1274"/>
      <c r="O8" s="1274"/>
      <c r="P8" s="1274"/>
      <c r="Q8" s="1274"/>
      <c r="R8" s="1274"/>
      <c r="S8" s="1274"/>
      <c r="T8" s="1274"/>
      <c r="U8" s="1274"/>
      <c r="V8" s="1274"/>
      <c r="W8" s="1274"/>
      <c r="X8" s="1275"/>
      <c r="Y8" s="87"/>
      <c r="Z8"/>
      <c r="AC8" s="87"/>
      <c r="AD8" s="87"/>
      <c r="AF8" s="87"/>
      <c r="CT8" s="242"/>
      <c r="CU8" s="242"/>
      <c r="CY8"/>
      <c r="CZ8"/>
      <c r="FI8" s="1179" t="s">
        <v>584</v>
      </c>
      <c r="FJ8" s="1180"/>
      <c r="FK8" s="1180"/>
      <c r="FL8" s="1180"/>
      <c r="FM8" s="1180"/>
      <c r="FN8" s="1180"/>
      <c r="FO8" s="1180"/>
      <c r="FP8" s="1180"/>
      <c r="FQ8" s="1180"/>
      <c r="FR8" s="1180"/>
      <c r="FS8" s="1180"/>
      <c r="FT8" s="1180"/>
      <c r="FU8" s="1180"/>
      <c r="FV8" s="1180"/>
      <c r="FW8" s="1180"/>
      <c r="FX8" s="1180"/>
      <c r="FY8" s="1180"/>
      <c r="FZ8" s="1180"/>
      <c r="GA8" s="1180"/>
      <c r="GB8" s="1180"/>
      <c r="GC8" s="1181"/>
    </row>
    <row r="9" spans="1:198" ht="254" customHeight="1" thickBot="1">
      <c r="A9" s="1066" t="s">
        <v>421</v>
      </c>
      <c r="B9" s="1067"/>
      <c r="C9" s="1067"/>
      <c r="D9" s="1067"/>
      <c r="E9" s="1068" t="s">
        <v>307</v>
      </c>
      <c r="F9" s="1068"/>
      <c r="G9" s="1068"/>
      <c r="H9" s="274" t="s">
        <v>404</v>
      </c>
      <c r="I9" s="425"/>
      <c r="J9" s="425"/>
      <c r="K9" s="1078" t="s">
        <v>496</v>
      </c>
      <c r="L9" s="1078"/>
      <c r="M9" s="471" t="s">
        <v>444</v>
      </c>
      <c r="N9" s="471" t="s">
        <v>422</v>
      </c>
      <c r="O9" s="471" t="s">
        <v>423</v>
      </c>
      <c r="P9" s="472" t="s">
        <v>445</v>
      </c>
      <c r="Q9" s="472" t="s">
        <v>305</v>
      </c>
      <c r="R9" s="472" t="s">
        <v>424</v>
      </c>
      <c r="S9" s="473" t="s">
        <v>451</v>
      </c>
      <c r="T9" s="473" t="s">
        <v>425</v>
      </c>
      <c r="U9" s="473" t="s">
        <v>426</v>
      </c>
      <c r="V9" s="474" t="s">
        <v>446</v>
      </c>
      <c r="W9" s="474" t="s">
        <v>393</v>
      </c>
      <c r="X9" s="475" t="s">
        <v>392</v>
      </c>
      <c r="Y9" s="240"/>
      <c r="Z9" s="87"/>
      <c r="AB9" s="87"/>
      <c r="AC9" s="87"/>
      <c r="AH9" s="87"/>
      <c r="AI9" s="87"/>
      <c r="CX9" s="242"/>
      <c r="CZ9"/>
      <c r="FI9" s="837" t="s">
        <v>582</v>
      </c>
      <c r="FJ9" s="837"/>
      <c r="FK9" s="837"/>
      <c r="FL9" s="837"/>
      <c r="FM9" t="s">
        <v>575</v>
      </c>
      <c r="FO9" s="837" t="s">
        <v>581</v>
      </c>
      <c r="FP9" s="837"/>
      <c r="FQ9" s="837"/>
      <c r="FR9" s="837"/>
    </row>
    <row r="10" spans="1:198" ht="26" customHeight="1" thickBot="1">
      <c r="A10" s="1194" t="str">
        <f>""&amp;A12&amp;" måneds kalender for: "&amp;Stamoplysninger!E13&amp;". Måneden vedr. normperioden: "&amp;Stamoplysninger!E16&amp;" - "&amp;Stamoplysninger!G16&amp;"."</f>
        <v>Maj måneds kalender for: Beate Simonsen. Måneden vedr. normperioden:  - .</v>
      </c>
      <c r="B10" s="1195"/>
      <c r="C10" s="1195"/>
      <c r="D10" s="1195"/>
      <c r="E10" s="1195"/>
      <c r="F10" s="1195"/>
      <c r="G10" s="1195"/>
      <c r="H10" s="1195"/>
      <c r="I10" s="1195"/>
      <c r="J10" s="1195"/>
      <c r="K10" s="1195"/>
      <c r="L10" s="1195"/>
      <c r="M10" s="1195"/>
      <c r="N10" s="1195"/>
      <c r="O10" s="1195"/>
      <c r="P10" s="1195"/>
      <c r="Q10" s="1195"/>
      <c r="R10" s="1196"/>
      <c r="S10" s="1073" t="s">
        <v>302</v>
      </c>
      <c r="T10" s="1074"/>
      <c r="U10" s="1074"/>
      <c r="V10" s="1074"/>
      <c r="W10" s="1074"/>
      <c r="X10" s="1075"/>
      <c r="Y10" s="240"/>
      <c r="Z10" s="87"/>
      <c r="AB10" s="87"/>
      <c r="AC10" s="87"/>
      <c r="AH10" s="87"/>
      <c r="AI10" s="87"/>
      <c r="CX10" s="242"/>
      <c r="CZ10"/>
      <c r="DV10" t="s">
        <v>665</v>
      </c>
      <c r="ED10" t="s">
        <v>665</v>
      </c>
      <c r="FC10" s="1208" t="s">
        <v>654</v>
      </c>
      <c r="FD10" s="1208"/>
      <c r="FE10" s="1208"/>
      <c r="FF10" s="1208"/>
      <c r="FG10" s="1208" t="s">
        <v>654</v>
      </c>
      <c r="FH10" s="1208"/>
      <c r="FI10" s="1208"/>
      <c r="FJ10" s="1208"/>
      <c r="FK10" s="1182" t="s">
        <v>569</v>
      </c>
      <c r="FL10" s="1182"/>
      <c r="FM10" s="1182"/>
      <c r="FN10" s="1182"/>
      <c r="FO10" s="1182"/>
      <c r="FP10" s="1182"/>
      <c r="FQ10" s="1182"/>
      <c r="FR10" s="1182"/>
      <c r="FS10" s="1182"/>
      <c r="FT10" s="1182"/>
      <c r="FU10" s="1182"/>
      <c r="FV10" s="1182"/>
      <c r="FW10" s="1182"/>
      <c r="FX10" s="1182"/>
      <c r="GA10" t="s">
        <v>583</v>
      </c>
      <c r="GB10" t="s">
        <v>576</v>
      </c>
      <c r="GD10" t="s">
        <v>577</v>
      </c>
      <c r="GF10" t="s">
        <v>578</v>
      </c>
      <c r="GH10" s="511" t="s">
        <v>579</v>
      </c>
    </row>
    <row r="11" spans="1:198" ht="47" customHeight="1">
      <c r="A11" s="320">
        <f>Januar!A11</f>
        <v>2027</v>
      </c>
      <c r="B11" s="236"/>
      <c r="C11" s="237"/>
      <c r="D11" s="238"/>
      <c r="E11" s="1199" t="s">
        <v>455</v>
      </c>
      <c r="F11" s="1200"/>
      <c r="G11" s="1201"/>
      <c r="H11" s="317" t="s">
        <v>674</v>
      </c>
      <c r="I11" s="1031" t="s">
        <v>452</v>
      </c>
      <c r="J11" s="1032" t="s">
        <v>470</v>
      </c>
      <c r="K11" s="1197" t="s">
        <v>299</v>
      </c>
      <c r="L11" s="1198"/>
      <c r="M11" s="318" t="s">
        <v>300</v>
      </c>
      <c r="N11" s="1047" t="s">
        <v>435</v>
      </c>
      <c r="O11" s="1047" t="s">
        <v>304</v>
      </c>
      <c r="P11" s="1047" t="s">
        <v>443</v>
      </c>
      <c r="Q11" s="1047" t="s">
        <v>381</v>
      </c>
      <c r="R11" s="1215" t="s">
        <v>497</v>
      </c>
      <c r="S11" s="1223" t="s">
        <v>301</v>
      </c>
      <c r="T11" s="1224"/>
      <c r="U11" s="1224"/>
      <c r="V11" s="1224"/>
      <c r="W11" s="1224"/>
      <c r="X11" s="1225"/>
      <c r="Y11" s="209"/>
      <c r="Z11" s="209"/>
      <c r="AA11" s="1049" t="s">
        <v>258</v>
      </c>
      <c r="AB11" s="1049"/>
      <c r="AC11" s="1049"/>
      <c r="AD11" s="1049"/>
      <c r="AE11" s="1049"/>
      <c r="AF11" s="206"/>
      <c r="AG11" s="1049" t="s">
        <v>219</v>
      </c>
      <c r="AH11" s="1049"/>
      <c r="AI11" s="1049"/>
      <c r="AJ11" s="1049"/>
      <c r="AK11" s="1049"/>
      <c r="AL11" s="1049" t="s">
        <v>220</v>
      </c>
      <c r="AM11" s="1049"/>
      <c r="AN11" s="1049"/>
      <c r="AO11" s="1049"/>
      <c r="AP11" s="1049"/>
      <c r="AQ11" s="1049" t="s">
        <v>221</v>
      </c>
      <c r="AR11" s="1049"/>
      <c r="AS11" s="1049"/>
      <c r="AT11" s="1049"/>
      <c r="AU11" s="1049"/>
      <c r="AV11" s="1049" t="s">
        <v>222</v>
      </c>
      <c r="AW11" s="1049"/>
      <c r="AX11" s="1049"/>
      <c r="AY11" s="1049"/>
      <c r="AZ11" s="1049"/>
      <c r="BA11" s="293"/>
      <c r="BB11" s="206"/>
      <c r="BC11" s="1049" t="s">
        <v>261</v>
      </c>
      <c r="BD11" s="1049"/>
      <c r="BE11" s="1049"/>
      <c r="BF11" s="1049"/>
      <c r="BG11" s="1049" t="s">
        <v>224</v>
      </c>
      <c r="BH11" s="1049"/>
      <c r="BI11" s="1049"/>
      <c r="BJ11" s="1049"/>
      <c r="BK11" s="1049"/>
      <c r="BL11" s="1049" t="s">
        <v>225</v>
      </c>
      <c r="BM11" s="1049"/>
      <c r="BN11" s="1049"/>
      <c r="BO11" s="1049"/>
      <c r="BP11" s="1049"/>
      <c r="BQ11" s="1049" t="s">
        <v>226</v>
      </c>
      <c r="BR11" s="1049"/>
      <c r="BS11" s="1049"/>
      <c r="BT11" s="1049"/>
      <c r="BU11" s="1049"/>
      <c r="BV11" s="1049" t="s">
        <v>227</v>
      </c>
      <c r="BW11" s="1049"/>
      <c r="BX11" s="1049"/>
      <c r="BY11" s="1049"/>
      <c r="BZ11" s="1049"/>
      <c r="CD11" s="1049" t="s">
        <v>262</v>
      </c>
      <c r="CE11" s="1049"/>
      <c r="CF11" s="1049"/>
      <c r="CG11" s="1049"/>
      <c r="CH11" s="1049"/>
      <c r="CI11" s="1049" t="s">
        <v>264</v>
      </c>
      <c r="CJ11" s="1049"/>
      <c r="CK11" s="1049"/>
      <c r="CL11" s="1049"/>
      <c r="CM11" s="1049"/>
      <c r="CN11" s="1049" t="s">
        <v>263</v>
      </c>
      <c r="CO11" s="1049"/>
      <c r="CP11" s="1049"/>
      <c r="CQ11" s="1049"/>
      <c r="CR11" s="1049"/>
      <c r="CS11" s="1049" t="s">
        <v>265</v>
      </c>
      <c r="CT11" s="1049"/>
      <c r="CU11" s="1049"/>
      <c r="CV11" s="1049"/>
      <c r="CW11" s="1049"/>
      <c r="CX11" s="242"/>
      <c r="CZ11"/>
      <c r="DA11" s="837" t="s">
        <v>209</v>
      </c>
      <c r="DB11" s="837"/>
      <c r="DC11" s="837"/>
      <c r="DD11" s="837"/>
      <c r="DE11" s="837"/>
      <c r="DO11" s="1217" t="s">
        <v>315</v>
      </c>
      <c r="DP11" s="1218"/>
      <c r="DQ11" s="1218"/>
      <c r="DR11" s="1218"/>
      <c r="DS11" s="1218"/>
      <c r="DT11" s="1218"/>
      <c r="DU11" s="1218"/>
      <c r="DV11" s="1219"/>
      <c r="DW11" s="1220" t="s">
        <v>370</v>
      </c>
      <c r="DX11" s="1221"/>
      <c r="DY11" s="1221"/>
      <c r="DZ11" s="1221"/>
      <c r="EA11" s="1221"/>
      <c r="EB11" s="1221"/>
      <c r="EC11" s="1221"/>
      <c r="ED11" s="1222"/>
      <c r="EE11" s="1212" t="s">
        <v>316</v>
      </c>
      <c r="EF11" s="1213"/>
      <c r="EG11" s="1213"/>
      <c r="EH11" s="1214"/>
      <c r="EI11" s="1209" t="s">
        <v>655</v>
      </c>
      <c r="EJ11" s="1210"/>
      <c r="EK11" s="1210"/>
      <c r="EL11" s="1211"/>
      <c r="EM11" s="1212" t="s">
        <v>319</v>
      </c>
      <c r="EN11" s="1213"/>
      <c r="EO11" s="1213"/>
      <c r="EP11" s="1214"/>
      <c r="EQ11" s="1212" t="s">
        <v>319</v>
      </c>
      <c r="ER11" s="1213"/>
      <c r="ES11" s="1213"/>
      <c r="ET11" s="1214"/>
      <c r="EU11" s="1042" t="s">
        <v>373</v>
      </c>
      <c r="EV11" s="1043"/>
      <c r="EW11" s="1043"/>
      <c r="EX11" s="1044"/>
      <c r="EY11" s="1042" t="s">
        <v>374</v>
      </c>
      <c r="EZ11" s="1043"/>
      <c r="FA11" s="1043"/>
      <c r="FB11" s="1044"/>
      <c r="FC11" s="1042" t="s">
        <v>375</v>
      </c>
      <c r="FD11" s="1043"/>
      <c r="FE11" s="1043"/>
      <c r="FF11" s="1044"/>
      <c r="FG11" s="1042" t="s">
        <v>376</v>
      </c>
      <c r="FH11" s="1043"/>
      <c r="FI11" s="1043"/>
      <c r="FJ11" s="1044"/>
      <c r="FK11" s="1172" t="s">
        <v>658</v>
      </c>
      <c r="FL11" s="1173"/>
      <c r="FM11" s="1173"/>
      <c r="FN11" s="1174"/>
      <c r="FO11" s="1027" t="s">
        <v>659</v>
      </c>
      <c r="FP11" s="1028"/>
      <c r="FQ11" s="1028"/>
      <c r="FR11" s="1029"/>
      <c r="FS11" s="1183" t="s">
        <v>375</v>
      </c>
      <c r="FT11" s="1183"/>
      <c r="FU11" s="1172" t="s">
        <v>580</v>
      </c>
      <c r="FV11" s="1173"/>
      <c r="FW11" s="1173"/>
      <c r="FX11" s="1184"/>
      <c r="FY11" s="1185" t="s">
        <v>571</v>
      </c>
      <c r="FZ11" s="1186"/>
      <c r="GA11" t="s">
        <v>573</v>
      </c>
      <c r="GB11" s="1183" t="s">
        <v>373</v>
      </c>
      <c r="GC11" s="1183"/>
      <c r="GD11" s="1183" t="s">
        <v>374</v>
      </c>
      <c r="GE11" s="1183"/>
      <c r="GF11" s="1183" t="s">
        <v>376</v>
      </c>
      <c r="GG11" s="1183"/>
      <c r="GH11" s="1183" t="s">
        <v>372</v>
      </c>
      <c r="GI11" s="1183"/>
      <c r="GP11" s="109" t="s">
        <v>663</v>
      </c>
    </row>
    <row r="12" spans="1:198" ht="193" customHeight="1">
      <c r="A12" s="1187" t="s">
        <v>284</v>
      </c>
      <c r="B12" s="1188"/>
      <c r="C12" s="1188"/>
      <c r="D12" s="1189"/>
      <c r="E12" s="1202"/>
      <c r="F12" s="1203"/>
      <c r="G12" s="1204"/>
      <c r="H12" s="1193" t="s">
        <v>668</v>
      </c>
      <c r="I12" s="1031"/>
      <c r="J12" s="1032"/>
      <c r="K12" s="319" t="s">
        <v>498</v>
      </c>
      <c r="L12" s="319" t="s">
        <v>499</v>
      </c>
      <c r="M12" s="319" t="s">
        <v>500</v>
      </c>
      <c r="N12" s="1048"/>
      <c r="O12" s="1048"/>
      <c r="P12" s="1048"/>
      <c r="Q12" s="1048"/>
      <c r="R12" s="1216"/>
      <c r="S12" s="477" t="s">
        <v>669</v>
      </c>
      <c r="T12" s="318" t="s">
        <v>303</v>
      </c>
      <c r="U12" s="318" t="s">
        <v>672</v>
      </c>
      <c r="V12" s="430" t="s">
        <v>428</v>
      </c>
      <c r="W12" s="430" t="s">
        <v>427</v>
      </c>
      <c r="X12" s="431" t="s">
        <v>673</v>
      </c>
      <c r="Y12" s="209" t="s">
        <v>276</v>
      </c>
      <c r="Z12" s="209" t="s">
        <v>277</v>
      </c>
      <c r="AA12" s="294" t="s">
        <v>208</v>
      </c>
      <c r="AB12" t="s">
        <v>134</v>
      </c>
      <c r="AC12" t="s">
        <v>137</v>
      </c>
      <c r="AD12" t="s">
        <v>136</v>
      </c>
      <c r="AE12" t="s">
        <v>135</v>
      </c>
      <c r="AF12" t="s">
        <v>406</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223</v>
      </c>
      <c r="BB12" s="223" t="s">
        <v>210</v>
      </c>
      <c r="BC12" t="s">
        <v>260</v>
      </c>
      <c r="BD12" t="s">
        <v>259</v>
      </c>
      <c r="BE12" t="s">
        <v>245</v>
      </c>
      <c r="BF12" t="s">
        <v>246</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228</v>
      </c>
      <c r="CB12" s="228" t="s">
        <v>248</v>
      </c>
      <c r="CC12" s="294" t="s">
        <v>249</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274</v>
      </c>
      <c r="CY12" s="242" t="s">
        <v>266</v>
      </c>
      <c r="CZ12" s="242" t="s">
        <v>267</v>
      </c>
      <c r="DA12" s="242" t="s">
        <v>268</v>
      </c>
      <c r="DB12" s="242" t="s">
        <v>269</v>
      </c>
      <c r="DC12" s="242" t="s">
        <v>270</v>
      </c>
      <c r="DD12" s="242" t="s">
        <v>271</v>
      </c>
      <c r="DE12" s="242" t="s">
        <v>272</v>
      </c>
      <c r="DF12" s="242" t="s">
        <v>273</v>
      </c>
      <c r="DG12" s="242"/>
      <c r="DO12" s="626" t="s">
        <v>642</v>
      </c>
      <c r="DP12" s="294" t="s">
        <v>643</v>
      </c>
      <c r="DQ12" s="677" t="s">
        <v>644</v>
      </c>
      <c r="DR12" s="677" t="s">
        <v>645</v>
      </c>
      <c r="DS12" s="627" t="s">
        <v>670</v>
      </c>
      <c r="DT12" s="627" t="str">
        <f>DP12</f>
        <v>Ulempetillæg på weekenddage - kræver der er sat kryds i weekendarbejde. KOLONNE I. Minus ved lejrskole.</v>
      </c>
      <c r="DU12" s="679" t="s">
        <v>600</v>
      </c>
      <c r="DV12" s="678" t="str">
        <f>DR12</f>
        <v>Ulempetillæg ændringer på weekenddage. Kræver der er sat kryds i ændring i timetal og at det er en weekeend. KOLONNE I OG S. Minus lejrskole</v>
      </c>
      <c r="DW12" s="680" t="s">
        <v>646</v>
      </c>
      <c r="DX12" s="677" t="s">
        <v>647</v>
      </c>
      <c r="DY12" s="677" t="s">
        <v>648</v>
      </c>
      <c r="DZ12" s="677" t="s">
        <v>649</v>
      </c>
      <c r="EA12" s="627" t="s">
        <v>599</v>
      </c>
      <c r="EB12" s="679" t="str">
        <f>DX12</f>
        <v>Ulempetillæg på weekenddage til afspadsering. Kræver der er sat kryds i weekendarb. KOLONNE I. Minus ved lejrskole.</v>
      </c>
      <c r="EC12" s="679" t="s">
        <v>600</v>
      </c>
      <c r="ED12" s="678" t="str">
        <f>DZ12</f>
        <v>Ulempetillæg ændringer på weekenddage. Kræver der er sat kryds i ændring i timetal og at det er en weekeend. KOLONNE I OG S. Minus lejrskole</v>
      </c>
      <c r="EE12" s="632" t="s">
        <v>650</v>
      </c>
      <c r="EF12" s="630" t="s">
        <v>601</v>
      </c>
      <c r="EG12" s="631" t="s">
        <v>604</v>
      </c>
      <c r="EH12" s="633" t="s">
        <v>603</v>
      </c>
      <c r="EI12" s="715" t="s">
        <v>656</v>
      </c>
      <c r="EJ12" s="719" t="s">
        <v>660</v>
      </c>
      <c r="EK12" s="631" t="s">
        <v>604</v>
      </c>
      <c r="EL12" s="633" t="s">
        <v>603</v>
      </c>
      <c r="EM12" s="632" t="s">
        <v>650</v>
      </c>
      <c r="EN12" s="630" t="s">
        <v>653</v>
      </c>
      <c r="EO12" s="631" t="s">
        <v>604</v>
      </c>
      <c r="EP12" s="633" t="s">
        <v>603</v>
      </c>
      <c r="EQ12" s="715" t="s">
        <v>657</v>
      </c>
      <c r="ER12" s="719" t="s">
        <v>661</v>
      </c>
      <c r="ES12" s="631" t="s">
        <v>604</v>
      </c>
      <c r="ET12" s="633" t="s">
        <v>603</v>
      </c>
      <c r="EU12" s="632" t="s">
        <v>651</v>
      </c>
      <c r="EV12" s="630" t="s">
        <v>652</v>
      </c>
      <c r="EW12" s="631" t="s">
        <v>602</v>
      </c>
      <c r="EX12" s="633" t="s">
        <v>606</v>
      </c>
      <c r="EY12" s="632" t="s">
        <v>651</v>
      </c>
      <c r="EZ12" s="630" t="s">
        <v>652</v>
      </c>
      <c r="FA12" s="631" t="s">
        <v>602</v>
      </c>
      <c r="FB12" s="633" t="s">
        <v>606</v>
      </c>
      <c r="FC12" s="632" t="s">
        <v>607</v>
      </c>
      <c r="FD12" s="630" t="s">
        <v>605</v>
      </c>
      <c r="FE12" s="631" t="s">
        <v>602</v>
      </c>
      <c r="FF12" s="633" t="s">
        <v>606</v>
      </c>
      <c r="FG12" s="632" t="str">
        <f>FC12</f>
        <v>Weekendtimer på weekenddage</v>
      </c>
      <c r="FH12" s="630" t="s">
        <v>605</v>
      </c>
      <c r="FI12" s="631" t="s">
        <v>602</v>
      </c>
      <c r="FJ12" s="633" t="s">
        <v>606</v>
      </c>
      <c r="FK12" s="658" t="s">
        <v>568</v>
      </c>
      <c r="FL12" s="630" t="s">
        <v>550</v>
      </c>
      <c r="FM12" s="658" t="s">
        <v>568</v>
      </c>
      <c r="FN12" s="633" t="s">
        <v>550</v>
      </c>
      <c r="FO12" s="715" t="s">
        <v>568</v>
      </c>
      <c r="FP12" s="630" t="s">
        <v>550</v>
      </c>
      <c r="FQ12" s="658" t="s">
        <v>568</v>
      </c>
      <c r="FR12" s="633" t="s">
        <v>550</v>
      </c>
      <c r="FS12" s="659" t="s">
        <v>563</v>
      </c>
      <c r="FT12" s="660" t="s">
        <v>564</v>
      </c>
      <c r="FU12" s="658" t="s">
        <v>549</v>
      </c>
      <c r="FV12" s="630" t="s">
        <v>550</v>
      </c>
      <c r="FW12" s="662" t="s">
        <v>549</v>
      </c>
      <c r="FX12" s="663" t="s">
        <v>550</v>
      </c>
      <c r="FY12" s="667" t="s">
        <v>570</v>
      </c>
      <c r="FZ12" s="660" t="s">
        <v>570</v>
      </c>
      <c r="GA12" s="294" t="s">
        <v>572</v>
      </c>
      <c r="GB12" s="659" t="s">
        <v>574</v>
      </c>
      <c r="GC12" s="659" t="s">
        <v>574</v>
      </c>
      <c r="GD12" s="659" t="s">
        <v>574</v>
      </c>
      <c r="GE12" s="659" t="s">
        <v>574</v>
      </c>
      <c r="GF12" s="659" t="s">
        <v>565</v>
      </c>
      <c r="GG12" s="660" t="s">
        <v>566</v>
      </c>
      <c r="GH12" s="659" t="s">
        <v>565</v>
      </c>
      <c r="GI12" s="660" t="s">
        <v>566</v>
      </c>
      <c r="GJ12" s="712" t="s">
        <v>635</v>
      </c>
      <c r="GK12" s="712" t="s">
        <v>636</v>
      </c>
      <c r="GL12" s="712" t="s">
        <v>637</v>
      </c>
      <c r="GM12" s="712" t="s">
        <v>638</v>
      </c>
      <c r="GN12" s="712" t="s">
        <v>640</v>
      </c>
      <c r="GO12" s="712" t="s">
        <v>639</v>
      </c>
      <c r="GP12" s="722" t="s">
        <v>662</v>
      </c>
    </row>
    <row r="13" spans="1:198" ht="20" customHeight="1">
      <c r="A13" s="1190"/>
      <c r="B13" s="1191"/>
      <c r="C13" s="1191"/>
      <c r="D13" s="1192"/>
      <c r="E13" s="1205"/>
      <c r="F13" s="1206"/>
      <c r="G13" s="1207"/>
      <c r="H13" s="1048"/>
      <c r="I13" s="1031"/>
      <c r="J13" s="1032"/>
      <c r="K13" s="1076" t="s">
        <v>320</v>
      </c>
      <c r="L13" s="1058"/>
      <c r="M13" s="1058"/>
      <c r="N13" s="1058"/>
      <c r="O13" s="1058"/>
      <c r="P13" s="1058"/>
      <c r="Q13" s="1058"/>
      <c r="R13" s="1077"/>
      <c r="S13" s="1057" t="s">
        <v>377</v>
      </c>
      <c r="T13" s="1058"/>
      <c r="U13" s="1059"/>
      <c r="V13" s="1076" t="s">
        <v>378</v>
      </c>
      <c r="W13" s="1058"/>
      <c r="X13" s="1077"/>
      <c r="Y13" s="209"/>
      <c r="Z13" s="209"/>
      <c r="AA13" s="294"/>
      <c r="BB13" s="223"/>
      <c r="CA13" s="109"/>
      <c r="CB13" s="228"/>
      <c r="CC13" s="294"/>
      <c r="CX13" s="242"/>
      <c r="DA13" s="242"/>
      <c r="DB13" s="242"/>
      <c r="DC13" s="242"/>
      <c r="DD13" s="242"/>
      <c r="DE13" s="242"/>
      <c r="DF13" s="242"/>
      <c r="DG13" s="242"/>
      <c r="DH13" t="s">
        <v>476</v>
      </c>
      <c r="DI13" t="s">
        <v>477</v>
      </c>
      <c r="DJ13" t="s">
        <v>478</v>
      </c>
      <c r="DO13" s="628"/>
      <c r="DP13" s="714" t="s">
        <v>641</v>
      </c>
      <c r="DS13" s="1176" t="s">
        <v>160</v>
      </c>
      <c r="DT13" s="1176"/>
      <c r="DU13" s="1176"/>
      <c r="DV13" s="1177"/>
      <c r="EA13" s="1178" t="s">
        <v>160</v>
      </c>
      <c r="EB13" s="1178"/>
      <c r="EC13" s="1178"/>
      <c r="ED13" s="629"/>
      <c r="EE13" s="277"/>
      <c r="EF13" s="245"/>
      <c r="EG13" s="1045" t="s">
        <v>160</v>
      </c>
      <c r="EH13" s="1046"/>
      <c r="EI13" s="277"/>
      <c r="EJ13" s="245"/>
      <c r="EK13" s="1045" t="s">
        <v>160</v>
      </c>
      <c r="EL13" s="1046"/>
      <c r="EM13" s="277"/>
      <c r="EN13" s="245"/>
      <c r="EO13" s="1045" t="s">
        <v>160</v>
      </c>
      <c r="EP13" s="1046"/>
      <c r="EQ13" s="277"/>
      <c r="ER13" s="245"/>
      <c r="ES13" s="1045" t="s">
        <v>160</v>
      </c>
      <c r="ET13" s="1046"/>
      <c r="EU13" s="277"/>
      <c r="EV13" s="245"/>
      <c r="EW13" s="1045" t="s">
        <v>160</v>
      </c>
      <c r="EX13" s="1046"/>
      <c r="EY13" s="277"/>
      <c r="EZ13" s="245"/>
      <c r="FA13" s="1045" t="s">
        <v>160</v>
      </c>
      <c r="FB13" s="1046"/>
      <c r="FC13" s="277"/>
      <c r="FD13" s="245"/>
      <c r="FE13" s="1045" t="s">
        <v>160</v>
      </c>
      <c r="FF13" s="1046"/>
      <c r="FG13" s="277"/>
      <c r="FH13" s="245"/>
      <c r="FI13" s="1045" t="s">
        <v>160</v>
      </c>
      <c r="FJ13" s="1046"/>
      <c r="FK13" s="277"/>
      <c r="FL13" s="245"/>
      <c r="FM13" s="1045" t="s">
        <v>160</v>
      </c>
      <c r="FN13" s="1046"/>
      <c r="FO13" s="277"/>
      <c r="FP13" s="245"/>
      <c r="FQ13" s="1045" t="s">
        <v>160</v>
      </c>
      <c r="FR13" s="1046"/>
      <c r="FT13" s="622" t="s">
        <v>158</v>
      </c>
      <c r="FU13" s="277"/>
      <c r="FV13" s="245"/>
      <c r="FW13" s="1045" t="s">
        <v>160</v>
      </c>
      <c r="FX13" s="1175"/>
      <c r="FY13" s="277"/>
      <c r="FZ13" s="668" t="s">
        <v>158</v>
      </c>
      <c r="GC13" s="622" t="s">
        <v>158</v>
      </c>
      <c r="GE13" s="622" t="s">
        <v>158</v>
      </c>
      <c r="GG13" s="622" t="s">
        <v>158</v>
      </c>
      <c r="GI13" s="622" t="s">
        <v>158</v>
      </c>
    </row>
    <row r="14" spans="1:198">
      <c r="A14" s="239">
        <f>IF(ISNUMBER(A12),A12+1,1)</f>
        <v>1</v>
      </c>
      <c r="B14" s="125" t="str">
        <f t="shared" ref="B14:B44" si="0">CHOOSE(MOD(WEEKDAY(DATE(A$11,A$2,A14)),7)+1,"lø","sø","ma","ti","on","to","fr",)</f>
        <v>lø</v>
      </c>
      <c r="C14" s="126" t="s">
        <v>118</v>
      </c>
      <c r="D14" s="127" t="str">
        <f t="shared" ref="D14:D44" si="1">IF(B14="ma",(DATE(A$11,A$2,A14)-DATE(A$11,1,1)+7)/7,"")</f>
        <v/>
      </c>
      <c r="E14" s="1060"/>
      <c r="F14" s="1061"/>
      <c r="G14" s="1062"/>
      <c r="H14" s="292"/>
      <c r="I14" s="746" t="str">
        <f>IF(GO14=1,"X","")</f>
        <v/>
      </c>
      <c r="J14" s="746" t="str">
        <f t="shared" ref="J14:J44" si="2">IF(C14="Lejrskole","X","")</f>
        <v/>
      </c>
      <c r="K14" s="368"/>
      <c r="L14" s="368"/>
      <c r="M14" s="368"/>
      <c r="N14" s="311">
        <f>BA14</f>
        <v>0</v>
      </c>
      <c r="O14" s="311">
        <f>CA14</f>
        <v>0</v>
      </c>
      <c r="P14" s="311">
        <f>IF(Stamoplysninger!$H$34="JA",Maj!DG14,CX14)</f>
        <v>0</v>
      </c>
      <c r="Q14" s="311">
        <f>IF(OR(OR(C14="Lejrskole",C14="Ekskursion",C14="pæd.dag")),0,N14-O14-P14)</f>
        <v>0</v>
      </c>
      <c r="R14" s="751"/>
      <c r="S14" s="315"/>
      <c r="T14" s="316"/>
      <c r="U14" s="316"/>
      <c r="V14" s="422"/>
      <c r="W14" s="400"/>
      <c r="X14" s="619"/>
      <c r="Y14">
        <f>IF($S$14="x",V14-N15,0)</f>
        <v>0</v>
      </c>
      <c r="Z14">
        <f t="shared" ref="Z14:Z44" si="3">IF(T14="x",W14-O15,0)</f>
        <v>0</v>
      </c>
      <c r="AA14" s="1">
        <f t="shared" ref="AA14:AA44" si="4">IF(C14="emnedag",K14,0)</f>
        <v>0</v>
      </c>
      <c r="AB14" s="1">
        <f t="shared" ref="AB14:AB44" si="5">IF(C14="fagdag",K14,0)</f>
        <v>0</v>
      </c>
      <c r="AC14" s="1">
        <f t="shared" ref="AC14:AC44" si="6">IF(C14="Pæd.dag",K14,0)</f>
        <v>0</v>
      </c>
      <c r="AD14" s="1">
        <f t="shared" ref="AD14:AD44" si="7">IF(C14="Ekskursion",K14,0)</f>
        <v>0</v>
      </c>
      <c r="AE14" s="1">
        <f t="shared" ref="AE14:AE44" si="8">IF(C14="Lejrskole",K14,0)</f>
        <v>0</v>
      </c>
      <c r="AF14" s="1">
        <f>IF(C14="Orlov",7.4*Stamoplysninger!$E$20,0)</f>
        <v>0</v>
      </c>
      <c r="AG14" t="str">
        <f>IF(AND(C14="Skema 1",B14="ma"),Arbejdstidsoversigt!$E$77,"")</f>
        <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4" si="9">SUM(AG14:AK14)*24</f>
        <v>0</v>
      </c>
      <c r="BC14" s="1">
        <f>IF($C$14="Lejrskole",$L$14,0)</f>
        <v>0</v>
      </c>
      <c r="BD14" s="1">
        <f t="shared" ref="BD14:BD44" si="10">IF(C14="Ekskursion",L14,0)</f>
        <v>0</v>
      </c>
      <c r="BE14" s="1">
        <f t="shared" ref="BE14:BE44" si="11">IF(C14="fagdag",L14,0)</f>
        <v>0</v>
      </c>
      <c r="BF14" s="1">
        <f t="shared" ref="BF14:BF44" si="12">IF(C14="emnedag",L14,0)</f>
        <v>0</v>
      </c>
      <c r="BG14" s="207" t="str">
        <f>IF(AND(C14="Skema 1",B14="ma"),Skemaoplysninger!$E$46,"")</f>
        <v/>
      </c>
      <c r="BH14" s="207" t="str">
        <f>IF(AND(C14="Skema 1",B14="ti"),Skemaoplysninger!$G$46,"")</f>
        <v/>
      </c>
      <c r="BI14" s="207" t="str">
        <f>IF(AND(C14="Skema 1",B14="on"),Skemaoplysninger!$I$46,"")</f>
        <v/>
      </c>
      <c r="BJ14" s="207" t="str">
        <f>IF(AND(C14="Skema 1",B14="to"),Skemaoplysninger!$K$46,"")</f>
        <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0</v>
      </c>
      <c r="CB14" s="1">
        <f t="shared" ref="CB14:CB44" si="13">IF(C14="fagdag",M14,0)</f>
        <v>0</v>
      </c>
      <c r="CC14" s="1">
        <f t="shared" ref="CC14:CC44" si="14">IF(C14="emnedag",M14,0)</f>
        <v>0</v>
      </c>
      <c r="CD14" s="207" t="str">
        <f>IF(AND(C14="Skema 1",B14="ma"),Skemaoplysninger!$E$47,"")</f>
        <v/>
      </c>
      <c r="CE14" s="207" t="str">
        <f>IF(AND(C14="Skema 1",B14="ti"),Skemaoplysninger!$G$47,"")</f>
        <v/>
      </c>
      <c r="CF14" s="207" t="str">
        <f>IF(AND(C14="Skema 1",B14="on"),Skemaoplysninger!$I$47,"")</f>
        <v/>
      </c>
      <c r="CG14" s="207" t="str">
        <f>IF(AND(C14="Skema 1",B14="to"),Skemaoplysninger!$K$47,"")</f>
        <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3" si="15">IF(DH14=0,"",DH14)</f>
        <v/>
      </c>
      <c r="DL14" t="str">
        <f>IF(DI14=0,"",DI14)</f>
        <v/>
      </c>
      <c r="DM14" t="str">
        <f>IF(DJ14=0,"",DJ14)</f>
        <v/>
      </c>
      <c r="DN14" t="str">
        <f>DK14&amp;""&amp;DL14&amp;""&amp;DM14</f>
        <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4" si="16">IF(AND(I14="X",S14="X"),V14,0)</f>
        <v>0</v>
      </c>
      <c r="FZ14" s="634">
        <f t="shared" ref="FZ14:FZ44" si="17">IF(AND(AND(C14="ikke relevant",I14="X",S14="X")),V14,0)</f>
        <v>0</v>
      </c>
      <c r="GA14">
        <f t="shared" ref="GA14:GA44" si="18">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4" si="19">IF(C14="emnedag","X",0)</f>
        <v>0</v>
      </c>
      <c r="GL14">
        <f t="shared" ref="GL14:GL44" si="20">IF(C14="ekskursion","X",0)</f>
        <v>0</v>
      </c>
      <c r="GM14">
        <f t="shared" ref="GM14:GM44" si="21">IF(C14="pæd.dag","X",0)</f>
        <v>0</v>
      </c>
      <c r="GN14" s="713">
        <f t="shared" ref="GN14:GN44" si="22">IF(C14="lejrskole","X",0)</f>
        <v>0</v>
      </c>
      <c r="GO14">
        <f>COUNTIF(GJ14:GN14,"X")</f>
        <v>0</v>
      </c>
      <c r="GP14" s="647">
        <f>IF(AND(I14="X",S14="X"),V14,0)</f>
        <v>0</v>
      </c>
    </row>
    <row r="15" spans="1:198">
      <c r="A15" s="239">
        <f t="shared" ref="A15:A43" si="23">IF(ISNUMBER(A14),A14+1,1)</f>
        <v>2</v>
      </c>
      <c r="B15" s="125" t="str">
        <f t="shared" si="0"/>
        <v>sø</v>
      </c>
      <c r="C15" s="126" t="s">
        <v>118</v>
      </c>
      <c r="D15" s="127" t="str">
        <f t="shared" si="1"/>
        <v/>
      </c>
      <c r="E15" s="1060"/>
      <c r="F15" s="1061"/>
      <c r="G15" s="1062"/>
      <c r="H15" s="292"/>
      <c r="I15" s="746" t="str">
        <f>IF(GO15=1,"X","")</f>
        <v/>
      </c>
      <c r="J15" s="746" t="str">
        <f t="shared" si="2"/>
        <v/>
      </c>
      <c r="K15" s="368"/>
      <c r="L15" s="368"/>
      <c r="M15" s="368"/>
      <c r="N15" s="311">
        <f t="shared" ref="N15:N44" si="24">BA15</f>
        <v>0</v>
      </c>
      <c r="O15" s="311">
        <f t="shared" ref="O15:O44" si="25">CA15</f>
        <v>0</v>
      </c>
      <c r="P15" s="311">
        <f>IF(Stamoplysninger!$H$34="JA",Maj!DG15,CX15)</f>
        <v>0</v>
      </c>
      <c r="Q15" s="311">
        <f t="shared" ref="Q15:Q44" si="26">IF(OR(OR(C15="Lejrskole",C15="Ekskursion",C15="pæd.dag")),0,N15-O15-P15)</f>
        <v>0</v>
      </c>
      <c r="R15" s="751"/>
      <c r="S15" s="315"/>
      <c r="T15" s="316"/>
      <c r="U15" s="316"/>
      <c r="V15" s="422"/>
      <c r="W15" s="400"/>
      <c r="X15" s="619"/>
      <c r="Y15">
        <f t="shared" ref="Y15:Y44" si="27">IF(S15="x",V15-N16,0)</f>
        <v>0</v>
      </c>
      <c r="Z15">
        <f t="shared" si="3"/>
        <v>0</v>
      </c>
      <c r="AA15" s="1">
        <f t="shared" si="4"/>
        <v>0</v>
      </c>
      <c r="AB15" s="1">
        <f t="shared" si="5"/>
        <v>0</v>
      </c>
      <c r="AC15" s="1">
        <f t="shared" si="6"/>
        <v>0</v>
      </c>
      <c r="AD15" s="1">
        <f t="shared" si="7"/>
        <v>0</v>
      </c>
      <c r="AE15" s="1">
        <f t="shared" si="8"/>
        <v>0</v>
      </c>
      <c r="AF15" s="1">
        <f>IF(C15="Orlov",7.4*Stamoplysninger!$E$20,0)</f>
        <v>0</v>
      </c>
      <c r="AG15" t="str">
        <f>IF(AND(C15="Skema 1",B15="ma"),Arbejdstidsoversigt!$E$77,"")</f>
        <v/>
      </c>
      <c r="AH15" t="str">
        <f>IF(AND(C15="Skema 1",B15="ti"),Arbejdstidsoversigt!$E$78,"")</f>
        <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4" si="28">SUM(AA15:AZ15)</f>
        <v>0</v>
      </c>
      <c r="BB15" s="224">
        <f t="shared" si="9"/>
        <v>0</v>
      </c>
      <c r="BC15" s="1">
        <f t="shared" ref="BC15:BC44" si="29">IF(C15="Lejrskole",L15,0)</f>
        <v>0</v>
      </c>
      <c r="BD15" s="1">
        <f t="shared" si="10"/>
        <v>0</v>
      </c>
      <c r="BE15" s="1">
        <f t="shared" si="11"/>
        <v>0</v>
      </c>
      <c r="BF15" s="1">
        <f t="shared" si="12"/>
        <v>0</v>
      </c>
      <c r="BG15" s="207" t="str">
        <f>IF(AND(C15="Skema 1",B15="ma"),Skemaoplysninger!$E$46,"")</f>
        <v/>
      </c>
      <c r="BH15" s="207" t="str">
        <f>IF(AND(C15="Skema 1",B15="ti"),Skemaoplysninger!$G$46,"")</f>
        <v/>
      </c>
      <c r="BI15" s="207" t="str">
        <f>IF(AND(C15="Skema 1",B15="on"),Skemaoplysninger!$I$46,"")</f>
        <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44" si="30">SUM(BG15:BZ15)*24+SUM(BC15:BF15)</f>
        <v>0</v>
      </c>
      <c r="CB15" s="1">
        <f t="shared" si="13"/>
        <v>0</v>
      </c>
      <c r="CC15" s="1">
        <f t="shared" si="14"/>
        <v>0</v>
      </c>
      <c r="CD15" s="207" t="str">
        <f>IF(AND(C15="Skema 1",B15="ma"),Skemaoplysninger!$E$47,"")</f>
        <v/>
      </c>
      <c r="CE15" s="207" t="str">
        <f>IF(AND(C15="Skema 1",B15="ti"),Skemaoplysninger!$G$47,"")</f>
        <v/>
      </c>
      <c r="CF15" s="207" t="str">
        <f>IF(AND(C15="Skema 1",B15="on"),Skemaoplysninger!$I$47,"")</f>
        <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4" si="31">SUM(CY15:DF15)</f>
        <v>0</v>
      </c>
      <c r="DH15" t="str">
        <f t="shared" ref="DH15:DH44" si="32">IF(AND(E15&gt;0,H15&gt;0),""&amp;E15&amp;" og "&amp;H15&amp;"","")</f>
        <v/>
      </c>
      <c r="DI15">
        <f t="shared" ref="DI15:DI44" si="33">IF(H15="",E15,"")</f>
        <v>0</v>
      </c>
      <c r="DJ15">
        <f t="shared" ref="DJ15:DJ44" si="34">IF(E15="",H15,"")</f>
        <v>0</v>
      </c>
      <c r="DK15" t="str">
        <f t="shared" si="15"/>
        <v/>
      </c>
      <c r="DL15" t="str">
        <f t="shared" si="15"/>
        <v/>
      </c>
      <c r="DM15" t="str">
        <f t="shared" si="15"/>
        <v/>
      </c>
      <c r="DN15" t="str">
        <f t="shared" ref="DN15:DN44" si="35">DK15&amp;""&amp;DL15&amp;""&amp;DM15</f>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6"/>
        <v>0</v>
      </c>
      <c r="FZ15" s="634">
        <f t="shared" si="17"/>
        <v>0</v>
      </c>
      <c r="GA15">
        <f t="shared" si="18"/>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4" si="36">IF(C15="fagdag","X",0)</f>
        <v>0</v>
      </c>
      <c r="GK15">
        <f t="shared" si="19"/>
        <v>0</v>
      </c>
      <c r="GL15">
        <f t="shared" si="20"/>
        <v>0</v>
      </c>
      <c r="GM15">
        <f t="shared" si="21"/>
        <v>0</v>
      </c>
      <c r="GN15" s="713">
        <f t="shared" si="22"/>
        <v>0</v>
      </c>
      <c r="GO15">
        <f t="shared" ref="GO15:GO44" si="37">COUNTIF(GJ15:GN15,"X")</f>
        <v>0</v>
      </c>
      <c r="GP15" s="647">
        <f t="shared" ref="GP15:GP44" si="38">IF(AND(I15="X",S15="X"),V15,0)</f>
        <v>0</v>
      </c>
    </row>
    <row r="16" spans="1:198">
      <c r="A16" s="239">
        <f t="shared" si="23"/>
        <v>3</v>
      </c>
      <c r="B16" s="125" t="str">
        <f t="shared" si="0"/>
        <v>ma</v>
      </c>
      <c r="C16" s="126" t="s">
        <v>203</v>
      </c>
      <c r="D16" s="127">
        <f t="shared" si="1"/>
        <v>18.428571428571427</v>
      </c>
      <c r="E16" s="1060"/>
      <c r="F16" s="1061"/>
      <c r="G16" s="1062"/>
      <c r="H16" s="292"/>
      <c r="I16" s="745"/>
      <c r="J16" s="746" t="str">
        <f t="shared" si="2"/>
        <v/>
      </c>
      <c r="K16" s="368"/>
      <c r="L16" s="368"/>
      <c r="M16" s="368"/>
      <c r="N16" s="311">
        <f t="shared" si="24"/>
        <v>8.11</v>
      </c>
      <c r="O16" s="311">
        <f t="shared" si="25"/>
        <v>4.5</v>
      </c>
      <c r="P16" s="311">
        <f>IF(Stamoplysninger!$H$34="JA",Maj!DG16,CX16)</f>
        <v>1.9166666666666665</v>
      </c>
      <c r="Q16" s="311">
        <f t="shared" si="26"/>
        <v>1.6933333333333329</v>
      </c>
      <c r="R16" s="751"/>
      <c r="S16" s="315"/>
      <c r="T16" s="316"/>
      <c r="U16" s="316"/>
      <c r="V16" s="422"/>
      <c r="W16" s="400"/>
      <c r="X16" s="619"/>
      <c r="Y16">
        <f t="shared" si="27"/>
        <v>0</v>
      </c>
      <c r="Z16">
        <f t="shared" si="3"/>
        <v>0</v>
      </c>
      <c r="AA16" s="1">
        <f t="shared" si="4"/>
        <v>0</v>
      </c>
      <c r="AB16" s="1">
        <f t="shared" si="5"/>
        <v>0</v>
      </c>
      <c r="AC16" s="1">
        <f t="shared" si="6"/>
        <v>0</v>
      </c>
      <c r="AD16" s="1">
        <f t="shared" si="7"/>
        <v>0</v>
      </c>
      <c r="AE16" s="1">
        <f t="shared" si="8"/>
        <v>0</v>
      </c>
      <c r="AF16" s="1">
        <f>IF(C16="Orlov",7.4*Stamoplysninger!$E$20,0)</f>
        <v>0</v>
      </c>
      <c r="AG16">
        <f>IF(AND(C16="Skema 1",B16="ma"),Arbejdstidsoversigt!$E$77,"")</f>
        <v>8.11</v>
      </c>
      <c r="AH16" t="str">
        <f>IF(AND(C16="Skema 1",B16="ti"),Arbejdstidsoversigt!$E$78,"")</f>
        <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8.11</v>
      </c>
      <c r="BB16" s="224">
        <f t="shared" si="9"/>
        <v>194.64</v>
      </c>
      <c r="BC16" s="1">
        <f t="shared" si="29"/>
        <v>0</v>
      </c>
      <c r="BD16" s="1">
        <f t="shared" si="10"/>
        <v>0</v>
      </c>
      <c r="BE16" s="1">
        <f t="shared" si="11"/>
        <v>0</v>
      </c>
      <c r="BF16" s="1">
        <f t="shared" si="12"/>
        <v>0</v>
      </c>
      <c r="BG16" s="207">
        <f>IF(AND(C16="Skema 1",B16="ma"),Skemaoplysninger!$E$46,"")</f>
        <v>0.1875</v>
      </c>
      <c r="BH16" s="207" t="str">
        <f>IF(AND(C16="Skema 1",B16="ti"),Skemaoplysninger!$G$46,"")</f>
        <v/>
      </c>
      <c r="BI16" s="207" t="str">
        <f>IF(AND(C16="Skema 1",B16="on"),Skemaoplysninger!$I$46,"")</f>
        <v/>
      </c>
      <c r="BJ16" s="207" t="str">
        <f>IF(AND(C16="Skema 1",B16="to"),Skemaoplysninger!$K$46,"")</f>
        <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0"/>
        <v>4.5</v>
      </c>
      <c r="CB16" s="1">
        <f t="shared" si="13"/>
        <v>0</v>
      </c>
      <c r="CC16" s="1">
        <f t="shared" si="14"/>
        <v>0</v>
      </c>
      <c r="CD16" s="207">
        <f>IF(AND(C16="Skema 1",B16="ma"),Skemaoplysninger!$E$47,"")</f>
        <v>7.9861111111111105E-2</v>
      </c>
      <c r="CE16" s="207" t="str">
        <f>IF(AND(C16="Skema 1",B16="ti"),Skemaoplysninger!$G$47,"")</f>
        <v/>
      </c>
      <c r="CF16" s="207" t="str">
        <f>IF(AND(C16="Skema 1",B16="on"),Skemaoplysninger!$I$47,"")</f>
        <v/>
      </c>
      <c r="CG16" s="207" t="str">
        <f>IF(AND(C16="Skema 1",B16="to"),Skemaoplysninger!$K$47,"")</f>
        <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1.9166666666666665</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5"/>
        <v/>
      </c>
      <c r="DL16" t="str">
        <f t="shared" si="15"/>
        <v/>
      </c>
      <c r="DM16" t="str">
        <f t="shared" si="15"/>
        <v/>
      </c>
      <c r="DN16" t="str">
        <f t="shared" si="35"/>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6"/>
        <v>0</v>
      </c>
      <c r="FZ16" s="634">
        <f t="shared" si="17"/>
        <v>0</v>
      </c>
      <c r="GA16">
        <f t="shared" si="18"/>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9"/>
        <v>0</v>
      </c>
      <c r="GL16">
        <f t="shared" si="20"/>
        <v>0</v>
      </c>
      <c r="GM16">
        <f t="shared" si="21"/>
        <v>0</v>
      </c>
      <c r="GN16" s="713">
        <f t="shared" si="22"/>
        <v>0</v>
      </c>
      <c r="GO16">
        <f t="shared" si="37"/>
        <v>0</v>
      </c>
      <c r="GP16" s="647">
        <f t="shared" si="38"/>
        <v>0</v>
      </c>
    </row>
    <row r="17" spans="1:198">
      <c r="A17" s="239">
        <f t="shared" si="23"/>
        <v>4</v>
      </c>
      <c r="B17" s="125" t="str">
        <f t="shared" si="0"/>
        <v>ti</v>
      </c>
      <c r="C17" s="126" t="s">
        <v>203</v>
      </c>
      <c r="D17" s="127" t="str">
        <f t="shared" si="1"/>
        <v/>
      </c>
      <c r="E17" s="1060"/>
      <c r="F17" s="1061"/>
      <c r="G17" s="1062"/>
      <c r="H17" s="292"/>
      <c r="I17" s="745"/>
      <c r="J17" s="746" t="str">
        <f t="shared" si="2"/>
        <v/>
      </c>
      <c r="K17" s="368"/>
      <c r="L17" s="368"/>
      <c r="M17" s="368"/>
      <c r="N17" s="311">
        <f t="shared" si="24"/>
        <v>8.11</v>
      </c>
      <c r="O17" s="311">
        <f t="shared" si="25"/>
        <v>4.5</v>
      </c>
      <c r="P17" s="311">
        <f>IF(Stamoplysninger!$H$34="JA",Maj!DG17,CX17)</f>
        <v>1.9166666666666665</v>
      </c>
      <c r="Q17" s="311">
        <f t="shared" si="26"/>
        <v>1.6933333333333329</v>
      </c>
      <c r="R17" s="751"/>
      <c r="S17" s="315"/>
      <c r="T17" s="316"/>
      <c r="U17" s="316"/>
      <c r="V17" s="422"/>
      <c r="W17" s="400"/>
      <c r="X17" s="619"/>
      <c r="Y17">
        <f t="shared" si="27"/>
        <v>0</v>
      </c>
      <c r="Z17">
        <f t="shared" si="3"/>
        <v>0</v>
      </c>
      <c r="AA17" s="1">
        <f t="shared" si="4"/>
        <v>0</v>
      </c>
      <c r="AB17" s="1">
        <f t="shared" si="5"/>
        <v>0</v>
      </c>
      <c r="AC17" s="1">
        <f t="shared" si="6"/>
        <v>0</v>
      </c>
      <c r="AD17" s="1">
        <f t="shared" si="7"/>
        <v>0</v>
      </c>
      <c r="AE17" s="1">
        <f t="shared" si="8"/>
        <v>0</v>
      </c>
      <c r="AF17" s="1">
        <f>IF(C17="Orlov",7.4*Stamoplysninger!$E$20,0)</f>
        <v>0</v>
      </c>
      <c r="AG17" t="str">
        <f>IF(AND(C17="Skema 1",B17="ma"),Arbejdstidsoversigt!$E$77,"")</f>
        <v/>
      </c>
      <c r="AH17">
        <f>IF(AND(C17="Skema 1",B17="ti"),Arbejdstidsoversigt!$E$78,"")</f>
        <v>8.11</v>
      </c>
      <c r="AI17" t="str">
        <f>IF(AND(C17="Skema 1",B17="on"),Arbejdstidsoversigt!$E$79,"")</f>
        <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8.11</v>
      </c>
      <c r="BB17" s="224">
        <f t="shared" si="9"/>
        <v>194.64</v>
      </c>
      <c r="BC17" s="1">
        <f t="shared" si="29"/>
        <v>0</v>
      </c>
      <c r="BD17" s="1">
        <f t="shared" si="10"/>
        <v>0</v>
      </c>
      <c r="BE17" s="1">
        <f t="shared" si="11"/>
        <v>0</v>
      </c>
      <c r="BF17" s="1">
        <f t="shared" si="12"/>
        <v>0</v>
      </c>
      <c r="BG17" s="207" t="str">
        <f>IF(AND(C17="Skema 1",B17="ma"),Skemaoplysninger!$E$46,"")</f>
        <v/>
      </c>
      <c r="BH17" s="207">
        <f>IF(AND(C17="Skema 1",B17="ti"),Skemaoplysninger!$G$46,"")</f>
        <v>0.1875</v>
      </c>
      <c r="BI17" s="207" t="str">
        <f>IF(AND(C17="Skema 1",B17="on"),Skemaoplysninger!$I$46,"")</f>
        <v/>
      </c>
      <c r="BJ17" s="207" t="str">
        <f>IF(AND(C17="Skema 1",B17="to"),Skemaoplysninger!$K$46,"")</f>
        <v/>
      </c>
      <c r="BK17" s="207" t="str">
        <f>IF(AND(C17="Skema 1",B17="fr"),Skemaoplysninger!$M$46,"")</f>
        <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4.5</v>
      </c>
      <c r="CB17" s="1">
        <f t="shared" si="13"/>
        <v>0</v>
      </c>
      <c r="CC17" s="1">
        <f t="shared" si="14"/>
        <v>0</v>
      </c>
      <c r="CD17" s="207" t="str">
        <f>IF(AND(C17="Skema 1",B17="ma"),Skemaoplysninger!$E$47,"")</f>
        <v/>
      </c>
      <c r="CE17" s="207">
        <f>IF(AND(C17="Skema 1",B17="ti"),Skemaoplysninger!$G$47,"")</f>
        <v>7.9861111111111105E-2</v>
      </c>
      <c r="CF17" s="207" t="str">
        <f>IF(AND(C17="Skema 1",B17="on"),Skemaoplysninger!$I$47,"")</f>
        <v/>
      </c>
      <c r="CG17" s="207" t="str">
        <f>IF(AND(C17="Skema 1",B17="to"),Skemaoplysninger!$K$47,"")</f>
        <v/>
      </c>
      <c r="CH17" s="207" t="str">
        <f>IF(AND(C17="Skema 1",B17="fr"),Skemaoplysninger!$M$47,"")</f>
        <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1.9166666666666665</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5"/>
        <v/>
      </c>
      <c r="DL17" t="str">
        <f t="shared" si="15"/>
        <v/>
      </c>
      <c r="DM17" t="str">
        <f t="shared" si="15"/>
        <v/>
      </c>
      <c r="DN17" t="str">
        <f t="shared" si="3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6"/>
        <v>0</v>
      </c>
      <c r="FZ17" s="634">
        <f t="shared" si="17"/>
        <v>0</v>
      </c>
      <c r="GA17">
        <f t="shared" si="18"/>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9"/>
        <v>0</v>
      </c>
      <c r="GL17">
        <f t="shared" si="20"/>
        <v>0</v>
      </c>
      <c r="GM17">
        <f t="shared" si="21"/>
        <v>0</v>
      </c>
      <c r="GN17" s="713">
        <f t="shared" si="22"/>
        <v>0</v>
      </c>
      <c r="GO17">
        <f t="shared" si="37"/>
        <v>0</v>
      </c>
      <c r="GP17" s="647">
        <f t="shared" si="38"/>
        <v>0</v>
      </c>
    </row>
    <row r="18" spans="1:198">
      <c r="A18" s="239">
        <f t="shared" si="23"/>
        <v>5</v>
      </c>
      <c r="B18" s="125" t="str">
        <f t="shared" si="0"/>
        <v>on</v>
      </c>
      <c r="C18" s="126" t="s">
        <v>203</v>
      </c>
      <c r="D18" s="127" t="str">
        <f t="shared" si="1"/>
        <v/>
      </c>
      <c r="E18" s="1060"/>
      <c r="F18" s="1061"/>
      <c r="G18" s="1062"/>
      <c r="H18" s="292"/>
      <c r="I18" s="745"/>
      <c r="J18" s="746" t="str">
        <f t="shared" si="2"/>
        <v/>
      </c>
      <c r="K18" s="368"/>
      <c r="L18" s="368"/>
      <c r="M18" s="368"/>
      <c r="N18" s="311">
        <f t="shared" si="24"/>
        <v>8.11</v>
      </c>
      <c r="O18" s="311">
        <f t="shared" si="25"/>
        <v>2.75</v>
      </c>
      <c r="P18" s="311">
        <f>IF(Stamoplysninger!$H$34="JA",Maj!DG18,CX18)</f>
        <v>1.25</v>
      </c>
      <c r="Q18" s="311">
        <f t="shared" si="26"/>
        <v>4.1099999999999994</v>
      </c>
      <c r="R18" s="751"/>
      <c r="S18" s="315"/>
      <c r="T18" s="316"/>
      <c r="U18" s="316"/>
      <c r="V18" s="422"/>
      <c r="W18" s="400"/>
      <c r="X18" s="619"/>
      <c r="Y18">
        <f t="shared" si="27"/>
        <v>0</v>
      </c>
      <c r="Z18">
        <f t="shared" si="3"/>
        <v>0</v>
      </c>
      <c r="AA18" s="1">
        <f t="shared" si="4"/>
        <v>0</v>
      </c>
      <c r="AB18" s="1">
        <f t="shared" si="5"/>
        <v>0</v>
      </c>
      <c r="AC18" s="1">
        <f t="shared" si="6"/>
        <v>0</v>
      </c>
      <c r="AD18" s="1">
        <f t="shared" si="7"/>
        <v>0</v>
      </c>
      <c r="AE18" s="1">
        <f t="shared" si="8"/>
        <v>0</v>
      </c>
      <c r="AF18" s="1">
        <f>IF(C18="Orlov",7.4*Stamoplysninger!$E$20,0)</f>
        <v>0</v>
      </c>
      <c r="AG18" t="str">
        <f>IF(AND(C18="Skema 1",B18="ma"),Arbejdstidsoversigt!$E$77,"")</f>
        <v/>
      </c>
      <c r="AH18" t="str">
        <f>IF(AND(C18="Skema 1",B18="ti"),Arbejdstidsoversigt!$E$78,"")</f>
        <v/>
      </c>
      <c r="AI18">
        <f>IF(AND(C18="Skema 1",B18="on"),Arbejdstidsoversigt!$E$79,"")</f>
        <v>8.11</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8.11</v>
      </c>
      <c r="BB18" s="224">
        <f t="shared" si="9"/>
        <v>194.64</v>
      </c>
      <c r="BC18" s="1">
        <f t="shared" si="29"/>
        <v>0</v>
      </c>
      <c r="BD18" s="1">
        <f t="shared" si="10"/>
        <v>0</v>
      </c>
      <c r="BE18" s="1">
        <f t="shared" si="11"/>
        <v>0</v>
      </c>
      <c r="BF18" s="1">
        <f t="shared" si="12"/>
        <v>0</v>
      </c>
      <c r="BG18" s="207" t="str">
        <f>IF(AND(C18="Skema 1",B18="ma"),Skemaoplysninger!$E$46,"")</f>
        <v/>
      </c>
      <c r="BH18" s="207" t="str">
        <f>IF(AND(C18="Skema 1",B18="ti"),Skemaoplysninger!$G$46,"")</f>
        <v/>
      </c>
      <c r="BI18" s="207">
        <f>IF(AND(C18="Skema 1",B18="on"),Skemaoplysninger!$I$46,"")</f>
        <v>0.11458333333333333</v>
      </c>
      <c r="BJ18" s="207" t="str">
        <f>IF(AND(C18="Skema 1",B18="to"),Skemaoplysninger!$K$46,"")</f>
        <v/>
      </c>
      <c r="BK18" s="207" t="str">
        <f>IF(AND(C18="Skema 1",B18="fr"),Skemaoplysninger!$M$46,"")</f>
        <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2.75</v>
      </c>
      <c r="CB18" s="1">
        <f t="shared" si="13"/>
        <v>0</v>
      </c>
      <c r="CC18" s="1">
        <f t="shared" si="14"/>
        <v>0</v>
      </c>
      <c r="CD18" s="207" t="str">
        <f>IF(AND(C18="Skema 1",B18="ma"),Skemaoplysninger!$E$47,"")</f>
        <v/>
      </c>
      <c r="CE18" s="207" t="str">
        <f>IF(AND(C18="Skema 1",B18="ti"),Skemaoplysninger!$G$47,"")</f>
        <v/>
      </c>
      <c r="CF18" s="207">
        <f>IF(AND(C18="Skema 1",B18="on"),Skemaoplysninger!$I$47,"")</f>
        <v>5.2083333333333329E-2</v>
      </c>
      <c r="CG18" s="207" t="str">
        <f>IF(AND(C18="Skema 1",B18="to"),Skemaoplysninger!$K$47,"")</f>
        <v/>
      </c>
      <c r="CH18" s="207" t="str">
        <f>IF(AND(C18="Skema 1",B18="fr"),Skemaoplysninger!$M$47,"")</f>
        <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1.25</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5"/>
        <v/>
      </c>
      <c r="DL18" t="str">
        <f t="shared" si="15"/>
        <v/>
      </c>
      <c r="DM18" t="str">
        <f t="shared" si="15"/>
        <v/>
      </c>
      <c r="DN18" t="str">
        <f t="shared" si="35"/>
        <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6"/>
        <v>0</v>
      </c>
      <c r="FZ18" s="634">
        <f t="shared" si="17"/>
        <v>0</v>
      </c>
      <c r="GA18">
        <f t="shared" si="18"/>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9"/>
        <v>0</v>
      </c>
      <c r="GL18">
        <f t="shared" si="20"/>
        <v>0</v>
      </c>
      <c r="GM18">
        <f t="shared" si="21"/>
        <v>0</v>
      </c>
      <c r="GN18" s="713">
        <f t="shared" si="22"/>
        <v>0</v>
      </c>
      <c r="GO18">
        <f t="shared" si="37"/>
        <v>0</v>
      </c>
      <c r="GP18" s="647">
        <f t="shared" si="38"/>
        <v>0</v>
      </c>
    </row>
    <row r="19" spans="1:198" ht="16" customHeight="1">
      <c r="A19" s="239">
        <f t="shared" si="23"/>
        <v>6</v>
      </c>
      <c r="B19" s="125" t="str">
        <f t="shared" si="0"/>
        <v>to</v>
      </c>
      <c r="C19" s="126" t="s">
        <v>117</v>
      </c>
      <c r="D19" s="127" t="str">
        <f t="shared" si="1"/>
        <v/>
      </c>
      <c r="E19" s="1060" t="s">
        <v>634</v>
      </c>
      <c r="F19" s="1061"/>
      <c r="G19" s="1062"/>
      <c r="H19" s="292"/>
      <c r="I19" s="746" t="str">
        <f>IF(GO19=1,"X","")</f>
        <v/>
      </c>
      <c r="J19" s="746" t="str">
        <f t="shared" si="2"/>
        <v/>
      </c>
      <c r="K19" s="368"/>
      <c r="L19" s="368"/>
      <c r="M19" s="368"/>
      <c r="N19" s="311">
        <f t="shared" si="24"/>
        <v>0</v>
      </c>
      <c r="O19" s="311">
        <f t="shared" si="25"/>
        <v>0</v>
      </c>
      <c r="P19" s="311">
        <f>IF(Stamoplysninger!$H$34="JA",Maj!DG19,CX19)</f>
        <v>0</v>
      </c>
      <c r="Q19" s="311">
        <f t="shared" si="26"/>
        <v>0</v>
      </c>
      <c r="R19" s="751"/>
      <c r="S19" s="315"/>
      <c r="T19" s="316"/>
      <c r="U19" s="316"/>
      <c r="V19" s="422"/>
      <c r="W19" s="400"/>
      <c r="X19" s="619"/>
      <c r="Y19">
        <f t="shared" si="27"/>
        <v>0</v>
      </c>
      <c r="Z19">
        <f t="shared" si="3"/>
        <v>0</v>
      </c>
      <c r="AA19" s="1">
        <f t="shared" si="4"/>
        <v>0</v>
      </c>
      <c r="AB19" s="1">
        <f t="shared" si="5"/>
        <v>0</v>
      </c>
      <c r="AC19" s="1">
        <f t="shared" si="6"/>
        <v>0</v>
      </c>
      <c r="AD19" s="1">
        <f t="shared" si="7"/>
        <v>0</v>
      </c>
      <c r="AE19" s="1">
        <f t="shared" si="8"/>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9"/>
        <v>0</v>
      </c>
      <c r="BC19" s="1">
        <f t="shared" si="29"/>
        <v>0</v>
      </c>
      <c r="BD19" s="1">
        <f t="shared" si="10"/>
        <v>0</v>
      </c>
      <c r="BE19" s="1">
        <f t="shared" si="11"/>
        <v>0</v>
      </c>
      <c r="BF19" s="1">
        <f t="shared" si="12"/>
        <v>0</v>
      </c>
      <c r="BG19" s="207" t="str">
        <f>IF(AND(C19="Skema 1",B19="ma"),Skemaoplysninger!$E$46,"")</f>
        <v/>
      </c>
      <c r="BH19" s="207" t="str">
        <f>IF(AND(C19="Skema 1",B19="ti"),Skemaoplysninger!$G$46,"")</f>
        <v/>
      </c>
      <c r="BI19" s="207" t="str">
        <f>IF(AND(C19="Skema 1",B19="on"),Skemaoplysninger!$I$46,"")</f>
        <v/>
      </c>
      <c r="BJ19" s="207" t="str">
        <f>IF(AND(C19="Skema 1",B19="to"),Skemaoplysninger!$K$46,"")</f>
        <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0</v>
      </c>
      <c r="CB19" s="1">
        <f t="shared" si="13"/>
        <v>0</v>
      </c>
      <c r="CC19" s="1">
        <f t="shared" si="14"/>
        <v>0</v>
      </c>
      <c r="CD19" s="207" t="str">
        <f>IF(AND(C19="Skema 1",B19="ma"),Skemaoplysninger!$E$47,"")</f>
        <v/>
      </c>
      <c r="CE19" s="207" t="str">
        <f>IF(AND(C19="Skema 1",B19="ti"),Skemaoplysninger!$G$47,"")</f>
        <v/>
      </c>
      <c r="CF19" s="207" t="str">
        <f>IF(AND(C19="Skema 1",B19="on"),Skemaoplysninger!$I$47,"")</f>
        <v/>
      </c>
      <c r="CG19" s="207" t="str">
        <f>IF(AND(C19="Skema 1",B19="to"),Skemaoplysninger!$K$47,"")</f>
        <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t="str">
        <f t="shared" si="33"/>
        <v>Kr. himmelfartsdag</v>
      </c>
      <c r="DJ19" t="str">
        <f t="shared" si="34"/>
        <v/>
      </c>
      <c r="DK19" t="str">
        <f t="shared" si="15"/>
        <v/>
      </c>
      <c r="DL19" t="str">
        <f t="shared" si="15"/>
        <v>Kr. himmelfartsdag</v>
      </c>
      <c r="DM19" t="str">
        <f t="shared" si="15"/>
        <v/>
      </c>
      <c r="DN19" t="str">
        <f t="shared" si="35"/>
        <v>Kr. himmelfartsdag</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6"/>
        <v>0</v>
      </c>
      <c r="FZ19" s="634">
        <f t="shared" si="17"/>
        <v>0</v>
      </c>
      <c r="GA19">
        <f t="shared" si="18"/>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9"/>
        <v>0</v>
      </c>
      <c r="GL19">
        <f t="shared" si="20"/>
        <v>0</v>
      </c>
      <c r="GM19">
        <f t="shared" si="21"/>
        <v>0</v>
      </c>
      <c r="GN19" s="713">
        <f t="shared" si="22"/>
        <v>0</v>
      </c>
      <c r="GO19">
        <f t="shared" si="37"/>
        <v>0</v>
      </c>
      <c r="GP19" s="647">
        <f t="shared" si="38"/>
        <v>0</v>
      </c>
    </row>
    <row r="20" spans="1:198" ht="16" customHeight="1">
      <c r="A20" s="239">
        <f t="shared" si="23"/>
        <v>7</v>
      </c>
      <c r="B20" s="125" t="str">
        <f t="shared" si="0"/>
        <v>fr</v>
      </c>
      <c r="C20" s="126" t="s">
        <v>126</v>
      </c>
      <c r="D20" s="127" t="str">
        <f t="shared" si="1"/>
        <v/>
      </c>
      <c r="E20" s="1060"/>
      <c r="F20" s="1061"/>
      <c r="G20" s="1062"/>
      <c r="H20" s="292"/>
      <c r="I20" s="745"/>
      <c r="J20" s="746" t="str">
        <f t="shared" si="2"/>
        <v/>
      </c>
      <c r="K20" s="368"/>
      <c r="L20" s="368"/>
      <c r="M20" s="368"/>
      <c r="N20" s="311">
        <f t="shared" si="24"/>
        <v>0</v>
      </c>
      <c r="O20" s="311">
        <f t="shared" si="25"/>
        <v>0</v>
      </c>
      <c r="P20" s="311">
        <f>IF(Stamoplysninger!$H$34="JA",Maj!DG20,CX20)</f>
        <v>0</v>
      </c>
      <c r="Q20" s="311">
        <f t="shared" si="26"/>
        <v>0</v>
      </c>
      <c r="R20" s="751"/>
      <c r="S20" s="315"/>
      <c r="T20" s="316"/>
      <c r="U20" s="316"/>
      <c r="V20" s="422"/>
      <c r="W20" s="400"/>
      <c r="X20" s="619"/>
      <c r="Y20">
        <f t="shared" si="27"/>
        <v>0</v>
      </c>
      <c r="Z20">
        <f t="shared" si="3"/>
        <v>0</v>
      </c>
      <c r="AA20" s="1">
        <f t="shared" si="4"/>
        <v>0</v>
      </c>
      <c r="AB20" s="1">
        <f t="shared" si="5"/>
        <v>0</v>
      </c>
      <c r="AC20" s="1">
        <f t="shared" si="6"/>
        <v>0</v>
      </c>
      <c r="AD20" s="1">
        <f t="shared" si="7"/>
        <v>0</v>
      </c>
      <c r="AE20" s="1">
        <f t="shared" si="8"/>
        <v>0</v>
      </c>
      <c r="AF20" s="1">
        <f>IF(C20="Orlov",7.4*Stamoplysninger!$E$20,0)</f>
        <v>0</v>
      </c>
      <c r="AG20" t="str">
        <f>IF(AND(C20="Skema 1",B20="ma"),Arbejdstidsoversigt!$E$77,"")</f>
        <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9"/>
        <v>0</v>
      </c>
      <c r="BC20" s="1">
        <f t="shared" si="29"/>
        <v>0</v>
      </c>
      <c r="BD20" s="1">
        <f t="shared" si="10"/>
        <v>0</v>
      </c>
      <c r="BE20" s="1">
        <f t="shared" si="11"/>
        <v>0</v>
      </c>
      <c r="BF20" s="1">
        <f t="shared" si="12"/>
        <v>0</v>
      </c>
      <c r="BG20" s="207" t="str">
        <f>IF(AND(C20="Skema 1",B20="ma"),Skemaoplysninger!$E$46,"")</f>
        <v/>
      </c>
      <c r="BH20" s="207" t="str">
        <f>IF(AND(C20="Skema 1",B20="ti"),Skemaoplysninger!$G$46,"")</f>
        <v/>
      </c>
      <c r="BI20" s="207" t="str">
        <f>IF(AND(C20="Skema 1",B20="on"),Skemaoplysninger!$I$46,"")</f>
        <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0</v>
      </c>
      <c r="CB20" s="1">
        <f t="shared" si="13"/>
        <v>0</v>
      </c>
      <c r="CC20" s="1">
        <f t="shared" si="14"/>
        <v>0</v>
      </c>
      <c r="CD20" s="207" t="str">
        <f>IF(AND(C20="Skema 1",B20="ma"),Skemaoplysninger!$E$47,"")</f>
        <v/>
      </c>
      <c r="CE20" s="207" t="str">
        <f>IF(AND(C20="Skema 1",B20="ti"),Skemaoplysninger!$G$47,"")</f>
        <v/>
      </c>
      <c r="CF20" s="207" t="str">
        <f>IF(AND(C20="Skema 1",B20="on"),Skemaoplysninger!$I$47,"")</f>
        <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5"/>
        <v/>
      </c>
      <c r="DL20" t="str">
        <f t="shared" si="15"/>
        <v/>
      </c>
      <c r="DM20" t="str">
        <f t="shared" si="15"/>
        <v/>
      </c>
      <c r="DN20" t="str">
        <f t="shared" si="35"/>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6"/>
        <v>0</v>
      </c>
      <c r="FZ20" s="634">
        <f t="shared" si="17"/>
        <v>0</v>
      </c>
      <c r="GA20">
        <f t="shared" si="18"/>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9"/>
        <v>0</v>
      </c>
      <c r="GL20">
        <f t="shared" si="20"/>
        <v>0</v>
      </c>
      <c r="GM20">
        <f t="shared" si="21"/>
        <v>0</v>
      </c>
      <c r="GN20" s="713">
        <f t="shared" si="22"/>
        <v>0</v>
      </c>
      <c r="GO20">
        <f t="shared" si="37"/>
        <v>0</v>
      </c>
      <c r="GP20" s="647">
        <f t="shared" si="38"/>
        <v>0</v>
      </c>
    </row>
    <row r="21" spans="1:198">
      <c r="A21" s="239">
        <f t="shared" si="23"/>
        <v>8</v>
      </c>
      <c r="B21" s="125" t="str">
        <f t="shared" si="0"/>
        <v>lø</v>
      </c>
      <c r="C21" s="126" t="s">
        <v>118</v>
      </c>
      <c r="D21" s="127" t="str">
        <f t="shared" si="1"/>
        <v/>
      </c>
      <c r="E21" s="1060"/>
      <c r="F21" s="1061"/>
      <c r="G21" s="1062"/>
      <c r="H21" s="292"/>
      <c r="I21" s="746" t="str">
        <f>IF(GO21=1,"X","")</f>
        <v/>
      </c>
      <c r="J21" s="746" t="str">
        <f t="shared" si="2"/>
        <v/>
      </c>
      <c r="K21" s="368"/>
      <c r="L21" s="368"/>
      <c r="M21" s="368"/>
      <c r="N21" s="311">
        <f t="shared" si="24"/>
        <v>0</v>
      </c>
      <c r="O21" s="311">
        <f t="shared" si="25"/>
        <v>0</v>
      </c>
      <c r="P21" s="311">
        <f>IF(Stamoplysninger!$H$34="JA",Maj!DG21,CX21)</f>
        <v>0</v>
      </c>
      <c r="Q21" s="311">
        <f t="shared" si="26"/>
        <v>0</v>
      </c>
      <c r="R21" s="751"/>
      <c r="S21" s="315"/>
      <c r="T21" s="316"/>
      <c r="U21" s="316"/>
      <c r="V21" s="422"/>
      <c r="W21" s="400"/>
      <c r="X21" s="619"/>
      <c r="Y21">
        <f t="shared" si="27"/>
        <v>0</v>
      </c>
      <c r="Z21">
        <f t="shared" si="3"/>
        <v>0</v>
      </c>
      <c r="AA21" s="1">
        <f t="shared" si="4"/>
        <v>0</v>
      </c>
      <c r="AB21" s="1">
        <f t="shared" si="5"/>
        <v>0</v>
      </c>
      <c r="AC21" s="1">
        <f t="shared" si="6"/>
        <v>0</v>
      </c>
      <c r="AD21" s="1">
        <f t="shared" si="7"/>
        <v>0</v>
      </c>
      <c r="AE21" s="1">
        <f t="shared" si="8"/>
        <v>0</v>
      </c>
      <c r="AF21" s="1">
        <f>IF(C21="Orlov",7.4*Stamoplysninger!$E$20,0)</f>
        <v>0</v>
      </c>
      <c r="AG21" t="str">
        <f>IF(AND(C21="Skema 1",B21="ma"),Arbejdstidsoversigt!$E$77,"")</f>
        <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9"/>
        <v>0</v>
      </c>
      <c r="BC21" s="1">
        <f t="shared" si="29"/>
        <v>0</v>
      </c>
      <c r="BD21" s="1">
        <f t="shared" si="10"/>
        <v>0</v>
      </c>
      <c r="BE21" s="1">
        <f t="shared" si="11"/>
        <v>0</v>
      </c>
      <c r="BF21" s="1">
        <f t="shared" si="12"/>
        <v>0</v>
      </c>
      <c r="BG21" s="207" t="str">
        <f>IF(AND(C21="Skema 1",B21="ma"),Skemaoplysninger!$E$46,"")</f>
        <v/>
      </c>
      <c r="BH21" s="207" t="str">
        <f>IF(AND(C21="Skema 1",B21="ti"),Skemaoplysninger!$G$46,"")</f>
        <v/>
      </c>
      <c r="BI21" s="207" t="str">
        <f>IF(AND(C21="Skema 1",B21="on"),Skemaoplysninger!$I$46,"")</f>
        <v/>
      </c>
      <c r="BJ21" s="207" t="str">
        <f>IF(AND(C21="Skema 1",B21="to"),Skemaoplysninger!$K$46,"")</f>
        <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0</v>
      </c>
      <c r="CB21" s="1">
        <f t="shared" si="13"/>
        <v>0</v>
      </c>
      <c r="CC21" s="1">
        <f t="shared" si="14"/>
        <v>0</v>
      </c>
      <c r="CD21" s="207" t="str">
        <f>IF(AND(C21="Skema 1",B21="ma"),Skemaoplysninger!$E$47,"")</f>
        <v/>
      </c>
      <c r="CE21" s="207" t="str">
        <f>IF(AND(C21="Skema 1",B21="ti"),Skemaoplysninger!$G$47,"")</f>
        <v/>
      </c>
      <c r="CF21" s="207" t="str">
        <f>IF(AND(C21="Skema 1",B21="on"),Skemaoplysninger!$I$47,"")</f>
        <v/>
      </c>
      <c r="CG21" s="207" t="str">
        <f>IF(AND(C21="Skema 1",B21="to"),Skemaoplysninger!$K$47,"")</f>
        <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5"/>
        <v/>
      </c>
      <c r="DL21" t="str">
        <f t="shared" si="15"/>
        <v/>
      </c>
      <c r="DM21" t="str">
        <f t="shared" si="15"/>
        <v/>
      </c>
      <c r="DN21" t="str">
        <f t="shared" si="35"/>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6"/>
        <v>0</v>
      </c>
      <c r="FZ21" s="634">
        <f t="shared" si="17"/>
        <v>0</v>
      </c>
      <c r="GA21">
        <f t="shared" si="18"/>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9"/>
        <v>0</v>
      </c>
      <c r="GL21">
        <f t="shared" si="20"/>
        <v>0</v>
      </c>
      <c r="GM21">
        <f t="shared" si="21"/>
        <v>0</v>
      </c>
      <c r="GN21" s="713">
        <f t="shared" si="22"/>
        <v>0</v>
      </c>
      <c r="GO21">
        <f t="shared" si="37"/>
        <v>0</v>
      </c>
      <c r="GP21" s="647">
        <f t="shared" si="38"/>
        <v>0</v>
      </c>
    </row>
    <row r="22" spans="1:198">
      <c r="A22" s="239">
        <f t="shared" si="23"/>
        <v>9</v>
      </c>
      <c r="B22" s="125" t="str">
        <f t="shared" si="0"/>
        <v>sø</v>
      </c>
      <c r="C22" s="126" t="s">
        <v>118</v>
      </c>
      <c r="D22" s="127" t="str">
        <f t="shared" si="1"/>
        <v/>
      </c>
      <c r="E22" s="1060"/>
      <c r="F22" s="1061"/>
      <c r="G22" s="1062"/>
      <c r="H22" s="292"/>
      <c r="I22" s="746" t="str">
        <f>IF(GO22=1,"X","")</f>
        <v/>
      </c>
      <c r="J22" s="746" t="str">
        <f t="shared" si="2"/>
        <v/>
      </c>
      <c r="K22" s="368"/>
      <c r="L22" s="368"/>
      <c r="M22" s="368"/>
      <c r="N22" s="311">
        <f t="shared" si="24"/>
        <v>0</v>
      </c>
      <c r="O22" s="311">
        <f t="shared" si="25"/>
        <v>0</v>
      </c>
      <c r="P22" s="311">
        <f>IF(Stamoplysninger!$H$34="JA",Maj!DG22,CX22)</f>
        <v>0</v>
      </c>
      <c r="Q22" s="311">
        <f t="shared" si="26"/>
        <v>0</v>
      </c>
      <c r="R22" s="751"/>
      <c r="S22" s="315"/>
      <c r="T22" s="316"/>
      <c r="U22" s="316"/>
      <c r="V22" s="422"/>
      <c r="W22" s="400"/>
      <c r="X22" s="619"/>
      <c r="Y22">
        <f t="shared" si="27"/>
        <v>0</v>
      </c>
      <c r="Z22">
        <f t="shared" si="3"/>
        <v>0</v>
      </c>
      <c r="AA22" s="1">
        <f t="shared" si="4"/>
        <v>0</v>
      </c>
      <c r="AB22" s="1">
        <f t="shared" si="5"/>
        <v>0</v>
      </c>
      <c r="AC22" s="1">
        <f t="shared" si="6"/>
        <v>0</v>
      </c>
      <c r="AD22" s="1">
        <f t="shared" si="7"/>
        <v>0</v>
      </c>
      <c r="AE22" s="1">
        <f t="shared" si="8"/>
        <v>0</v>
      </c>
      <c r="AF22" s="1">
        <f>IF(C22="Orlov",7.4*Stamoplysninger!$E$20,0)</f>
        <v>0</v>
      </c>
      <c r="AG22" t="str">
        <f>IF(AND(C22="Skema 1",B22="ma"),Arbejdstidsoversigt!$E$77,"")</f>
        <v/>
      </c>
      <c r="AH22" t="str">
        <f>IF(AND(C22="Skema 1",B22="ti"),Arbejdstidsoversigt!$E$78,"")</f>
        <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9"/>
        <v>0</v>
      </c>
      <c r="BC22" s="1">
        <f t="shared" si="29"/>
        <v>0</v>
      </c>
      <c r="BD22" s="1">
        <f t="shared" si="10"/>
        <v>0</v>
      </c>
      <c r="BE22" s="1">
        <f t="shared" si="11"/>
        <v>0</v>
      </c>
      <c r="BF22" s="1">
        <f t="shared" si="12"/>
        <v>0</v>
      </c>
      <c r="BG22" s="207" t="str">
        <f>IF(AND(C22="Skema 1",B22="ma"),Skemaoplysninger!$E$46,"")</f>
        <v/>
      </c>
      <c r="BH22" s="207" t="str">
        <f>IF(AND(C22="Skema 1",B22="ti"),Skemaoplysninger!$G$46,"")</f>
        <v/>
      </c>
      <c r="BI22" s="207" t="str">
        <f>IF(AND(C22="Skema 1",B22="on"),Skemaoplysninger!$I$46,"")</f>
        <v/>
      </c>
      <c r="BJ22" s="207" t="str">
        <f>IF(AND(C22="Skema 1",B22="to"),Skemaoplysninger!$K$46,"")</f>
        <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0</v>
      </c>
      <c r="CB22" s="1">
        <f t="shared" si="13"/>
        <v>0</v>
      </c>
      <c r="CC22" s="1">
        <f t="shared" si="14"/>
        <v>0</v>
      </c>
      <c r="CD22" s="207" t="str">
        <f>IF(AND(C22="Skema 1",B22="ma"),Skemaoplysninger!$E$47,"")</f>
        <v/>
      </c>
      <c r="CE22" s="207" t="str">
        <f>IF(AND(C22="Skema 1",B22="ti"),Skemaoplysninger!$G$47,"")</f>
        <v/>
      </c>
      <c r="CF22" s="207" t="str">
        <f>IF(AND(C22="Skema 1",B22="on"),Skemaoplysninger!$I$47,"")</f>
        <v/>
      </c>
      <c r="CG22" s="207" t="str">
        <f>IF(AND(C22="Skema 1",B22="to"),Skemaoplysninger!$K$47,"")</f>
        <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5"/>
        <v/>
      </c>
      <c r="DL22" t="str">
        <f t="shared" si="15"/>
        <v/>
      </c>
      <c r="DM22" t="str">
        <f t="shared" si="15"/>
        <v/>
      </c>
      <c r="DN22" t="str">
        <f t="shared" si="35"/>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6"/>
        <v>0</v>
      </c>
      <c r="FZ22" s="634">
        <f t="shared" si="17"/>
        <v>0</v>
      </c>
      <c r="GA22">
        <f t="shared" si="18"/>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9"/>
        <v>0</v>
      </c>
      <c r="GL22">
        <f t="shared" si="20"/>
        <v>0</v>
      </c>
      <c r="GM22">
        <f t="shared" si="21"/>
        <v>0</v>
      </c>
      <c r="GN22" s="713">
        <f t="shared" si="22"/>
        <v>0</v>
      </c>
      <c r="GO22">
        <f t="shared" si="37"/>
        <v>0</v>
      </c>
      <c r="GP22" s="647">
        <f t="shared" si="38"/>
        <v>0</v>
      </c>
    </row>
    <row r="23" spans="1:198">
      <c r="A23" s="239">
        <f t="shared" si="23"/>
        <v>10</v>
      </c>
      <c r="B23" s="125" t="str">
        <f t="shared" si="0"/>
        <v>ma</v>
      </c>
      <c r="C23" s="126" t="s">
        <v>203</v>
      </c>
      <c r="D23" s="127">
        <f t="shared" si="1"/>
        <v>19.428571428571427</v>
      </c>
      <c r="E23" s="1060"/>
      <c r="F23" s="1061"/>
      <c r="G23" s="1062"/>
      <c r="H23" s="292"/>
      <c r="I23" s="745"/>
      <c r="J23" s="746" t="str">
        <f t="shared" si="2"/>
        <v/>
      </c>
      <c r="K23" s="368"/>
      <c r="L23" s="368"/>
      <c r="M23" s="368"/>
      <c r="N23" s="311">
        <f t="shared" si="24"/>
        <v>8.11</v>
      </c>
      <c r="O23" s="311">
        <f t="shared" si="25"/>
        <v>4.5</v>
      </c>
      <c r="P23" s="311">
        <f>IF(Stamoplysninger!$H$34="JA",Maj!DG23,CX23)</f>
        <v>1.9166666666666665</v>
      </c>
      <c r="Q23" s="311">
        <f t="shared" si="26"/>
        <v>1.6933333333333329</v>
      </c>
      <c r="R23" s="751"/>
      <c r="S23" s="315"/>
      <c r="T23" s="316"/>
      <c r="U23" s="316"/>
      <c r="V23" s="422"/>
      <c r="W23" s="400"/>
      <c r="X23" s="619"/>
      <c r="Y23">
        <f t="shared" si="27"/>
        <v>0</v>
      </c>
      <c r="Z23">
        <f t="shared" si="3"/>
        <v>0</v>
      </c>
      <c r="AA23" s="1">
        <f t="shared" si="4"/>
        <v>0</v>
      </c>
      <c r="AB23" s="1">
        <f t="shared" si="5"/>
        <v>0</v>
      </c>
      <c r="AC23" s="1">
        <f t="shared" si="6"/>
        <v>0</v>
      </c>
      <c r="AD23" s="1">
        <f t="shared" si="7"/>
        <v>0</v>
      </c>
      <c r="AE23" s="1">
        <f t="shared" si="8"/>
        <v>0</v>
      </c>
      <c r="AF23" s="1">
        <f>IF(C23="Orlov",7.4*Stamoplysninger!$E$20,0)</f>
        <v>0</v>
      </c>
      <c r="AG23">
        <f>IF(AND(C23="Skema 1",B23="ma"),Arbejdstidsoversigt!$E$77,"")</f>
        <v>8.11</v>
      </c>
      <c r="AH23" t="str">
        <f>IF(AND(C23="Skema 1",B23="ti"),Arbejdstidsoversigt!$E$78,"")</f>
        <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8.11</v>
      </c>
      <c r="BB23" s="224">
        <f t="shared" si="9"/>
        <v>194.64</v>
      </c>
      <c r="BC23" s="1">
        <f t="shared" si="29"/>
        <v>0</v>
      </c>
      <c r="BD23" s="1">
        <f t="shared" si="10"/>
        <v>0</v>
      </c>
      <c r="BE23" s="1">
        <f t="shared" si="11"/>
        <v>0</v>
      </c>
      <c r="BF23" s="1">
        <f t="shared" si="12"/>
        <v>0</v>
      </c>
      <c r="BG23" s="207">
        <f>IF(AND(C23="Skema 1",B23="ma"),Skemaoplysninger!$E$46,"")</f>
        <v>0.1875</v>
      </c>
      <c r="BH23" s="207" t="str">
        <f>IF(AND(C23="Skema 1",B23="ti"),Skemaoplysninger!$G$46,"")</f>
        <v/>
      </c>
      <c r="BI23" s="207" t="str">
        <f>IF(AND(C23="Skema 1",B23="on"),Skemaoplysninger!$I$46,"")</f>
        <v/>
      </c>
      <c r="BJ23" s="207" t="str">
        <f>IF(AND(C23="Skema 1",B23="to"),Skemaoplysninger!$K$46,"")</f>
        <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4.5</v>
      </c>
      <c r="CB23" s="1">
        <f t="shared" si="13"/>
        <v>0</v>
      </c>
      <c r="CC23" s="1">
        <f t="shared" si="14"/>
        <v>0</v>
      </c>
      <c r="CD23" s="207">
        <f>IF(AND(C23="Skema 1",B23="ma"),Skemaoplysninger!$E$47,"")</f>
        <v>7.9861111111111105E-2</v>
      </c>
      <c r="CE23" s="207" t="str">
        <f>IF(AND(C23="Skema 1",B23="ti"),Skemaoplysninger!$G$47,"")</f>
        <v/>
      </c>
      <c r="CF23" s="207" t="str">
        <f>IF(AND(C23="Skema 1",B23="on"),Skemaoplysninger!$I$47,"")</f>
        <v/>
      </c>
      <c r="CG23" s="207" t="str">
        <f>IF(AND(C23="Skema 1",B23="to"),Skemaoplysninger!$K$47,"")</f>
        <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1.9166666666666665</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5"/>
        <v/>
      </c>
      <c r="DL23" t="str">
        <f t="shared" si="15"/>
        <v/>
      </c>
      <c r="DM23" t="str">
        <f t="shared" si="15"/>
        <v/>
      </c>
      <c r="DN23" t="str">
        <f t="shared" si="35"/>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6"/>
        <v>0</v>
      </c>
      <c r="FZ23" s="634">
        <f t="shared" si="17"/>
        <v>0</v>
      </c>
      <c r="GA23">
        <f t="shared" si="18"/>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9"/>
        <v>0</v>
      </c>
      <c r="GL23">
        <f t="shared" si="20"/>
        <v>0</v>
      </c>
      <c r="GM23">
        <f t="shared" si="21"/>
        <v>0</v>
      </c>
      <c r="GN23" s="713">
        <f t="shared" si="22"/>
        <v>0</v>
      </c>
      <c r="GO23">
        <f t="shared" si="37"/>
        <v>0</v>
      </c>
      <c r="GP23" s="647">
        <f t="shared" si="38"/>
        <v>0</v>
      </c>
    </row>
    <row r="24" spans="1:198">
      <c r="A24" s="239">
        <f t="shared" si="23"/>
        <v>11</v>
      </c>
      <c r="B24" s="125" t="str">
        <f t="shared" si="0"/>
        <v>ti</v>
      </c>
      <c r="C24" s="126" t="s">
        <v>203</v>
      </c>
      <c r="D24" s="127" t="str">
        <f t="shared" si="1"/>
        <v/>
      </c>
      <c r="E24" s="1060"/>
      <c r="F24" s="1061"/>
      <c r="G24" s="1062"/>
      <c r="H24" s="292"/>
      <c r="I24" s="745"/>
      <c r="J24" s="746" t="str">
        <f t="shared" si="2"/>
        <v/>
      </c>
      <c r="K24" s="368"/>
      <c r="L24" s="368"/>
      <c r="M24" s="368"/>
      <c r="N24" s="311">
        <f t="shared" si="24"/>
        <v>8.11</v>
      </c>
      <c r="O24" s="311">
        <f t="shared" si="25"/>
        <v>4.5</v>
      </c>
      <c r="P24" s="311">
        <f>IF(Stamoplysninger!$H$34="JA",Maj!DG24,CX24)</f>
        <v>1.9166666666666665</v>
      </c>
      <c r="Q24" s="311">
        <f t="shared" si="26"/>
        <v>1.6933333333333329</v>
      </c>
      <c r="R24" s="751"/>
      <c r="S24" s="315"/>
      <c r="T24" s="316"/>
      <c r="U24" s="316"/>
      <c r="V24" s="422"/>
      <c r="W24" s="400"/>
      <c r="X24" s="619"/>
      <c r="Y24">
        <f t="shared" si="27"/>
        <v>0</v>
      </c>
      <c r="Z24">
        <f t="shared" si="3"/>
        <v>0</v>
      </c>
      <c r="AA24" s="1">
        <f t="shared" si="4"/>
        <v>0</v>
      </c>
      <c r="AB24" s="1">
        <f t="shared" si="5"/>
        <v>0</v>
      </c>
      <c r="AC24" s="1">
        <f t="shared" si="6"/>
        <v>0</v>
      </c>
      <c r="AD24" s="1">
        <f t="shared" si="7"/>
        <v>0</v>
      </c>
      <c r="AE24" s="1">
        <f t="shared" si="8"/>
        <v>0</v>
      </c>
      <c r="AF24" s="1">
        <f>IF(C24="Orlov",7.4*Stamoplysninger!$E$20,0)</f>
        <v>0</v>
      </c>
      <c r="AG24" t="str">
        <f>IF(AND(C24="Skema 1",B24="ma"),Arbejdstidsoversigt!$E$77,"")</f>
        <v/>
      </c>
      <c r="AH24">
        <f>IF(AND(C24="Skema 1",B24="ti"),Arbejdstidsoversigt!$E$78,"")</f>
        <v>8.11</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8.11</v>
      </c>
      <c r="BB24" s="224">
        <f t="shared" si="9"/>
        <v>194.64</v>
      </c>
      <c r="BC24" s="1">
        <f t="shared" si="29"/>
        <v>0</v>
      </c>
      <c r="BD24" s="1">
        <f t="shared" si="10"/>
        <v>0</v>
      </c>
      <c r="BE24" s="1">
        <f t="shared" si="11"/>
        <v>0</v>
      </c>
      <c r="BF24" s="1">
        <f t="shared" si="12"/>
        <v>0</v>
      </c>
      <c r="BG24" s="207" t="str">
        <f>IF(AND(C24="Skema 1",B24="ma"),Skemaoplysninger!$E$46,"")</f>
        <v/>
      </c>
      <c r="BH24" s="207">
        <f>IF(AND(C24="Skema 1",B24="ti"),Skemaoplysninger!$G$46,"")</f>
        <v>0.1875</v>
      </c>
      <c r="BI24" s="207" t="str">
        <f>IF(AND(C24="Skema 1",B24="on"),Skemaoplysninger!$I$46,"")</f>
        <v/>
      </c>
      <c r="BJ24" s="207" t="str">
        <f>IF(AND(C24="Skema 1",B24="to"),Skemaoplysninger!$K$46,"")</f>
        <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4.5</v>
      </c>
      <c r="CB24" s="1">
        <f t="shared" si="13"/>
        <v>0</v>
      </c>
      <c r="CC24" s="1">
        <f t="shared" si="14"/>
        <v>0</v>
      </c>
      <c r="CD24" s="207" t="str">
        <f>IF(AND(C24="Skema 1",B24="ma"),Skemaoplysninger!$E$47,"")</f>
        <v/>
      </c>
      <c r="CE24" s="207">
        <f>IF(AND(C24="Skema 1",B24="ti"),Skemaoplysninger!$G$47,"")</f>
        <v>7.9861111111111105E-2</v>
      </c>
      <c r="CF24" s="207" t="str">
        <f>IF(AND(C24="Skema 1",B24="on"),Skemaoplysninger!$I$47,"")</f>
        <v/>
      </c>
      <c r="CG24" s="207" t="str">
        <f>IF(AND(C24="Skema 1",B24="to"),Skemaoplysninger!$K$47,"")</f>
        <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1.9166666666666665</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5"/>
        <v/>
      </c>
      <c r="DL24" t="str">
        <f t="shared" si="15"/>
        <v/>
      </c>
      <c r="DM24" t="str">
        <f t="shared" si="15"/>
        <v/>
      </c>
      <c r="DN24" t="str">
        <f t="shared" si="35"/>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6"/>
        <v>0</v>
      </c>
      <c r="FZ24" s="634">
        <f t="shared" si="17"/>
        <v>0</v>
      </c>
      <c r="GA24">
        <f t="shared" si="18"/>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9"/>
        <v>0</v>
      </c>
      <c r="GL24">
        <f t="shared" si="20"/>
        <v>0</v>
      </c>
      <c r="GM24">
        <f t="shared" si="21"/>
        <v>0</v>
      </c>
      <c r="GN24" s="713">
        <f t="shared" si="22"/>
        <v>0</v>
      </c>
      <c r="GO24">
        <f t="shared" si="37"/>
        <v>0</v>
      </c>
      <c r="GP24" s="647">
        <f t="shared" si="38"/>
        <v>0</v>
      </c>
    </row>
    <row r="25" spans="1:198">
      <c r="A25" s="239">
        <f>IF(ISNUMBER(A24),A24+1,1)</f>
        <v>12</v>
      </c>
      <c r="B25" s="125" t="str">
        <f t="shared" si="0"/>
        <v>on</v>
      </c>
      <c r="C25" s="126" t="s">
        <v>203</v>
      </c>
      <c r="D25" s="127" t="str">
        <f t="shared" si="1"/>
        <v/>
      </c>
      <c r="E25" s="1060"/>
      <c r="F25" s="1061"/>
      <c r="G25" s="1062"/>
      <c r="H25" s="292"/>
      <c r="I25" s="745"/>
      <c r="J25" s="746" t="str">
        <f t="shared" si="2"/>
        <v/>
      </c>
      <c r="K25" s="368"/>
      <c r="L25" s="368"/>
      <c r="M25" s="368"/>
      <c r="N25" s="311">
        <f t="shared" si="24"/>
        <v>8.11</v>
      </c>
      <c r="O25" s="311">
        <f t="shared" si="25"/>
        <v>2.75</v>
      </c>
      <c r="P25" s="311">
        <f>IF(Stamoplysninger!$H$34="JA",Maj!DG25,CX25)</f>
        <v>1.25</v>
      </c>
      <c r="Q25" s="311">
        <f t="shared" si="26"/>
        <v>4.1099999999999994</v>
      </c>
      <c r="R25" s="751"/>
      <c r="S25" s="315"/>
      <c r="T25" s="316"/>
      <c r="U25" s="316"/>
      <c r="V25" s="422"/>
      <c r="W25" s="400"/>
      <c r="X25" s="619"/>
      <c r="Y25">
        <f t="shared" si="27"/>
        <v>0</v>
      </c>
      <c r="Z25">
        <f t="shared" si="3"/>
        <v>0</v>
      </c>
      <c r="AA25" s="1">
        <f t="shared" si="4"/>
        <v>0</v>
      </c>
      <c r="AB25" s="1">
        <f t="shared" si="5"/>
        <v>0</v>
      </c>
      <c r="AC25" s="1">
        <f t="shared" si="6"/>
        <v>0</v>
      </c>
      <c r="AD25" s="1">
        <f t="shared" si="7"/>
        <v>0</v>
      </c>
      <c r="AE25" s="1">
        <f t="shared" si="8"/>
        <v>0</v>
      </c>
      <c r="AF25" s="1">
        <f>IF(C25="Orlov",7.4*Stamoplysninger!$E$20,0)</f>
        <v>0</v>
      </c>
      <c r="AG25" t="str">
        <f>IF(AND(C25="Skema 1",B25="ma"),Arbejdstidsoversigt!$E$77,"")</f>
        <v/>
      </c>
      <c r="AH25" t="str">
        <f>IF(AND(C25="Skema 1",B25="ti"),Arbejdstidsoversigt!$E$78,"")</f>
        <v/>
      </c>
      <c r="AI25">
        <f>IF(AND(C25="Skema 1",B25="on"),Arbejdstidsoversigt!$E$79,"")</f>
        <v>8.11</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8.11</v>
      </c>
      <c r="BB25" s="224">
        <f t="shared" si="9"/>
        <v>194.64</v>
      </c>
      <c r="BC25" s="1">
        <f t="shared" si="29"/>
        <v>0</v>
      </c>
      <c r="BD25" s="1">
        <f t="shared" si="10"/>
        <v>0</v>
      </c>
      <c r="BE25" s="1">
        <f t="shared" si="11"/>
        <v>0</v>
      </c>
      <c r="BF25" s="1">
        <f t="shared" si="12"/>
        <v>0</v>
      </c>
      <c r="BG25" s="207" t="str">
        <f>IF(AND(C25="Skema 1",B25="ma"),Skemaoplysninger!$E$46,"")</f>
        <v/>
      </c>
      <c r="BH25" s="207" t="str">
        <f>IF(AND(C25="Skema 1",B25="ti"),Skemaoplysninger!$G$46,"")</f>
        <v/>
      </c>
      <c r="BI25" s="207">
        <f>IF(AND(C25="Skema 1",B25="on"),Skemaoplysninger!$I$46,"")</f>
        <v>0.11458333333333333</v>
      </c>
      <c r="BJ25" s="207" t="str">
        <f>IF(AND(C25="Skema 1",B25="to"),Skemaoplysninger!$K$46,"")</f>
        <v/>
      </c>
      <c r="BK25" s="207" t="str">
        <f>IF(AND(C25="Skema 1",B25="fr"),Skemaoplysninger!$M$46,"")</f>
        <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2.75</v>
      </c>
      <c r="CB25" s="1">
        <f t="shared" si="13"/>
        <v>0</v>
      </c>
      <c r="CC25" s="1">
        <f t="shared" si="14"/>
        <v>0</v>
      </c>
      <c r="CD25" s="207" t="str">
        <f>IF(AND(C25="Skema 1",B25="ma"),Skemaoplysninger!$E$47,"")</f>
        <v/>
      </c>
      <c r="CE25" s="207" t="str">
        <f>IF(AND(C25="Skema 1",B25="ti"),Skemaoplysninger!$G$47,"")</f>
        <v/>
      </c>
      <c r="CF25" s="207">
        <f>IF(AND(C25="Skema 1",B25="on"),Skemaoplysninger!$I$47,"")</f>
        <v>5.2083333333333329E-2</v>
      </c>
      <c r="CG25" s="207" t="str">
        <f>IF(AND(C25="Skema 1",B25="to"),Skemaoplysninger!$K$47,"")</f>
        <v/>
      </c>
      <c r="CH25" s="207" t="str">
        <f>IF(AND(C25="Skema 1",B25="fr"),Skemaoplysninger!$M$47,"")</f>
        <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1.25</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5"/>
        <v/>
      </c>
      <c r="DL25" t="str">
        <f t="shared" si="15"/>
        <v/>
      </c>
      <c r="DM25" t="str">
        <f t="shared" si="15"/>
        <v/>
      </c>
      <c r="DN25" t="str">
        <f t="shared" si="35"/>
        <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6"/>
        <v>0</v>
      </c>
      <c r="FZ25" s="634">
        <f t="shared" si="17"/>
        <v>0</v>
      </c>
      <c r="GA25">
        <f t="shared" si="18"/>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9"/>
        <v>0</v>
      </c>
      <c r="GL25">
        <f t="shared" si="20"/>
        <v>0</v>
      </c>
      <c r="GM25">
        <f t="shared" si="21"/>
        <v>0</v>
      </c>
      <c r="GN25" s="713">
        <f t="shared" si="22"/>
        <v>0</v>
      </c>
      <c r="GO25">
        <f t="shared" si="37"/>
        <v>0</v>
      </c>
      <c r="GP25" s="647">
        <f t="shared" si="38"/>
        <v>0</v>
      </c>
    </row>
    <row r="26" spans="1:198">
      <c r="A26" s="239">
        <f>IF(ISNUMBER(A25),A25+1,1)</f>
        <v>13</v>
      </c>
      <c r="B26" s="125" t="str">
        <f t="shared" si="0"/>
        <v>to</v>
      </c>
      <c r="C26" s="126" t="s">
        <v>203</v>
      </c>
      <c r="D26" s="127" t="str">
        <f t="shared" si="1"/>
        <v/>
      </c>
      <c r="E26" s="1123"/>
      <c r="F26" s="1124"/>
      <c r="G26" s="1125"/>
      <c r="H26" s="291"/>
      <c r="I26" s="745"/>
      <c r="J26" s="746" t="str">
        <f t="shared" si="2"/>
        <v/>
      </c>
      <c r="K26" s="368"/>
      <c r="L26" s="368"/>
      <c r="M26" s="368"/>
      <c r="N26" s="311">
        <f t="shared" si="24"/>
        <v>9</v>
      </c>
      <c r="O26" s="311">
        <f t="shared" si="25"/>
        <v>3.75</v>
      </c>
      <c r="P26" s="311">
        <f>IF(Stamoplysninger!$H$34="JA",Maj!DG26,CX26)</f>
        <v>1</v>
      </c>
      <c r="Q26" s="311">
        <f t="shared" si="26"/>
        <v>4.25</v>
      </c>
      <c r="R26" s="751"/>
      <c r="S26" s="315"/>
      <c r="T26" s="316"/>
      <c r="U26" s="316"/>
      <c r="V26" s="422"/>
      <c r="W26" s="400"/>
      <c r="X26" s="619"/>
      <c r="Y26">
        <f t="shared" si="27"/>
        <v>0</v>
      </c>
      <c r="Z26">
        <f t="shared" si="3"/>
        <v>0</v>
      </c>
      <c r="AA26" s="1">
        <f t="shared" si="4"/>
        <v>0</v>
      </c>
      <c r="AB26" s="1">
        <f t="shared" si="5"/>
        <v>0</v>
      </c>
      <c r="AC26" s="1">
        <f t="shared" si="6"/>
        <v>0</v>
      </c>
      <c r="AD26" s="1">
        <f t="shared" si="7"/>
        <v>0</v>
      </c>
      <c r="AE26" s="1">
        <f t="shared" si="8"/>
        <v>0</v>
      </c>
      <c r="AF26" s="1">
        <f>IF(C26="Orlov",7.4*Stamoplysninger!$E$20,0)</f>
        <v>0</v>
      </c>
      <c r="AG26" t="str">
        <f>IF(AND(C26="Skema 1",B26="ma"),Arbejdstidsoversigt!$E$77,"")</f>
        <v/>
      </c>
      <c r="AH26" t="str">
        <f>IF(AND(C26="Skema 1",B26="ti"),Arbejdstidsoversigt!$E$78,"")</f>
        <v/>
      </c>
      <c r="AI26" t="str">
        <f>IF(AND(C26="Skema 1",B26="on"),Arbejdstidsoversigt!$E$79,"")</f>
        <v/>
      </c>
      <c r="AJ26">
        <f>IF(AND(C26="Skema 1",B26="to"),Arbejdstidsoversigt!$E$80,"")</f>
        <v>9</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9</v>
      </c>
      <c r="BB26" s="224">
        <f t="shared" si="9"/>
        <v>216</v>
      </c>
      <c r="BC26" s="1">
        <f t="shared" si="29"/>
        <v>0</v>
      </c>
      <c r="BD26" s="1">
        <f t="shared" si="10"/>
        <v>0</v>
      </c>
      <c r="BE26" s="1">
        <f t="shared" si="11"/>
        <v>0</v>
      </c>
      <c r="BF26" s="1">
        <f t="shared" si="12"/>
        <v>0</v>
      </c>
      <c r="BG26" s="207" t="str">
        <f>IF(AND(C26="Skema 1",B26="ma"),Skemaoplysninger!$E$46,"")</f>
        <v/>
      </c>
      <c r="BH26" s="207" t="str">
        <f>IF(AND(C26="Skema 1",B26="ti"),Skemaoplysninger!$G$46,"")</f>
        <v/>
      </c>
      <c r="BI26" s="207" t="str">
        <f>IF(AND(C26="Skema 1",B26="on"),Skemaoplysninger!$I$46,"")</f>
        <v/>
      </c>
      <c r="BJ26" s="207">
        <f>IF(AND(C26="Skema 1",B26="to"),Skemaoplysninger!$K$46,"")</f>
        <v>0.15625</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3.75</v>
      </c>
      <c r="CB26" s="1">
        <f t="shared" si="13"/>
        <v>0</v>
      </c>
      <c r="CC26" s="1">
        <f t="shared" si="14"/>
        <v>0</v>
      </c>
      <c r="CD26" s="207" t="str">
        <f>IF(AND(C26="Skema 1",B26="ma"),Skemaoplysninger!$E$47,"")</f>
        <v/>
      </c>
      <c r="CE26" s="207" t="str">
        <f>IF(AND(C26="Skema 1",B26="ti"),Skemaoplysninger!$G$47,"")</f>
        <v/>
      </c>
      <c r="CF26" s="207" t="str">
        <f>IF(AND(C26="Skema 1",B26="on"),Skemaoplysninger!$I$47,"")</f>
        <v/>
      </c>
      <c r="CG26" s="207">
        <f>IF(AND(C26="Skema 1",B26="to"),Skemaoplysninger!$K$47,"")</f>
        <v>4.1666666666666664E-2</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1</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5"/>
        <v/>
      </c>
      <c r="DL26" t="str">
        <f t="shared" si="15"/>
        <v/>
      </c>
      <c r="DM26" t="str">
        <f t="shared" si="15"/>
        <v/>
      </c>
      <c r="DN26" t="str">
        <f t="shared" si="35"/>
        <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6"/>
        <v>0</v>
      </c>
      <c r="FZ26" s="634">
        <f t="shared" si="17"/>
        <v>0</v>
      </c>
      <c r="GA26">
        <f t="shared" si="18"/>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9"/>
        <v>0</v>
      </c>
      <c r="GL26">
        <f t="shared" si="20"/>
        <v>0</v>
      </c>
      <c r="GM26">
        <f t="shared" si="21"/>
        <v>0</v>
      </c>
      <c r="GN26" s="713">
        <f t="shared" si="22"/>
        <v>0</v>
      </c>
      <c r="GO26">
        <f t="shared" si="37"/>
        <v>0</v>
      </c>
      <c r="GP26" s="647">
        <f t="shared" si="38"/>
        <v>0</v>
      </c>
    </row>
    <row r="27" spans="1:198">
      <c r="A27" s="239">
        <f t="shared" si="23"/>
        <v>14</v>
      </c>
      <c r="B27" s="125" t="str">
        <f t="shared" si="0"/>
        <v>fr</v>
      </c>
      <c r="C27" s="126" t="s">
        <v>203</v>
      </c>
      <c r="D27" s="127" t="str">
        <f t="shared" si="1"/>
        <v/>
      </c>
      <c r="E27" s="1123"/>
      <c r="F27" s="1124"/>
      <c r="G27" s="1125"/>
      <c r="H27" s="291"/>
      <c r="I27" s="745"/>
      <c r="J27" s="746" t="str">
        <f t="shared" si="2"/>
        <v/>
      </c>
      <c r="K27" s="368"/>
      <c r="L27" s="368"/>
      <c r="M27" s="368"/>
      <c r="N27" s="311">
        <f t="shared" si="24"/>
        <v>7.1</v>
      </c>
      <c r="O27" s="311">
        <f t="shared" si="25"/>
        <v>3.75</v>
      </c>
      <c r="P27" s="311">
        <f>IF(Stamoplysninger!$H$34="JA",Maj!DG27,CX27)</f>
        <v>1</v>
      </c>
      <c r="Q27" s="311">
        <f t="shared" si="26"/>
        <v>2.3499999999999996</v>
      </c>
      <c r="R27" s="751"/>
      <c r="S27" s="315"/>
      <c r="T27" s="316"/>
      <c r="U27" s="316"/>
      <c r="V27" s="422"/>
      <c r="W27" s="400"/>
      <c r="X27" s="619"/>
      <c r="Y27">
        <f t="shared" si="27"/>
        <v>0</v>
      </c>
      <c r="Z27">
        <f t="shared" si="3"/>
        <v>0</v>
      </c>
      <c r="AA27" s="1">
        <f t="shared" si="4"/>
        <v>0</v>
      </c>
      <c r="AB27" s="1">
        <f t="shared" si="5"/>
        <v>0</v>
      </c>
      <c r="AC27" s="1">
        <f t="shared" si="6"/>
        <v>0</v>
      </c>
      <c r="AD27" s="1">
        <f t="shared" si="7"/>
        <v>0</v>
      </c>
      <c r="AE27" s="1">
        <f t="shared" si="8"/>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f>IF(AND(C27="Skema 1",B27="fr"),Arbejdstidsoversigt!$E$81,"")</f>
        <v>7.1</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7.1</v>
      </c>
      <c r="BB27" s="224">
        <f t="shared" si="9"/>
        <v>170.39999999999998</v>
      </c>
      <c r="BC27" s="1">
        <f t="shared" si="29"/>
        <v>0</v>
      </c>
      <c r="BD27" s="1">
        <f t="shared" si="10"/>
        <v>0</v>
      </c>
      <c r="BE27" s="1">
        <f t="shared" si="11"/>
        <v>0</v>
      </c>
      <c r="BF27" s="1">
        <f t="shared" si="12"/>
        <v>0</v>
      </c>
      <c r="BG27" s="207" t="str">
        <f>IF(AND(C27="Skema 1",B27="ma"),Skemaoplysninger!$E$46,"")</f>
        <v/>
      </c>
      <c r="BH27" s="207" t="str">
        <f>IF(AND(C27="Skema 1",B27="ti"),Skemaoplysninger!$G$46,"")</f>
        <v/>
      </c>
      <c r="BI27" s="207" t="str">
        <f>IF(AND(C27="Skema 1",B27="on"),Skemaoplysninger!$I$46,"")</f>
        <v/>
      </c>
      <c r="BJ27" s="207" t="str">
        <f>IF(AND(C27="Skema 1",B27="to"),Skemaoplysninger!$K$46,"")</f>
        <v/>
      </c>
      <c r="BK27" s="207">
        <f>IF(AND(C27="Skema 1",B27="fr"),Skemaoplysninger!$M$46,"")</f>
        <v>0.15625</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3.75</v>
      </c>
      <c r="CB27" s="1">
        <f t="shared" si="13"/>
        <v>0</v>
      </c>
      <c r="CC27" s="1">
        <f t="shared" si="14"/>
        <v>0</v>
      </c>
      <c r="CD27" s="207" t="str">
        <f>IF(AND(C27="Skema 1",B27="ma"),Skemaoplysninger!$E$47,"")</f>
        <v/>
      </c>
      <c r="CE27" s="207" t="str">
        <f>IF(AND(C27="Skema 1",B27="ti"),Skemaoplysninger!$G$47,"")</f>
        <v/>
      </c>
      <c r="CF27" s="207" t="str">
        <f>IF(AND(C27="Skema 1",B27="on"),Skemaoplysninger!$I$47,"")</f>
        <v/>
      </c>
      <c r="CG27" s="207" t="str">
        <f>IF(AND(C27="Skema 1",B27="to"),Skemaoplysninger!$K$47,"")</f>
        <v/>
      </c>
      <c r="CH27" s="207">
        <f>IF(AND(C27="Skema 1",B27="fr"),Skemaoplysninger!$M$47,"")</f>
        <v>4.1666666666666664E-2</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1</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f t="shared" si="33"/>
        <v>0</v>
      </c>
      <c r="DJ27">
        <f t="shared" si="34"/>
        <v>0</v>
      </c>
      <c r="DK27" t="str">
        <f t="shared" si="15"/>
        <v/>
      </c>
      <c r="DL27" t="str">
        <f t="shared" si="15"/>
        <v/>
      </c>
      <c r="DM27" t="str">
        <f t="shared" si="15"/>
        <v/>
      </c>
      <c r="DN27" t="str">
        <f t="shared" si="35"/>
        <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6"/>
        <v>0</v>
      </c>
      <c r="FZ27" s="634">
        <f t="shared" si="17"/>
        <v>0</v>
      </c>
      <c r="GA27">
        <f t="shared" si="18"/>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9"/>
        <v>0</v>
      </c>
      <c r="GL27">
        <f t="shared" si="20"/>
        <v>0</v>
      </c>
      <c r="GM27">
        <f t="shared" si="21"/>
        <v>0</v>
      </c>
      <c r="GN27" s="713">
        <f t="shared" si="22"/>
        <v>0</v>
      </c>
      <c r="GO27">
        <f t="shared" si="37"/>
        <v>0</v>
      </c>
      <c r="GP27" s="647">
        <f t="shared" si="38"/>
        <v>0</v>
      </c>
    </row>
    <row r="28" spans="1:198">
      <c r="A28" s="239">
        <f t="shared" si="23"/>
        <v>15</v>
      </c>
      <c r="B28" s="125" t="str">
        <f t="shared" si="0"/>
        <v>lø</v>
      </c>
      <c r="C28" s="126" t="s">
        <v>118</v>
      </c>
      <c r="D28" s="127" t="str">
        <f t="shared" si="1"/>
        <v/>
      </c>
      <c r="E28" s="1123"/>
      <c r="F28" s="1124"/>
      <c r="G28" s="1125"/>
      <c r="H28" s="291"/>
      <c r="I28" s="746" t="str">
        <f>IF(GO28=1,"X","")</f>
        <v/>
      </c>
      <c r="J28" s="746" t="str">
        <f t="shared" si="2"/>
        <v/>
      </c>
      <c r="K28" s="368"/>
      <c r="L28" s="368"/>
      <c r="M28" s="368"/>
      <c r="N28" s="311">
        <f t="shared" si="24"/>
        <v>0</v>
      </c>
      <c r="O28" s="311">
        <f t="shared" si="25"/>
        <v>0</v>
      </c>
      <c r="P28" s="311">
        <f>IF(Stamoplysninger!$H$34="JA",Maj!DG28,CX28)</f>
        <v>0</v>
      </c>
      <c r="Q28" s="311">
        <f t="shared" si="26"/>
        <v>0</v>
      </c>
      <c r="R28" s="751"/>
      <c r="S28" s="315"/>
      <c r="T28" s="316"/>
      <c r="U28" s="316"/>
      <c r="V28" s="422"/>
      <c r="W28" s="400"/>
      <c r="X28" s="619"/>
      <c r="Y28">
        <f t="shared" si="27"/>
        <v>0</v>
      </c>
      <c r="Z28">
        <f t="shared" si="3"/>
        <v>0</v>
      </c>
      <c r="AA28" s="1">
        <f t="shared" si="4"/>
        <v>0</v>
      </c>
      <c r="AB28" s="1">
        <f t="shared" si="5"/>
        <v>0</v>
      </c>
      <c r="AC28" s="1">
        <f t="shared" si="6"/>
        <v>0</v>
      </c>
      <c r="AD28" s="1">
        <f t="shared" si="7"/>
        <v>0</v>
      </c>
      <c r="AE28" s="1">
        <f t="shared" si="8"/>
        <v>0</v>
      </c>
      <c r="AF28" s="1">
        <f>IF(C28="Orlov",7.4*Stamoplysninger!$E$20,0)</f>
        <v>0</v>
      </c>
      <c r="AG28" t="str">
        <f>IF(AND(C28="Skema 1",B28="ma"),Arbejdstidsoversigt!$E$77,"")</f>
        <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9"/>
        <v>0</v>
      </c>
      <c r="BC28" s="1">
        <f t="shared" si="29"/>
        <v>0</v>
      </c>
      <c r="BD28" s="1">
        <f t="shared" si="10"/>
        <v>0</v>
      </c>
      <c r="BE28" s="1">
        <f t="shared" si="11"/>
        <v>0</v>
      </c>
      <c r="BF28" s="1">
        <f t="shared" si="12"/>
        <v>0</v>
      </c>
      <c r="BG28" s="207" t="str">
        <f>IF(AND(C28="Skema 1",B28="ma"),Skemaoplysninger!$E$46,"")</f>
        <v/>
      </c>
      <c r="BH28" s="207" t="str">
        <f>IF(AND(C28="Skema 1",B28="ti"),Skemaoplysninger!$G$46,"")</f>
        <v/>
      </c>
      <c r="BI28" s="207" t="str">
        <f>IF(AND(C28="Skema 1",B28="on"),Skemaoplysninger!$I$46,"")</f>
        <v/>
      </c>
      <c r="BJ28" s="207" t="str">
        <f>IF(AND(C28="Skema 1",B28="to"),Skemaoplysninger!$K$46,"")</f>
        <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0</v>
      </c>
      <c r="CB28" s="1">
        <f t="shared" si="13"/>
        <v>0</v>
      </c>
      <c r="CC28" s="1">
        <f t="shared" si="14"/>
        <v>0</v>
      </c>
      <c r="CD28" s="207" t="str">
        <f>IF(AND(C28="Skema 1",B28="ma"),Skemaoplysninger!$E$47,"")</f>
        <v/>
      </c>
      <c r="CE28" s="207" t="str">
        <f>IF(AND(C28="Skema 1",B28="ti"),Skemaoplysninger!$G$47,"")</f>
        <v/>
      </c>
      <c r="CF28" s="207" t="str">
        <f>IF(AND(C28="Skema 1",B28="on"),Skemaoplysninger!$I$47,"")</f>
        <v/>
      </c>
      <c r="CG28" s="207" t="str">
        <f>IF(AND(C28="Skema 1",B28="to"),Skemaoplysninger!$K$47,"")</f>
        <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5"/>
        <v/>
      </c>
      <c r="DL28" t="str">
        <f t="shared" si="15"/>
        <v/>
      </c>
      <c r="DM28" t="str">
        <f t="shared" si="15"/>
        <v/>
      </c>
      <c r="DN28" t="str">
        <f t="shared" si="35"/>
        <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6"/>
        <v>0</v>
      </c>
      <c r="FZ28" s="634">
        <f t="shared" si="17"/>
        <v>0</v>
      </c>
      <c r="GA28">
        <f t="shared" si="18"/>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9"/>
        <v>0</v>
      </c>
      <c r="GL28">
        <f t="shared" si="20"/>
        <v>0</v>
      </c>
      <c r="GM28">
        <f t="shared" si="21"/>
        <v>0</v>
      </c>
      <c r="GN28" s="713">
        <f t="shared" si="22"/>
        <v>0</v>
      </c>
      <c r="GO28">
        <f t="shared" si="37"/>
        <v>0</v>
      </c>
      <c r="GP28" s="647">
        <f t="shared" si="38"/>
        <v>0</v>
      </c>
    </row>
    <row r="29" spans="1:198">
      <c r="A29" s="239">
        <f>IF(ISNUMBER(A28),A28+1,1)</f>
        <v>16</v>
      </c>
      <c r="B29" s="125" t="str">
        <f t="shared" si="0"/>
        <v>sø</v>
      </c>
      <c r="C29" s="126" t="s">
        <v>118</v>
      </c>
      <c r="D29" s="127" t="str">
        <f t="shared" si="1"/>
        <v/>
      </c>
      <c r="E29" s="1060" t="s">
        <v>174</v>
      </c>
      <c r="F29" s="1061"/>
      <c r="G29" s="1062"/>
      <c r="H29" s="292"/>
      <c r="I29" s="746" t="str">
        <f>IF(GO29=1,"X","")</f>
        <v/>
      </c>
      <c r="J29" s="746" t="str">
        <f t="shared" si="2"/>
        <v/>
      </c>
      <c r="K29" s="368"/>
      <c r="L29" s="368"/>
      <c r="M29" s="368"/>
      <c r="N29" s="311">
        <f t="shared" si="24"/>
        <v>0</v>
      </c>
      <c r="O29" s="311">
        <f t="shared" si="25"/>
        <v>0</v>
      </c>
      <c r="P29" s="311">
        <f>IF(Stamoplysninger!$H$34="JA",Maj!DG29,CX29)</f>
        <v>0</v>
      </c>
      <c r="Q29" s="311">
        <f t="shared" si="26"/>
        <v>0</v>
      </c>
      <c r="R29" s="751"/>
      <c r="S29" s="315"/>
      <c r="T29" s="316"/>
      <c r="U29" s="316"/>
      <c r="V29" s="422"/>
      <c r="W29" s="400"/>
      <c r="X29" s="619"/>
      <c r="Y29">
        <f t="shared" si="27"/>
        <v>0</v>
      </c>
      <c r="Z29">
        <f t="shared" si="3"/>
        <v>0</v>
      </c>
      <c r="AA29" s="1">
        <f t="shared" si="4"/>
        <v>0</v>
      </c>
      <c r="AB29" s="1">
        <f t="shared" si="5"/>
        <v>0</v>
      </c>
      <c r="AC29" s="1">
        <f t="shared" si="6"/>
        <v>0</v>
      </c>
      <c r="AD29" s="1">
        <f t="shared" si="7"/>
        <v>0</v>
      </c>
      <c r="AE29" s="1">
        <f t="shared" si="8"/>
        <v>0</v>
      </c>
      <c r="AF29" s="1">
        <f>IF(C29="Orlov",7.4*Stamoplysninger!$E$20,0)</f>
        <v>0</v>
      </c>
      <c r="AG29" t="str">
        <f>IF(AND(C29="Skema 1",B29="ma"),Arbejdstidsoversigt!$E$77,"")</f>
        <v/>
      </c>
      <c r="AH29" t="str">
        <f>IF(AND(C29="Skema 1",B29="ti"),Arbejdstidsoversigt!$E$78,"")</f>
        <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9"/>
        <v>0</v>
      </c>
      <c r="BC29" s="1">
        <f t="shared" si="29"/>
        <v>0</v>
      </c>
      <c r="BD29" s="1">
        <f t="shared" si="10"/>
        <v>0</v>
      </c>
      <c r="BE29" s="1">
        <f t="shared" si="11"/>
        <v>0</v>
      </c>
      <c r="BF29" s="1">
        <f t="shared" si="12"/>
        <v>0</v>
      </c>
      <c r="BG29" s="207" t="str">
        <f>IF(AND(C29="Skema 1",B29="ma"),Skemaoplysninger!$E$46,"")</f>
        <v/>
      </c>
      <c r="BH29" s="207" t="str">
        <f>IF(AND(C29="Skema 1",B29="ti"),Skemaoplysninger!$G$46,"")</f>
        <v/>
      </c>
      <c r="BI29" s="207" t="str">
        <f>IF(AND(C29="Skema 1",B29="on"),Skemaoplysninger!$I$46,"")</f>
        <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0</v>
      </c>
      <c r="CB29" s="1">
        <f t="shared" si="13"/>
        <v>0</v>
      </c>
      <c r="CC29" s="1">
        <f t="shared" si="14"/>
        <v>0</v>
      </c>
      <c r="CD29" s="207" t="str">
        <f>IF(AND(C29="Skema 1",B29="ma"),Skemaoplysninger!$E$47,"")</f>
        <v/>
      </c>
      <c r="CE29" s="207" t="str">
        <f>IF(AND(C29="Skema 1",B29="ti"),Skemaoplysninger!$G$47,"")</f>
        <v/>
      </c>
      <c r="CF29" s="207" t="str">
        <f>IF(AND(C29="Skema 1",B29="on"),Skemaoplysninger!$I$47,"")</f>
        <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t="str">
        <f t="shared" si="33"/>
        <v>Pinsedag</v>
      </c>
      <c r="DJ29" t="str">
        <f t="shared" si="34"/>
        <v/>
      </c>
      <c r="DK29" t="str">
        <f t="shared" si="15"/>
        <v/>
      </c>
      <c r="DL29" t="str">
        <f t="shared" si="15"/>
        <v>Pinsedag</v>
      </c>
      <c r="DM29" t="str">
        <f t="shared" si="15"/>
        <v/>
      </c>
      <c r="DN29" t="str">
        <f t="shared" si="35"/>
        <v>Pinsedag</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6"/>
        <v>0</v>
      </c>
      <c r="FZ29" s="634">
        <f t="shared" si="17"/>
        <v>0</v>
      </c>
      <c r="GA29">
        <f t="shared" si="18"/>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9"/>
        <v>0</v>
      </c>
      <c r="GL29">
        <f t="shared" si="20"/>
        <v>0</v>
      </c>
      <c r="GM29">
        <f t="shared" si="21"/>
        <v>0</v>
      </c>
      <c r="GN29" s="713">
        <f t="shared" si="22"/>
        <v>0</v>
      </c>
      <c r="GO29">
        <f t="shared" si="37"/>
        <v>0</v>
      </c>
      <c r="GP29" s="647">
        <f t="shared" si="38"/>
        <v>0</v>
      </c>
    </row>
    <row r="30" spans="1:198">
      <c r="A30" s="239">
        <f t="shared" si="23"/>
        <v>17</v>
      </c>
      <c r="B30" s="125" t="str">
        <f t="shared" si="0"/>
        <v>ma</v>
      </c>
      <c r="C30" s="126" t="s">
        <v>117</v>
      </c>
      <c r="D30" s="127">
        <f t="shared" si="1"/>
        <v>20.428571428571427</v>
      </c>
      <c r="E30" s="1060" t="s">
        <v>314</v>
      </c>
      <c r="F30" s="1061"/>
      <c r="G30" s="1062"/>
      <c r="H30" s="292"/>
      <c r="I30" s="746" t="str">
        <f>IF(GO30=1,"X","")</f>
        <v/>
      </c>
      <c r="J30" s="746" t="str">
        <f t="shared" si="2"/>
        <v/>
      </c>
      <c r="K30" s="368"/>
      <c r="L30" s="368"/>
      <c r="M30" s="368"/>
      <c r="N30" s="311">
        <f t="shared" si="24"/>
        <v>0</v>
      </c>
      <c r="O30" s="311">
        <f t="shared" si="25"/>
        <v>0</v>
      </c>
      <c r="P30" s="311">
        <f>IF(Stamoplysninger!$H$34="JA",Maj!DG30,CX30)</f>
        <v>0</v>
      </c>
      <c r="Q30" s="311">
        <f t="shared" si="26"/>
        <v>0</v>
      </c>
      <c r="R30" s="751"/>
      <c r="S30" s="315"/>
      <c r="T30" s="316"/>
      <c r="U30" s="316"/>
      <c r="V30" s="422"/>
      <c r="W30" s="400"/>
      <c r="X30" s="619"/>
      <c r="Y30">
        <f t="shared" si="27"/>
        <v>0</v>
      </c>
      <c r="Z30">
        <f t="shared" si="3"/>
        <v>0</v>
      </c>
      <c r="AA30" s="1">
        <f t="shared" si="4"/>
        <v>0</v>
      </c>
      <c r="AB30" s="1">
        <f t="shared" si="5"/>
        <v>0</v>
      </c>
      <c r="AC30" s="1">
        <f t="shared" si="6"/>
        <v>0</v>
      </c>
      <c r="AD30" s="1">
        <f t="shared" si="7"/>
        <v>0</v>
      </c>
      <c r="AE30" s="1">
        <f t="shared" si="8"/>
        <v>0</v>
      </c>
      <c r="AF30" s="1">
        <f>IF(C30="Orlov",7.4*Stamoplysninger!$E$20,0)</f>
        <v>0</v>
      </c>
      <c r="AG30" t="str">
        <f>IF(AND(C30="Skema 1",B30="ma"),Arbejdstidsoversigt!$E$77,"")</f>
        <v/>
      </c>
      <c r="AH30" t="str">
        <f>IF(AND(C30="Skema 1",B30="ti"),Arbejdstidsoversigt!$E$78,"")</f>
        <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9"/>
        <v>0</v>
      </c>
      <c r="BC30" s="1">
        <f t="shared" si="29"/>
        <v>0</v>
      </c>
      <c r="BD30" s="1">
        <f t="shared" si="10"/>
        <v>0</v>
      </c>
      <c r="BE30" s="1">
        <f t="shared" si="11"/>
        <v>0</v>
      </c>
      <c r="BF30" s="1">
        <f t="shared" si="12"/>
        <v>0</v>
      </c>
      <c r="BG30" s="207" t="str">
        <f>IF(AND(C30="Skema 1",B30="ma"),Skemaoplysninger!$E$46,"")</f>
        <v/>
      </c>
      <c r="BH30" s="207" t="str">
        <f>IF(AND(C30="Skema 1",B30="ti"),Skemaoplysninger!$G$46,"")</f>
        <v/>
      </c>
      <c r="BI30" s="207" t="str">
        <f>IF(AND(C30="Skema 1",B30="on"),Skemaoplysninger!$I$46,"")</f>
        <v/>
      </c>
      <c r="BJ30" s="207" t="str">
        <f>IF(AND(C30="Skema 1",B30="to"),Skemaoplysninger!$K$46,"")</f>
        <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0</v>
      </c>
      <c r="CB30" s="1">
        <f t="shared" si="13"/>
        <v>0</v>
      </c>
      <c r="CC30" s="1">
        <f t="shared" si="14"/>
        <v>0</v>
      </c>
      <c r="CD30" s="207" t="str">
        <f>IF(AND(C30="Skema 1",B30="ma"),Skemaoplysninger!$E$47,"")</f>
        <v/>
      </c>
      <c r="CE30" s="207" t="str">
        <f>IF(AND(C30="Skema 1",B30="ti"),Skemaoplysninger!$G$47,"")</f>
        <v/>
      </c>
      <c r="CF30" s="207" t="str">
        <f>IF(AND(C30="Skema 1",B30="on"),Skemaoplysninger!$I$47,"")</f>
        <v/>
      </c>
      <c r="CG30" s="207" t="str">
        <f>IF(AND(C30="Skema 1",B30="to"),Skemaoplysninger!$K$47,"")</f>
        <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t="str">
        <f t="shared" si="33"/>
        <v>2. pinsedag</v>
      </c>
      <c r="DJ30" t="str">
        <f t="shared" si="34"/>
        <v/>
      </c>
      <c r="DK30" t="str">
        <f t="shared" si="15"/>
        <v/>
      </c>
      <c r="DL30" t="str">
        <f t="shared" si="15"/>
        <v>2. pinsedag</v>
      </c>
      <c r="DM30" t="str">
        <f t="shared" si="15"/>
        <v/>
      </c>
      <c r="DN30" t="str">
        <f t="shared" si="35"/>
        <v>2. pinsedag</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6"/>
        <v>0</v>
      </c>
      <c r="FZ30" s="634">
        <f t="shared" si="17"/>
        <v>0</v>
      </c>
      <c r="GA30">
        <f t="shared" si="18"/>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9"/>
        <v>0</v>
      </c>
      <c r="GL30">
        <f t="shared" si="20"/>
        <v>0</v>
      </c>
      <c r="GM30">
        <f t="shared" si="21"/>
        <v>0</v>
      </c>
      <c r="GN30" s="713">
        <f t="shared" si="22"/>
        <v>0</v>
      </c>
      <c r="GO30">
        <f t="shared" si="37"/>
        <v>0</v>
      </c>
      <c r="GP30" s="647">
        <f t="shared" si="38"/>
        <v>0</v>
      </c>
    </row>
    <row r="31" spans="1:198">
      <c r="A31" s="239">
        <f t="shared" si="23"/>
        <v>18</v>
      </c>
      <c r="B31" s="125" t="str">
        <f t="shared" si="0"/>
        <v>ti</v>
      </c>
      <c r="C31" s="126" t="s">
        <v>203</v>
      </c>
      <c r="D31" s="127" t="str">
        <f t="shared" si="1"/>
        <v/>
      </c>
      <c r="E31" s="1060"/>
      <c r="F31" s="1061"/>
      <c r="G31" s="1062"/>
      <c r="H31" s="292"/>
      <c r="I31" s="745"/>
      <c r="J31" s="746" t="str">
        <f t="shared" si="2"/>
        <v/>
      </c>
      <c r="K31" s="368"/>
      <c r="L31" s="368"/>
      <c r="M31" s="368"/>
      <c r="N31" s="311">
        <f t="shared" si="24"/>
        <v>8.11</v>
      </c>
      <c r="O31" s="311">
        <f t="shared" si="25"/>
        <v>4.5</v>
      </c>
      <c r="P31" s="311">
        <f>IF(Stamoplysninger!$H$34="JA",Maj!DG31,CX31)</f>
        <v>1.9166666666666665</v>
      </c>
      <c r="Q31" s="311">
        <f t="shared" si="26"/>
        <v>1.6933333333333329</v>
      </c>
      <c r="R31" s="751"/>
      <c r="S31" s="315"/>
      <c r="T31" s="316"/>
      <c r="U31" s="316"/>
      <c r="V31" s="422"/>
      <c r="W31" s="400"/>
      <c r="X31" s="619"/>
      <c r="Y31">
        <f t="shared" si="27"/>
        <v>0</v>
      </c>
      <c r="Z31">
        <f t="shared" si="3"/>
        <v>0</v>
      </c>
      <c r="AA31" s="1">
        <f t="shared" si="4"/>
        <v>0</v>
      </c>
      <c r="AB31" s="1">
        <f t="shared" si="5"/>
        <v>0</v>
      </c>
      <c r="AC31" s="1">
        <f t="shared" si="6"/>
        <v>0</v>
      </c>
      <c r="AD31" s="1">
        <f t="shared" si="7"/>
        <v>0</v>
      </c>
      <c r="AE31" s="1">
        <f t="shared" si="8"/>
        <v>0</v>
      </c>
      <c r="AF31" s="1">
        <f>IF(C31="Orlov",7.4*Stamoplysninger!$E$20,0)</f>
        <v>0</v>
      </c>
      <c r="AG31" t="str">
        <f>IF(AND(C31="Skema 1",B31="ma"),Arbejdstidsoversigt!$E$77,"")</f>
        <v/>
      </c>
      <c r="AH31">
        <f>IF(AND(C31="Skema 1",B31="ti"),Arbejdstidsoversigt!$E$78,"")</f>
        <v>8.11</v>
      </c>
      <c r="AI31" t="str">
        <f>IF(AND(C31="Skema 1",B31="on"),Arbejdstidsoversigt!$E$79,"")</f>
        <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8.11</v>
      </c>
      <c r="BB31" s="224">
        <f t="shared" si="9"/>
        <v>194.64</v>
      </c>
      <c r="BC31" s="1">
        <f t="shared" si="29"/>
        <v>0</v>
      </c>
      <c r="BD31" s="1">
        <f t="shared" si="10"/>
        <v>0</v>
      </c>
      <c r="BE31" s="1">
        <f t="shared" si="11"/>
        <v>0</v>
      </c>
      <c r="BF31" s="1">
        <f t="shared" si="12"/>
        <v>0</v>
      </c>
      <c r="BG31" s="207" t="str">
        <f>IF(AND(C31="Skema 1",B31="ma"),Skemaoplysninger!$E$46,"")</f>
        <v/>
      </c>
      <c r="BH31" s="207">
        <f>IF(AND(C31="Skema 1",B31="ti"),Skemaoplysninger!$G$46,"")</f>
        <v>0.1875</v>
      </c>
      <c r="BI31" s="207" t="str">
        <f>IF(AND(C31="Skema 1",B31="on"),Skemaoplysninger!$I$46,"")</f>
        <v/>
      </c>
      <c r="BJ31" s="207" t="str">
        <f>IF(AND(C31="Skema 1",B31="to"),Skemaoplysninger!$K$46,"")</f>
        <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4.5</v>
      </c>
      <c r="CB31" s="1">
        <f t="shared" si="13"/>
        <v>0</v>
      </c>
      <c r="CC31" s="1">
        <f t="shared" si="14"/>
        <v>0</v>
      </c>
      <c r="CD31" s="207" t="str">
        <f>IF(AND(C31="Skema 1",B31="ma"),Skemaoplysninger!$E$47,"")</f>
        <v/>
      </c>
      <c r="CE31" s="207">
        <f>IF(AND(C31="Skema 1",B31="ti"),Skemaoplysninger!$G$47,"")</f>
        <v>7.9861111111111105E-2</v>
      </c>
      <c r="CF31" s="207" t="str">
        <f>IF(AND(C31="Skema 1",B31="on"),Skemaoplysninger!$I$47,"")</f>
        <v/>
      </c>
      <c r="CG31" s="207" t="str">
        <f>IF(AND(C31="Skema 1",B31="to"),Skemaoplysninger!$K$47,"")</f>
        <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1.9166666666666665</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5"/>
        <v/>
      </c>
      <c r="DL31" t="str">
        <f t="shared" si="15"/>
        <v/>
      </c>
      <c r="DM31" t="str">
        <f t="shared" si="15"/>
        <v/>
      </c>
      <c r="DN31" t="str">
        <f t="shared" si="35"/>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6"/>
        <v>0</v>
      </c>
      <c r="FZ31" s="634">
        <f t="shared" si="17"/>
        <v>0</v>
      </c>
      <c r="GA31">
        <f t="shared" si="18"/>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9"/>
        <v>0</v>
      </c>
      <c r="GL31">
        <f t="shared" si="20"/>
        <v>0</v>
      </c>
      <c r="GM31">
        <f t="shared" si="21"/>
        <v>0</v>
      </c>
      <c r="GN31" s="713">
        <f t="shared" si="22"/>
        <v>0</v>
      </c>
      <c r="GO31">
        <f t="shared" si="37"/>
        <v>0</v>
      </c>
      <c r="GP31" s="647">
        <f t="shared" si="38"/>
        <v>0</v>
      </c>
    </row>
    <row r="32" spans="1:198">
      <c r="A32" s="239">
        <f t="shared" si="23"/>
        <v>19</v>
      </c>
      <c r="B32" s="125" t="str">
        <f t="shared" si="0"/>
        <v>on</v>
      </c>
      <c r="C32" s="126" t="s">
        <v>203</v>
      </c>
      <c r="D32" s="127" t="str">
        <f t="shared" si="1"/>
        <v/>
      </c>
      <c r="E32" s="1060"/>
      <c r="F32" s="1061"/>
      <c r="G32" s="1062"/>
      <c r="H32" s="292"/>
      <c r="I32" s="745"/>
      <c r="J32" s="746" t="str">
        <f t="shared" si="2"/>
        <v/>
      </c>
      <c r="K32" s="368"/>
      <c r="L32" s="368"/>
      <c r="M32" s="368"/>
      <c r="N32" s="311">
        <f t="shared" si="24"/>
        <v>8.11</v>
      </c>
      <c r="O32" s="311">
        <f t="shared" si="25"/>
        <v>2.75</v>
      </c>
      <c r="P32" s="311">
        <f>IF(Stamoplysninger!$H$34="JA",Maj!DG32,CX32)</f>
        <v>1.25</v>
      </c>
      <c r="Q32" s="311">
        <f t="shared" si="26"/>
        <v>4.1099999999999994</v>
      </c>
      <c r="R32" s="751"/>
      <c r="S32" s="315"/>
      <c r="T32" s="316"/>
      <c r="U32" s="316"/>
      <c r="V32" s="422"/>
      <c r="W32" s="400"/>
      <c r="X32" s="619"/>
      <c r="Y32">
        <f t="shared" si="27"/>
        <v>0</v>
      </c>
      <c r="Z32">
        <f t="shared" si="3"/>
        <v>0</v>
      </c>
      <c r="AA32" s="1">
        <f t="shared" si="4"/>
        <v>0</v>
      </c>
      <c r="AB32" s="1">
        <f t="shared" si="5"/>
        <v>0</v>
      </c>
      <c r="AC32" s="1">
        <f t="shared" si="6"/>
        <v>0</v>
      </c>
      <c r="AD32" s="1">
        <f t="shared" si="7"/>
        <v>0</v>
      </c>
      <c r="AE32" s="1">
        <f t="shared" si="8"/>
        <v>0</v>
      </c>
      <c r="AF32" s="1">
        <f>IF(C32="Orlov",7.4*Stamoplysninger!$E$20,0)</f>
        <v>0</v>
      </c>
      <c r="AG32" t="str">
        <f>IF(AND(C32="Skema 1",B32="ma"),Arbejdstidsoversigt!$E$77,"")</f>
        <v/>
      </c>
      <c r="AH32" t="str">
        <f>IF(AND(C32="Skema 1",B32="ti"),Arbejdstidsoversigt!$E$78,"")</f>
        <v/>
      </c>
      <c r="AI32">
        <f>IF(AND(C32="Skema 1",B32="on"),Arbejdstidsoversigt!$E$79,"")</f>
        <v>8.11</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8.11</v>
      </c>
      <c r="BB32" s="224">
        <f t="shared" si="9"/>
        <v>194.64</v>
      </c>
      <c r="BC32" s="1">
        <f t="shared" si="29"/>
        <v>0</v>
      </c>
      <c r="BD32" s="1">
        <f t="shared" si="10"/>
        <v>0</v>
      </c>
      <c r="BE32" s="1">
        <f t="shared" si="11"/>
        <v>0</v>
      </c>
      <c r="BF32" s="1">
        <f t="shared" si="12"/>
        <v>0</v>
      </c>
      <c r="BG32" s="207" t="str">
        <f>IF(AND(C32="Skema 1",B32="ma"),Skemaoplysninger!$E$46,"")</f>
        <v/>
      </c>
      <c r="BH32" s="207" t="str">
        <f>IF(AND(C32="Skema 1",B32="ti"),Skemaoplysninger!$G$46,"")</f>
        <v/>
      </c>
      <c r="BI32" s="207">
        <f>IF(AND(C32="Skema 1",B32="on"),Skemaoplysninger!$I$46,"")</f>
        <v>0.11458333333333333</v>
      </c>
      <c r="BJ32" s="207" t="str">
        <f>IF(AND(C32="Skema 1",B32="to"),Skemaoplysninger!$K$46,"")</f>
        <v/>
      </c>
      <c r="BK32" s="207" t="str">
        <f>IF(AND(C32="Skema 1",B32="fr"),Skemaoplysninger!$M$46,"")</f>
        <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2.75</v>
      </c>
      <c r="CB32" s="1">
        <f t="shared" si="13"/>
        <v>0</v>
      </c>
      <c r="CC32" s="1">
        <f t="shared" si="14"/>
        <v>0</v>
      </c>
      <c r="CD32" s="207" t="str">
        <f>IF(AND(C32="Skema 1",B32="ma"),Skemaoplysninger!$E$47,"")</f>
        <v/>
      </c>
      <c r="CE32" s="207" t="str">
        <f>IF(AND(C32="Skema 1",B32="ti"),Skemaoplysninger!$G$47,"")</f>
        <v/>
      </c>
      <c r="CF32" s="207">
        <f>IF(AND(C32="Skema 1",B32="on"),Skemaoplysninger!$I$47,"")</f>
        <v>5.2083333333333329E-2</v>
      </c>
      <c r="CG32" s="207" t="str">
        <f>IF(AND(C32="Skema 1",B32="to"),Skemaoplysninger!$K$47,"")</f>
        <v/>
      </c>
      <c r="CH32" s="207" t="str">
        <f>IF(AND(C32="Skema 1",B32="fr"),Skemaoplysninger!$M$47,"")</f>
        <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1.25</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5"/>
        <v/>
      </c>
      <c r="DL32" t="str">
        <f t="shared" si="15"/>
        <v/>
      </c>
      <c r="DM32" t="str">
        <f t="shared" si="15"/>
        <v/>
      </c>
      <c r="DN32" t="str">
        <f t="shared" si="35"/>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6"/>
        <v>0</v>
      </c>
      <c r="FZ32" s="634">
        <f t="shared" si="17"/>
        <v>0</v>
      </c>
      <c r="GA32">
        <f t="shared" si="18"/>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9"/>
        <v>0</v>
      </c>
      <c r="GL32">
        <f t="shared" si="20"/>
        <v>0</v>
      </c>
      <c r="GM32">
        <f t="shared" si="21"/>
        <v>0</v>
      </c>
      <c r="GN32" s="713">
        <f t="shared" si="22"/>
        <v>0</v>
      </c>
      <c r="GO32">
        <f t="shared" si="37"/>
        <v>0</v>
      </c>
      <c r="GP32" s="647">
        <f t="shared" si="38"/>
        <v>0</v>
      </c>
    </row>
    <row r="33" spans="1:198">
      <c r="A33" s="239">
        <f t="shared" si="23"/>
        <v>20</v>
      </c>
      <c r="B33" s="125" t="str">
        <f t="shared" si="0"/>
        <v>to</v>
      </c>
      <c r="C33" s="126" t="s">
        <v>203</v>
      </c>
      <c r="D33" s="127" t="str">
        <f t="shared" si="1"/>
        <v/>
      </c>
      <c r="E33" s="1060"/>
      <c r="F33" s="1061"/>
      <c r="G33" s="1062"/>
      <c r="H33" s="292"/>
      <c r="I33" s="745"/>
      <c r="J33" s="746" t="str">
        <f t="shared" si="2"/>
        <v/>
      </c>
      <c r="K33" s="368"/>
      <c r="L33" s="368"/>
      <c r="M33" s="368"/>
      <c r="N33" s="311">
        <f t="shared" si="24"/>
        <v>9</v>
      </c>
      <c r="O33" s="311">
        <f t="shared" si="25"/>
        <v>3.75</v>
      </c>
      <c r="P33" s="311">
        <f>IF(Stamoplysninger!$H$34="JA",Maj!DG33,CX33)</f>
        <v>1</v>
      </c>
      <c r="Q33" s="311">
        <f t="shared" si="26"/>
        <v>4.25</v>
      </c>
      <c r="R33" s="751"/>
      <c r="S33" s="315"/>
      <c r="T33" s="316"/>
      <c r="U33" s="316"/>
      <c r="V33" s="422"/>
      <c r="W33" s="400"/>
      <c r="X33" s="619"/>
      <c r="Y33">
        <f t="shared" si="27"/>
        <v>0</v>
      </c>
      <c r="Z33">
        <f t="shared" si="3"/>
        <v>0</v>
      </c>
      <c r="AA33" s="1">
        <f t="shared" si="4"/>
        <v>0</v>
      </c>
      <c r="AB33" s="1">
        <f t="shared" si="5"/>
        <v>0</v>
      </c>
      <c r="AC33" s="1">
        <f t="shared" si="6"/>
        <v>0</v>
      </c>
      <c r="AD33" s="1">
        <f t="shared" si="7"/>
        <v>0</v>
      </c>
      <c r="AE33" s="1">
        <f t="shared" si="8"/>
        <v>0</v>
      </c>
      <c r="AF33" s="1">
        <f>IF(C33="Orlov",7.4*Stamoplysninger!$E$20,0)</f>
        <v>0</v>
      </c>
      <c r="AG33" t="str">
        <f>IF(AND(C33="Skema 1",B33="ma"),Arbejdstidsoversigt!$E$77,"")</f>
        <v/>
      </c>
      <c r="AH33" t="str">
        <f>IF(AND(C33="Skema 1",B33="ti"),Arbejdstidsoversigt!$E$78,"")</f>
        <v/>
      </c>
      <c r="AI33" t="str">
        <f>IF(AND(C33="Skema 1",B33="on"),Arbejdstidsoversigt!$E$79,"")</f>
        <v/>
      </c>
      <c r="AJ33">
        <f>IF(AND(C33="Skema 1",B33="to"),Arbejdstidsoversigt!$E$80,"")</f>
        <v>9</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9</v>
      </c>
      <c r="BB33" s="224">
        <f t="shared" si="9"/>
        <v>216</v>
      </c>
      <c r="BC33" s="1">
        <f t="shared" si="29"/>
        <v>0</v>
      </c>
      <c r="BD33" s="1">
        <f t="shared" si="10"/>
        <v>0</v>
      </c>
      <c r="BE33" s="1">
        <f t="shared" si="11"/>
        <v>0</v>
      </c>
      <c r="BF33" s="1">
        <f t="shared" si="12"/>
        <v>0</v>
      </c>
      <c r="BG33" s="207" t="str">
        <f>IF(AND(C33="Skema 1",B33="ma"),Skemaoplysninger!$E$46,"")</f>
        <v/>
      </c>
      <c r="BH33" s="207" t="str">
        <f>IF(AND(C33="Skema 1",B33="ti"),Skemaoplysninger!$G$46,"")</f>
        <v/>
      </c>
      <c r="BI33" s="207" t="str">
        <f>IF(AND(C33="Skema 1",B33="on"),Skemaoplysninger!$I$46,"")</f>
        <v/>
      </c>
      <c r="BJ33" s="207">
        <f>IF(AND(C33="Skema 1",B33="to"),Skemaoplysninger!$K$46,"")</f>
        <v>0.15625</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3.75</v>
      </c>
      <c r="CB33" s="1">
        <f t="shared" si="13"/>
        <v>0</v>
      </c>
      <c r="CC33" s="1">
        <f t="shared" si="14"/>
        <v>0</v>
      </c>
      <c r="CD33" s="207" t="str">
        <f>IF(AND(C33="Skema 1",B33="ma"),Skemaoplysninger!$E$47,"")</f>
        <v/>
      </c>
      <c r="CE33" s="207" t="str">
        <f>IF(AND(C33="Skema 1",B33="ti"),Skemaoplysninger!$G$47,"")</f>
        <v/>
      </c>
      <c r="CF33" s="207" t="str">
        <f>IF(AND(C33="Skema 1",B33="on"),Skemaoplysninger!$I$47,"")</f>
        <v/>
      </c>
      <c r="CG33" s="207">
        <f>IF(AND(C33="Skema 1",B33="to"),Skemaoplysninger!$K$47,"")</f>
        <v>4.1666666666666664E-2</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1</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5"/>
        <v/>
      </c>
      <c r="DL33" t="str">
        <f t="shared" si="15"/>
        <v/>
      </c>
      <c r="DM33" t="str">
        <f t="shared" si="15"/>
        <v/>
      </c>
      <c r="DN33" t="str">
        <f t="shared" si="35"/>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6"/>
        <v>0</v>
      </c>
      <c r="FZ33" s="634">
        <f t="shared" si="17"/>
        <v>0</v>
      </c>
      <c r="GA33">
        <f t="shared" si="18"/>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9"/>
        <v>0</v>
      </c>
      <c r="GL33">
        <f t="shared" si="20"/>
        <v>0</v>
      </c>
      <c r="GM33">
        <f t="shared" si="21"/>
        <v>0</v>
      </c>
      <c r="GN33" s="713">
        <f t="shared" si="22"/>
        <v>0</v>
      </c>
      <c r="GO33">
        <f t="shared" si="37"/>
        <v>0</v>
      </c>
      <c r="GP33" s="647">
        <f t="shared" si="38"/>
        <v>0</v>
      </c>
    </row>
    <row r="34" spans="1:198">
      <c r="A34" s="239">
        <f t="shared" si="23"/>
        <v>21</v>
      </c>
      <c r="B34" s="125" t="str">
        <f t="shared" si="0"/>
        <v>fr</v>
      </c>
      <c r="C34" s="126" t="s">
        <v>203</v>
      </c>
      <c r="D34" s="127" t="str">
        <f t="shared" si="1"/>
        <v/>
      </c>
      <c r="E34" s="1060"/>
      <c r="F34" s="1061"/>
      <c r="G34" s="1062"/>
      <c r="H34" s="292"/>
      <c r="I34" s="745"/>
      <c r="J34" s="746" t="str">
        <f t="shared" si="2"/>
        <v/>
      </c>
      <c r="K34" s="368"/>
      <c r="L34" s="368"/>
      <c r="M34" s="368"/>
      <c r="N34" s="311">
        <f t="shared" si="24"/>
        <v>7.1</v>
      </c>
      <c r="O34" s="311">
        <f t="shared" si="25"/>
        <v>3.75</v>
      </c>
      <c r="P34" s="311">
        <f>IF(Stamoplysninger!$H$34="JA",Maj!DG34,CX34)</f>
        <v>1</v>
      </c>
      <c r="Q34" s="311">
        <f t="shared" si="26"/>
        <v>2.3499999999999996</v>
      </c>
      <c r="R34" s="751"/>
      <c r="S34" s="315"/>
      <c r="T34" s="316"/>
      <c r="U34" s="316"/>
      <c r="V34" s="422"/>
      <c r="W34" s="400"/>
      <c r="X34" s="619"/>
      <c r="Y34">
        <f t="shared" si="27"/>
        <v>0</v>
      </c>
      <c r="Z34">
        <f t="shared" si="3"/>
        <v>0</v>
      </c>
      <c r="AA34" s="1">
        <f t="shared" si="4"/>
        <v>0</v>
      </c>
      <c r="AB34" s="1">
        <f t="shared" si="5"/>
        <v>0</v>
      </c>
      <c r="AC34" s="1">
        <f t="shared" si="6"/>
        <v>0</v>
      </c>
      <c r="AD34" s="1">
        <f t="shared" si="7"/>
        <v>0</v>
      </c>
      <c r="AE34" s="1">
        <f t="shared" si="8"/>
        <v>0</v>
      </c>
      <c r="AF34" s="1">
        <f>IF(C34="Orlov",7.4*Stamoplysninger!$E$20,0)</f>
        <v>0</v>
      </c>
      <c r="AG34" t="str">
        <f>IF(AND(C34="Skema 1",B34="ma"),Arbejdstidsoversigt!$E$77,"")</f>
        <v/>
      </c>
      <c r="AH34" t="str">
        <f>IF(AND(C34="Skema 1",B34="ti"),Arbejdstidsoversigt!$E$78,"")</f>
        <v/>
      </c>
      <c r="AI34" t="str">
        <f>IF(AND(C34="Skema 1",B34="on"),Arbejdstidsoversigt!$E$79,"")</f>
        <v/>
      </c>
      <c r="AJ34" t="str">
        <f>IF(AND(C34="Skema 1",B34="to"),Arbejdstidsoversigt!$E$80,"")</f>
        <v/>
      </c>
      <c r="AK34">
        <f>IF(AND(C34="Skema 1",B34="fr"),Arbejdstidsoversigt!$E$81,"")</f>
        <v>7.1</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7.1</v>
      </c>
      <c r="BB34" s="224">
        <f t="shared" si="9"/>
        <v>170.39999999999998</v>
      </c>
      <c r="BC34" s="1">
        <f t="shared" si="29"/>
        <v>0</v>
      </c>
      <c r="BD34" s="1">
        <f t="shared" si="10"/>
        <v>0</v>
      </c>
      <c r="BE34" s="1">
        <f t="shared" si="11"/>
        <v>0</v>
      </c>
      <c r="BF34" s="1">
        <f t="shared" si="12"/>
        <v>0</v>
      </c>
      <c r="BG34" s="207" t="str">
        <f>IF(AND(C34="Skema 1",B34="ma"),Skemaoplysninger!$E$46,"")</f>
        <v/>
      </c>
      <c r="BH34" s="207" t="str">
        <f>IF(AND(C34="Skema 1",B34="ti"),Skemaoplysninger!$G$46,"")</f>
        <v/>
      </c>
      <c r="BI34" s="207" t="str">
        <f>IF(AND(C34="Skema 1",B34="on"),Skemaoplysninger!$I$46,"")</f>
        <v/>
      </c>
      <c r="BJ34" s="207" t="str">
        <f>IF(AND(C34="Skema 1",B34="to"),Skemaoplysninger!$K$46,"")</f>
        <v/>
      </c>
      <c r="BK34" s="207">
        <f>IF(AND(C34="Skema 1",B34="fr"),Skemaoplysninger!$M$46,"")</f>
        <v>0.15625</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3.75</v>
      </c>
      <c r="CB34" s="1">
        <f t="shared" si="13"/>
        <v>0</v>
      </c>
      <c r="CC34" s="1">
        <f t="shared" si="14"/>
        <v>0</v>
      </c>
      <c r="CD34" s="207" t="str">
        <f>IF(AND(C34="Skema 1",B34="ma"),Skemaoplysninger!$E$47,"")</f>
        <v/>
      </c>
      <c r="CE34" s="207" t="str">
        <f>IF(AND(C34="Skema 1",B34="ti"),Skemaoplysninger!$G$47,"")</f>
        <v/>
      </c>
      <c r="CF34" s="207" t="str">
        <f>IF(AND(C34="Skema 1",B34="on"),Skemaoplysninger!$I$47,"")</f>
        <v/>
      </c>
      <c r="CG34" s="207" t="str">
        <f>IF(AND(C34="Skema 1",B34="to"),Skemaoplysninger!$K$47,"")</f>
        <v/>
      </c>
      <c r="CH34" s="207">
        <f>IF(AND(C34="Skema 1",B34="fr"),Skemaoplysninger!$M$47,"")</f>
        <v>4.1666666666666664E-2</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1</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5"/>
        <v/>
      </c>
      <c r="DL34" t="str">
        <f t="shared" si="15"/>
        <v/>
      </c>
      <c r="DM34" t="str">
        <f t="shared" si="15"/>
        <v/>
      </c>
      <c r="DN34" t="str">
        <f t="shared" si="35"/>
        <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6"/>
        <v>0</v>
      </c>
      <c r="FZ34" s="634">
        <f t="shared" si="17"/>
        <v>0</v>
      </c>
      <c r="GA34">
        <f t="shared" si="18"/>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9"/>
        <v>0</v>
      </c>
      <c r="GL34">
        <f t="shared" si="20"/>
        <v>0</v>
      </c>
      <c r="GM34">
        <f t="shared" si="21"/>
        <v>0</v>
      </c>
      <c r="GN34" s="713">
        <f t="shared" si="22"/>
        <v>0</v>
      </c>
      <c r="GO34">
        <f t="shared" si="37"/>
        <v>0</v>
      </c>
      <c r="GP34" s="647">
        <f t="shared" si="38"/>
        <v>0</v>
      </c>
    </row>
    <row r="35" spans="1:198">
      <c r="A35" s="239">
        <f t="shared" si="23"/>
        <v>22</v>
      </c>
      <c r="B35" s="125" t="str">
        <f t="shared" si="0"/>
        <v>lø</v>
      </c>
      <c r="C35" s="126" t="s">
        <v>118</v>
      </c>
      <c r="D35" s="127" t="str">
        <f t="shared" si="1"/>
        <v/>
      </c>
      <c r="E35" s="1060"/>
      <c r="F35" s="1061"/>
      <c r="G35" s="1062"/>
      <c r="H35" s="292"/>
      <c r="I35" s="746" t="str">
        <f>IF(GO35=1,"X","")</f>
        <v/>
      </c>
      <c r="J35" s="746" t="str">
        <f t="shared" si="2"/>
        <v/>
      </c>
      <c r="K35" s="368"/>
      <c r="L35" s="368"/>
      <c r="M35" s="368"/>
      <c r="N35" s="311">
        <f t="shared" si="24"/>
        <v>0</v>
      </c>
      <c r="O35" s="311">
        <f t="shared" si="25"/>
        <v>0</v>
      </c>
      <c r="P35" s="311">
        <f>IF(Stamoplysninger!$H$34="JA",Maj!DG35,CX35)</f>
        <v>0</v>
      </c>
      <c r="Q35" s="311">
        <f t="shared" si="26"/>
        <v>0</v>
      </c>
      <c r="R35" s="751"/>
      <c r="S35" s="315"/>
      <c r="T35" s="316"/>
      <c r="U35" s="316"/>
      <c r="V35" s="422"/>
      <c r="W35" s="400"/>
      <c r="X35" s="619"/>
      <c r="Y35">
        <f t="shared" si="27"/>
        <v>0</v>
      </c>
      <c r="Z35">
        <f t="shared" si="3"/>
        <v>0</v>
      </c>
      <c r="AA35" s="1">
        <f t="shared" si="4"/>
        <v>0</v>
      </c>
      <c r="AB35" s="1">
        <f t="shared" si="5"/>
        <v>0</v>
      </c>
      <c r="AC35" s="1">
        <f t="shared" si="6"/>
        <v>0</v>
      </c>
      <c r="AD35" s="1">
        <f t="shared" si="7"/>
        <v>0</v>
      </c>
      <c r="AE35" s="1">
        <f t="shared" si="8"/>
        <v>0</v>
      </c>
      <c r="AF35" s="1">
        <f>IF(C35="Orlov",7.4*Stamoplysninger!$E$20,0)</f>
        <v>0</v>
      </c>
      <c r="AG35" t="str">
        <f>IF(AND(C35="Skema 1",B35="ma"),Arbejdstidsoversigt!$E$77,"")</f>
        <v/>
      </c>
      <c r="AH35" t="str">
        <f>IF(AND(C35="Skema 1",B35="ti"),Arbejdstidsoversigt!$E$78,"")</f>
        <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9"/>
        <v>0</v>
      </c>
      <c r="BC35" s="1">
        <f t="shared" si="29"/>
        <v>0</v>
      </c>
      <c r="BD35" s="1">
        <f t="shared" si="10"/>
        <v>0</v>
      </c>
      <c r="BE35" s="1">
        <f t="shared" si="11"/>
        <v>0</v>
      </c>
      <c r="BF35" s="1">
        <f t="shared" si="12"/>
        <v>0</v>
      </c>
      <c r="BG35" s="207" t="str">
        <f>IF(AND(C35="Skema 1",B35="ma"),Skemaoplysninger!$E$46,"")</f>
        <v/>
      </c>
      <c r="BH35" s="207" t="str">
        <f>IF(AND(C35="Skema 1",B35="ti"),Skemaoplysninger!$G$46,"")</f>
        <v/>
      </c>
      <c r="BI35" s="207" t="str">
        <f>IF(AND(C35="Skema 1",B35="on"),Skemaoplysninger!$I$46,"")</f>
        <v/>
      </c>
      <c r="BJ35" s="207" t="str">
        <f>IF(AND(C35="Skema 1",B35="to"),Skemaoplysninger!$K$46,"")</f>
        <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0</v>
      </c>
      <c r="CB35" s="1">
        <f t="shared" si="13"/>
        <v>0</v>
      </c>
      <c r="CC35" s="1">
        <f t="shared" si="14"/>
        <v>0</v>
      </c>
      <c r="CD35" s="207" t="str">
        <f>IF(AND(C35="Skema 1",B35="ma"),Skemaoplysninger!$E$47,"")</f>
        <v/>
      </c>
      <c r="CE35" s="207" t="str">
        <f>IF(AND(C35="Skema 1",B35="ti"),Skemaoplysninger!$G$47,"")</f>
        <v/>
      </c>
      <c r="CF35" s="207" t="str">
        <f>IF(AND(C35="Skema 1",B35="on"),Skemaoplysninger!$I$47,"")</f>
        <v/>
      </c>
      <c r="CG35" s="207" t="str">
        <f>IF(AND(C35="Skema 1",B35="to"),Skemaoplysninger!$K$47,"")</f>
        <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5"/>
        <v/>
      </c>
      <c r="DL35" t="str">
        <f t="shared" si="15"/>
        <v/>
      </c>
      <c r="DM35" t="str">
        <f t="shared" si="15"/>
        <v/>
      </c>
      <c r="DN35" t="str">
        <f t="shared" si="35"/>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6"/>
        <v>0</v>
      </c>
      <c r="FZ35" s="634">
        <f t="shared" si="17"/>
        <v>0</v>
      </c>
      <c r="GA35">
        <f t="shared" si="18"/>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9"/>
        <v>0</v>
      </c>
      <c r="GL35">
        <f t="shared" si="20"/>
        <v>0</v>
      </c>
      <c r="GM35">
        <f t="shared" si="21"/>
        <v>0</v>
      </c>
      <c r="GN35" s="713">
        <f t="shared" si="22"/>
        <v>0</v>
      </c>
      <c r="GO35">
        <f t="shared" si="37"/>
        <v>0</v>
      </c>
      <c r="GP35" s="647">
        <f t="shared" si="38"/>
        <v>0</v>
      </c>
    </row>
    <row r="36" spans="1:198">
      <c r="A36" s="239">
        <f t="shared" si="23"/>
        <v>23</v>
      </c>
      <c r="B36" s="125" t="str">
        <f t="shared" si="0"/>
        <v>sø</v>
      </c>
      <c r="C36" s="126" t="s">
        <v>118</v>
      </c>
      <c r="D36" s="127" t="str">
        <f t="shared" si="1"/>
        <v/>
      </c>
      <c r="E36" s="1060"/>
      <c r="F36" s="1061"/>
      <c r="G36" s="1062"/>
      <c r="H36" s="292"/>
      <c r="I36" s="746" t="str">
        <f>IF(GO36=1,"X","")</f>
        <v/>
      </c>
      <c r="J36" s="746" t="str">
        <f t="shared" si="2"/>
        <v/>
      </c>
      <c r="K36" s="368"/>
      <c r="L36" s="368"/>
      <c r="M36" s="368"/>
      <c r="N36" s="311">
        <f t="shared" si="24"/>
        <v>0</v>
      </c>
      <c r="O36" s="311">
        <f t="shared" si="25"/>
        <v>0</v>
      </c>
      <c r="P36" s="311">
        <f>IF(Stamoplysninger!$H$34="JA",Maj!DG36,CX36)</f>
        <v>0</v>
      </c>
      <c r="Q36" s="311">
        <f t="shared" si="26"/>
        <v>0</v>
      </c>
      <c r="R36" s="751"/>
      <c r="S36" s="315"/>
      <c r="T36" s="316"/>
      <c r="U36" s="316"/>
      <c r="V36" s="422"/>
      <c r="W36" s="400"/>
      <c r="X36" s="619"/>
      <c r="Y36">
        <f t="shared" si="27"/>
        <v>0</v>
      </c>
      <c r="Z36">
        <f t="shared" si="3"/>
        <v>0</v>
      </c>
      <c r="AA36" s="1">
        <f t="shared" si="4"/>
        <v>0</v>
      </c>
      <c r="AB36" s="1">
        <f t="shared" si="5"/>
        <v>0</v>
      </c>
      <c r="AC36" s="1">
        <f t="shared" si="6"/>
        <v>0</v>
      </c>
      <c r="AD36" s="1">
        <f t="shared" si="7"/>
        <v>0</v>
      </c>
      <c r="AE36" s="1">
        <f t="shared" si="8"/>
        <v>0</v>
      </c>
      <c r="AF36" s="1">
        <f>IF(C36="Orlov",7.4*Stamoplysninger!$E$20,0)</f>
        <v>0</v>
      </c>
      <c r="AG36" t="str">
        <f>IF(AND(C36="Skema 1",B36="ma"),Arbejdstidsoversigt!$E$77,"")</f>
        <v/>
      </c>
      <c r="AH36" t="str">
        <f>IF(AND(C36="Skema 1",B36="ti"),Arbejdstidsoversigt!$E$78,"")</f>
        <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9"/>
        <v>0</v>
      </c>
      <c r="BC36" s="1">
        <f t="shared" si="29"/>
        <v>0</v>
      </c>
      <c r="BD36" s="1">
        <f t="shared" si="10"/>
        <v>0</v>
      </c>
      <c r="BE36" s="1">
        <f t="shared" si="11"/>
        <v>0</v>
      </c>
      <c r="BF36" s="1">
        <f t="shared" si="12"/>
        <v>0</v>
      </c>
      <c r="BG36" s="207" t="str">
        <f>IF(AND(C36="Skema 1",B36="ma"),Skemaoplysninger!$E$46,"")</f>
        <v/>
      </c>
      <c r="BH36" s="207" t="str">
        <f>IF(AND(C36="Skema 1",B36="ti"),Skemaoplysninger!$G$46,"")</f>
        <v/>
      </c>
      <c r="BI36" s="207" t="str">
        <f>IF(AND(C36="Skema 1",B36="on"),Skemaoplysninger!$I$46,"")</f>
        <v/>
      </c>
      <c r="BJ36" s="207" t="str">
        <f>IF(AND(C36="Skema 1",B36="to"),Skemaoplysninger!$K$46,"")</f>
        <v/>
      </c>
      <c r="BK36" s="207" t="str">
        <f>IF(AND(C36="Skema 1",B36="fr"),Skemaoplysninger!$M$46,"")</f>
        <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0</v>
      </c>
      <c r="CB36" s="1">
        <f t="shared" si="13"/>
        <v>0</v>
      </c>
      <c r="CC36" s="1">
        <f t="shared" si="14"/>
        <v>0</v>
      </c>
      <c r="CD36" s="207" t="str">
        <f>IF(AND(C36="Skema 1",B36="ma"),Skemaoplysninger!$E$47,"")</f>
        <v/>
      </c>
      <c r="CE36" s="207" t="str">
        <f>IF(AND(C36="Skema 1",B36="ti"),Skemaoplysninger!$G$47,"")</f>
        <v/>
      </c>
      <c r="CF36" s="207" t="str">
        <f>IF(AND(C36="Skema 1",B36="on"),Skemaoplysninger!$I$47,"")</f>
        <v/>
      </c>
      <c r="CG36" s="207" t="str">
        <f>IF(AND(C36="Skema 1",B36="to"),Skemaoplysninger!$K$47,"")</f>
        <v/>
      </c>
      <c r="CH36" s="207" t="str">
        <f>IF(AND(C36="Skema 1",B36="fr"),Skemaoplysninger!$M$47,"")</f>
        <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5"/>
        <v/>
      </c>
      <c r="DL36" t="str">
        <f t="shared" si="15"/>
        <v/>
      </c>
      <c r="DM36" t="str">
        <f t="shared" si="15"/>
        <v/>
      </c>
      <c r="DN36" t="str">
        <f t="shared" si="35"/>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6"/>
        <v>0</v>
      </c>
      <c r="FZ36" s="634">
        <f t="shared" si="17"/>
        <v>0</v>
      </c>
      <c r="GA36">
        <f t="shared" si="18"/>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9"/>
        <v>0</v>
      </c>
      <c r="GL36">
        <f t="shared" si="20"/>
        <v>0</v>
      </c>
      <c r="GM36">
        <f t="shared" si="21"/>
        <v>0</v>
      </c>
      <c r="GN36" s="713">
        <f t="shared" si="22"/>
        <v>0</v>
      </c>
      <c r="GO36">
        <f t="shared" si="37"/>
        <v>0</v>
      </c>
      <c r="GP36" s="647">
        <f t="shared" si="38"/>
        <v>0</v>
      </c>
    </row>
    <row r="37" spans="1:198">
      <c r="A37" s="239">
        <f t="shared" si="23"/>
        <v>24</v>
      </c>
      <c r="B37" s="125" t="str">
        <f t="shared" si="0"/>
        <v>ma</v>
      </c>
      <c r="C37" s="126" t="s">
        <v>203</v>
      </c>
      <c r="D37" s="127">
        <f t="shared" si="1"/>
        <v>21.428571428571427</v>
      </c>
      <c r="E37" s="1123"/>
      <c r="F37" s="1124"/>
      <c r="G37" s="1125"/>
      <c r="H37" s="292"/>
      <c r="I37" s="745"/>
      <c r="J37" s="746" t="str">
        <f t="shared" si="2"/>
        <v/>
      </c>
      <c r="K37" s="368"/>
      <c r="L37" s="368"/>
      <c r="M37" s="368"/>
      <c r="N37" s="311">
        <f t="shared" si="24"/>
        <v>8.11</v>
      </c>
      <c r="O37" s="311">
        <f t="shared" si="25"/>
        <v>4.5</v>
      </c>
      <c r="P37" s="311">
        <f>IF(Stamoplysninger!$H$34="JA",Maj!DG37,CX37)</f>
        <v>1.9166666666666665</v>
      </c>
      <c r="Q37" s="311">
        <f t="shared" si="26"/>
        <v>1.6933333333333329</v>
      </c>
      <c r="R37" s="751"/>
      <c r="S37" s="315"/>
      <c r="T37" s="316"/>
      <c r="U37" s="316"/>
      <c r="V37" s="422"/>
      <c r="W37" s="400"/>
      <c r="X37" s="619"/>
      <c r="Y37">
        <f t="shared" si="27"/>
        <v>0</v>
      </c>
      <c r="Z37">
        <f t="shared" si="3"/>
        <v>0</v>
      </c>
      <c r="AA37" s="1">
        <f t="shared" si="4"/>
        <v>0</v>
      </c>
      <c r="AB37" s="1">
        <f t="shared" si="5"/>
        <v>0</v>
      </c>
      <c r="AC37" s="1">
        <f t="shared" si="6"/>
        <v>0</v>
      </c>
      <c r="AD37" s="1">
        <f t="shared" si="7"/>
        <v>0</v>
      </c>
      <c r="AE37" s="1">
        <f t="shared" si="8"/>
        <v>0</v>
      </c>
      <c r="AF37" s="1">
        <f>IF(C37="Orlov",7.4*Stamoplysninger!$E$20,0)</f>
        <v>0</v>
      </c>
      <c r="AG37">
        <f>IF(AND(C37="Skema 1",B37="ma"),Arbejdstidsoversigt!$E$77,"")</f>
        <v>8.11</v>
      </c>
      <c r="AH37" t="str">
        <f>IF(AND(C37="Skema 1",B37="ti"),Arbejdstidsoversigt!$E$78,"")</f>
        <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8.11</v>
      </c>
      <c r="BB37" s="224">
        <f t="shared" si="9"/>
        <v>194.64</v>
      </c>
      <c r="BC37" s="1">
        <f t="shared" si="29"/>
        <v>0</v>
      </c>
      <c r="BD37" s="1">
        <f t="shared" si="10"/>
        <v>0</v>
      </c>
      <c r="BE37" s="1">
        <f t="shared" si="11"/>
        <v>0</v>
      </c>
      <c r="BF37" s="1">
        <f t="shared" si="12"/>
        <v>0</v>
      </c>
      <c r="BG37" s="207">
        <f>IF(AND(C37="Skema 1",B37="ma"),Skemaoplysninger!$E$46,"")</f>
        <v>0.1875</v>
      </c>
      <c r="BH37" s="207" t="str">
        <f>IF(AND(C37="Skema 1",B37="ti"),Skemaoplysninger!$G$46,"")</f>
        <v/>
      </c>
      <c r="BI37" s="207" t="str">
        <f>IF(AND(C37="Skema 1",B37="on"),Skemaoplysninger!$I$46,"")</f>
        <v/>
      </c>
      <c r="BJ37" s="207" t="str">
        <f>IF(AND(C37="Skema 1",B37="to"),Skemaoplysninger!$K$46,"")</f>
        <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4.5</v>
      </c>
      <c r="CB37" s="1">
        <f t="shared" si="13"/>
        <v>0</v>
      </c>
      <c r="CC37" s="1">
        <f t="shared" si="14"/>
        <v>0</v>
      </c>
      <c r="CD37" s="207">
        <f>IF(AND(C37="Skema 1",B37="ma"),Skemaoplysninger!$E$47,"")</f>
        <v>7.9861111111111105E-2</v>
      </c>
      <c r="CE37" s="207" t="str">
        <f>IF(AND(C37="Skema 1",B37="ti"),Skemaoplysninger!$G$47,"")</f>
        <v/>
      </c>
      <c r="CF37" s="207" t="str">
        <f>IF(AND(C37="Skema 1",B37="on"),Skemaoplysninger!$I$47,"")</f>
        <v/>
      </c>
      <c r="CG37" s="207" t="str">
        <f>IF(AND(C37="Skema 1",B37="to"),Skemaoplysninger!$K$47,"")</f>
        <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1.9166666666666665</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5"/>
        <v/>
      </c>
      <c r="DL37" t="str">
        <f t="shared" si="15"/>
        <v/>
      </c>
      <c r="DM37" t="str">
        <f t="shared" si="15"/>
        <v/>
      </c>
      <c r="DN37" t="str">
        <f t="shared" si="35"/>
        <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6"/>
        <v>0</v>
      </c>
      <c r="FZ37" s="634">
        <f t="shared" si="17"/>
        <v>0</v>
      </c>
      <c r="GA37">
        <f t="shared" si="18"/>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9"/>
        <v>0</v>
      </c>
      <c r="GL37">
        <f t="shared" si="20"/>
        <v>0</v>
      </c>
      <c r="GM37">
        <f t="shared" si="21"/>
        <v>0</v>
      </c>
      <c r="GN37" s="713">
        <f t="shared" si="22"/>
        <v>0</v>
      </c>
      <c r="GO37">
        <f t="shared" si="37"/>
        <v>0</v>
      </c>
      <c r="GP37" s="647">
        <f t="shared" si="38"/>
        <v>0</v>
      </c>
    </row>
    <row r="38" spans="1:198">
      <c r="A38" s="239">
        <f t="shared" si="23"/>
        <v>25</v>
      </c>
      <c r="B38" s="125" t="str">
        <f t="shared" si="0"/>
        <v>ti</v>
      </c>
      <c r="C38" s="126" t="s">
        <v>203</v>
      </c>
      <c r="D38" s="127" t="str">
        <f t="shared" si="1"/>
        <v/>
      </c>
      <c r="E38" s="1060"/>
      <c r="F38" s="1061"/>
      <c r="G38" s="1062"/>
      <c r="H38" s="292"/>
      <c r="I38" s="745"/>
      <c r="J38" s="746" t="str">
        <f t="shared" si="2"/>
        <v/>
      </c>
      <c r="K38" s="368"/>
      <c r="L38" s="368"/>
      <c r="M38" s="368"/>
      <c r="N38" s="311">
        <f t="shared" si="24"/>
        <v>8.11</v>
      </c>
      <c r="O38" s="311">
        <f t="shared" si="25"/>
        <v>4.5</v>
      </c>
      <c r="P38" s="311">
        <f>IF(Stamoplysninger!$H$34="JA",Maj!DG38,CX38)</f>
        <v>1.9166666666666665</v>
      </c>
      <c r="Q38" s="311">
        <f t="shared" si="26"/>
        <v>1.6933333333333329</v>
      </c>
      <c r="R38" s="751"/>
      <c r="S38" s="315"/>
      <c r="T38" s="316"/>
      <c r="U38" s="316"/>
      <c r="V38" s="422"/>
      <c r="W38" s="400"/>
      <c r="X38" s="619"/>
      <c r="Y38">
        <f t="shared" si="27"/>
        <v>0</v>
      </c>
      <c r="Z38">
        <f t="shared" si="3"/>
        <v>0</v>
      </c>
      <c r="AA38" s="1">
        <f t="shared" si="4"/>
        <v>0</v>
      </c>
      <c r="AB38" s="1">
        <f t="shared" si="5"/>
        <v>0</v>
      </c>
      <c r="AC38" s="1">
        <f t="shared" si="6"/>
        <v>0</v>
      </c>
      <c r="AD38" s="1">
        <f t="shared" si="7"/>
        <v>0</v>
      </c>
      <c r="AE38" s="1">
        <f t="shared" si="8"/>
        <v>0</v>
      </c>
      <c r="AF38" s="1">
        <f>IF(C38="Orlov",7.4*Stamoplysninger!$E$20,0)</f>
        <v>0</v>
      </c>
      <c r="AG38" t="str">
        <f>IF(AND(C38="Skema 1",B38="ma"),Arbejdstidsoversigt!$E$77,"")</f>
        <v/>
      </c>
      <c r="AH38">
        <f>IF(AND(C38="Skema 1",B38="ti"),Arbejdstidsoversigt!$E$78,"")</f>
        <v>8.11</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8.11</v>
      </c>
      <c r="BB38" s="224">
        <f t="shared" si="9"/>
        <v>194.64</v>
      </c>
      <c r="BC38" s="1">
        <f t="shared" si="29"/>
        <v>0</v>
      </c>
      <c r="BD38" s="1">
        <f t="shared" si="10"/>
        <v>0</v>
      </c>
      <c r="BE38" s="1">
        <f t="shared" si="11"/>
        <v>0</v>
      </c>
      <c r="BF38" s="1">
        <f t="shared" si="12"/>
        <v>0</v>
      </c>
      <c r="BG38" s="207" t="str">
        <f>IF(AND(C38="Skema 1",B38="ma"),Skemaoplysninger!$E$46,"")</f>
        <v/>
      </c>
      <c r="BH38" s="207">
        <f>IF(AND(C38="Skema 1",B38="ti"),Skemaoplysninger!$G$46,"")</f>
        <v>0.1875</v>
      </c>
      <c r="BI38" s="207" t="str">
        <f>IF(AND(C38="Skema 1",B38="on"),Skemaoplysninger!$I$46,"")</f>
        <v/>
      </c>
      <c r="BJ38" s="207" t="str">
        <f>IF(AND(C38="Skema 1",B38="to"),Skemaoplysninger!$K$46,"")</f>
        <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4.5</v>
      </c>
      <c r="CB38" s="1">
        <f t="shared" si="13"/>
        <v>0</v>
      </c>
      <c r="CC38" s="1">
        <f t="shared" si="14"/>
        <v>0</v>
      </c>
      <c r="CD38" s="207" t="str">
        <f>IF(AND(C38="Skema 1",B38="ma"),Skemaoplysninger!$E$47,"")</f>
        <v/>
      </c>
      <c r="CE38" s="207">
        <f>IF(AND(C38="Skema 1",B38="ti"),Skemaoplysninger!$G$47,"")</f>
        <v>7.9861111111111105E-2</v>
      </c>
      <c r="CF38" s="207" t="str">
        <f>IF(AND(C38="Skema 1",B38="on"),Skemaoplysninger!$I$47,"")</f>
        <v/>
      </c>
      <c r="CG38" s="207" t="str">
        <f>IF(AND(C38="Skema 1",B38="to"),Skemaoplysninger!$K$47,"")</f>
        <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1.9166666666666665</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f t="shared" si="33"/>
        <v>0</v>
      </c>
      <c r="DJ38">
        <f t="shared" si="34"/>
        <v>0</v>
      </c>
      <c r="DK38" t="str">
        <f t="shared" si="15"/>
        <v/>
      </c>
      <c r="DL38" t="str">
        <f t="shared" si="15"/>
        <v/>
      </c>
      <c r="DM38" t="str">
        <f t="shared" si="15"/>
        <v/>
      </c>
      <c r="DN38" t="str">
        <f t="shared" si="35"/>
        <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6"/>
        <v>0</v>
      </c>
      <c r="FZ38" s="634">
        <f t="shared" si="17"/>
        <v>0</v>
      </c>
      <c r="GA38">
        <f t="shared" si="18"/>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9"/>
        <v>0</v>
      </c>
      <c r="GL38">
        <f t="shared" si="20"/>
        <v>0</v>
      </c>
      <c r="GM38">
        <f t="shared" si="21"/>
        <v>0</v>
      </c>
      <c r="GN38" s="713">
        <f t="shared" si="22"/>
        <v>0</v>
      </c>
      <c r="GO38">
        <f t="shared" si="37"/>
        <v>0</v>
      </c>
      <c r="GP38" s="647">
        <f t="shared" si="38"/>
        <v>0</v>
      </c>
    </row>
    <row r="39" spans="1:198">
      <c r="A39" s="239">
        <f t="shared" si="23"/>
        <v>26</v>
      </c>
      <c r="B39" s="125" t="str">
        <f t="shared" si="0"/>
        <v>on</v>
      </c>
      <c r="C39" s="126" t="s">
        <v>203</v>
      </c>
      <c r="D39" s="127" t="str">
        <f t="shared" si="1"/>
        <v/>
      </c>
      <c r="E39" s="1060"/>
      <c r="F39" s="1061"/>
      <c r="G39" s="1062"/>
      <c r="H39" s="292"/>
      <c r="I39" s="745"/>
      <c r="J39" s="746" t="str">
        <f t="shared" si="2"/>
        <v/>
      </c>
      <c r="K39" s="368"/>
      <c r="L39" s="368"/>
      <c r="M39" s="368"/>
      <c r="N39" s="311">
        <f t="shared" si="24"/>
        <v>8.11</v>
      </c>
      <c r="O39" s="311">
        <f t="shared" si="25"/>
        <v>2.75</v>
      </c>
      <c r="P39" s="311">
        <f>IF(Stamoplysninger!$H$34="JA",Maj!DG39,CX39)</f>
        <v>1.25</v>
      </c>
      <c r="Q39" s="311">
        <f t="shared" si="26"/>
        <v>4.1099999999999994</v>
      </c>
      <c r="R39" s="751"/>
      <c r="S39" s="315"/>
      <c r="T39" s="316"/>
      <c r="U39" s="316"/>
      <c r="V39" s="422"/>
      <c r="W39" s="400"/>
      <c r="X39" s="619"/>
      <c r="Y39">
        <f t="shared" si="27"/>
        <v>0</v>
      </c>
      <c r="Z39">
        <f t="shared" si="3"/>
        <v>0</v>
      </c>
      <c r="AA39" s="1">
        <f t="shared" si="4"/>
        <v>0</v>
      </c>
      <c r="AB39" s="1">
        <f t="shared" si="5"/>
        <v>0</v>
      </c>
      <c r="AC39" s="1">
        <f t="shared" si="6"/>
        <v>0</v>
      </c>
      <c r="AD39" s="1">
        <f t="shared" si="7"/>
        <v>0</v>
      </c>
      <c r="AE39" s="1">
        <f t="shared" si="8"/>
        <v>0</v>
      </c>
      <c r="AF39" s="1">
        <f>IF(C39="Orlov",7.4*Stamoplysninger!$E$20,0)</f>
        <v>0</v>
      </c>
      <c r="AG39" t="str">
        <f>IF(AND(C39="Skema 1",B39="ma"),Arbejdstidsoversigt!$E$77,"")</f>
        <v/>
      </c>
      <c r="AH39" t="str">
        <f>IF(AND(C39="Skema 1",B39="ti"),Arbejdstidsoversigt!$E$78,"")</f>
        <v/>
      </c>
      <c r="AI39">
        <f>IF(AND(C39="Skema 1",B39="on"),Arbejdstidsoversigt!$E$79,"")</f>
        <v>8.11</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8.11</v>
      </c>
      <c r="BB39" s="224">
        <f t="shared" si="9"/>
        <v>194.64</v>
      </c>
      <c r="BC39" s="1">
        <f t="shared" si="29"/>
        <v>0</v>
      </c>
      <c r="BD39" s="1">
        <f t="shared" si="10"/>
        <v>0</v>
      </c>
      <c r="BE39" s="1">
        <f t="shared" si="11"/>
        <v>0</v>
      </c>
      <c r="BF39" s="1">
        <f t="shared" si="12"/>
        <v>0</v>
      </c>
      <c r="BG39" s="207" t="str">
        <f>IF(AND(C39="Skema 1",B39="ma"),Skemaoplysninger!$E$46,"")</f>
        <v/>
      </c>
      <c r="BH39" s="207" t="str">
        <f>IF(AND(C39="Skema 1",B39="ti"),Skemaoplysninger!$G$46,"")</f>
        <v/>
      </c>
      <c r="BI39" s="207">
        <f>IF(AND(C39="Skema 1",B39="on"),Skemaoplysninger!$I$46,"")</f>
        <v>0.11458333333333333</v>
      </c>
      <c r="BJ39" s="207" t="str">
        <f>IF(AND(C39="Skema 1",B39="to"),Skemaoplysninger!$K$46,"")</f>
        <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2.75</v>
      </c>
      <c r="CB39" s="1">
        <f t="shared" si="13"/>
        <v>0</v>
      </c>
      <c r="CC39" s="1">
        <f t="shared" si="14"/>
        <v>0</v>
      </c>
      <c r="CD39" s="207" t="str">
        <f>IF(AND(C39="Skema 1",B39="ma"),Skemaoplysninger!$E$47,"")</f>
        <v/>
      </c>
      <c r="CE39" s="207" t="str">
        <f>IF(AND(C39="Skema 1",B39="ti"),Skemaoplysninger!$G$47,"")</f>
        <v/>
      </c>
      <c r="CF39" s="207">
        <f>IF(AND(C39="Skema 1",B39="on"),Skemaoplysninger!$I$47,"")</f>
        <v>5.2083333333333329E-2</v>
      </c>
      <c r="CG39" s="207" t="str">
        <f>IF(AND(C39="Skema 1",B39="to"),Skemaoplysninger!$K$47,"")</f>
        <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1.25</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5"/>
        <v/>
      </c>
      <c r="DL39" t="str">
        <f t="shared" si="15"/>
        <v/>
      </c>
      <c r="DM39" t="str">
        <f t="shared" si="15"/>
        <v/>
      </c>
      <c r="DN39" t="str">
        <f t="shared" si="35"/>
        <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6"/>
        <v>0</v>
      </c>
      <c r="FZ39" s="634">
        <f t="shared" si="17"/>
        <v>0</v>
      </c>
      <c r="GA39">
        <f t="shared" si="18"/>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9"/>
        <v>0</v>
      </c>
      <c r="GL39">
        <f t="shared" si="20"/>
        <v>0</v>
      </c>
      <c r="GM39">
        <f t="shared" si="21"/>
        <v>0</v>
      </c>
      <c r="GN39" s="713">
        <f t="shared" si="22"/>
        <v>0</v>
      </c>
      <c r="GO39">
        <f t="shared" si="37"/>
        <v>0</v>
      </c>
      <c r="GP39" s="647">
        <f t="shared" si="38"/>
        <v>0</v>
      </c>
    </row>
    <row r="40" spans="1:198">
      <c r="A40" s="239">
        <f t="shared" si="23"/>
        <v>27</v>
      </c>
      <c r="B40" s="125" t="str">
        <f t="shared" si="0"/>
        <v>to</v>
      </c>
      <c r="C40" s="126" t="s">
        <v>203</v>
      </c>
      <c r="D40" s="127" t="str">
        <f t="shared" si="1"/>
        <v/>
      </c>
      <c r="E40" s="1060" t="s">
        <v>769</v>
      </c>
      <c r="F40" s="1061"/>
      <c r="G40" s="1062"/>
      <c r="H40" s="292"/>
      <c r="I40" s="745"/>
      <c r="J40" s="746" t="str">
        <f t="shared" si="2"/>
        <v/>
      </c>
      <c r="K40" s="368"/>
      <c r="L40" s="368"/>
      <c r="M40" s="368"/>
      <c r="N40" s="311">
        <f t="shared" si="24"/>
        <v>9</v>
      </c>
      <c r="O40" s="311">
        <f t="shared" si="25"/>
        <v>3.75</v>
      </c>
      <c r="P40" s="311">
        <f>IF(Stamoplysninger!$H$34="JA",Maj!DG40,CX40)</f>
        <v>1</v>
      </c>
      <c r="Q40" s="311">
        <f t="shared" si="26"/>
        <v>4.25</v>
      </c>
      <c r="R40" s="751"/>
      <c r="S40" s="315"/>
      <c r="T40" s="316"/>
      <c r="U40" s="316"/>
      <c r="V40" s="422"/>
      <c r="W40" s="400"/>
      <c r="X40" s="619"/>
      <c r="Y40">
        <f t="shared" si="27"/>
        <v>0</v>
      </c>
      <c r="Z40">
        <f t="shared" si="3"/>
        <v>0</v>
      </c>
      <c r="AA40" s="1">
        <f t="shared" si="4"/>
        <v>0</v>
      </c>
      <c r="AB40" s="1">
        <f t="shared" si="5"/>
        <v>0</v>
      </c>
      <c r="AC40" s="1">
        <f t="shared" si="6"/>
        <v>0</v>
      </c>
      <c r="AD40" s="1">
        <f t="shared" si="7"/>
        <v>0</v>
      </c>
      <c r="AE40" s="1">
        <f t="shared" si="8"/>
        <v>0</v>
      </c>
      <c r="AF40" s="1">
        <f>IF(C40="Orlov",7.4*Stamoplysninger!$E$20,0)</f>
        <v>0</v>
      </c>
      <c r="AG40" t="str">
        <f>IF(AND(C40="Skema 1",B40="ma"),Arbejdstidsoversigt!$E$77,"")</f>
        <v/>
      </c>
      <c r="AH40" t="str">
        <f>IF(AND(C40="Skema 1",B40="ti"),Arbejdstidsoversigt!$E$78,"")</f>
        <v/>
      </c>
      <c r="AI40" t="str">
        <f>IF(AND(C40="Skema 1",B40="on"),Arbejdstidsoversigt!$E$79,"")</f>
        <v/>
      </c>
      <c r="AJ40">
        <f>IF(AND(C40="Skema 1",B40="to"),Arbejdstidsoversigt!$E$80,"")</f>
        <v>9</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9</v>
      </c>
      <c r="BB40" s="224">
        <f t="shared" si="9"/>
        <v>216</v>
      </c>
      <c r="BC40" s="1">
        <f t="shared" si="29"/>
        <v>0</v>
      </c>
      <c r="BD40" s="1">
        <f t="shared" si="10"/>
        <v>0</v>
      </c>
      <c r="BE40" s="1">
        <f t="shared" si="11"/>
        <v>0</v>
      </c>
      <c r="BF40" s="1">
        <f t="shared" si="12"/>
        <v>0</v>
      </c>
      <c r="BG40" s="207" t="str">
        <f>IF(AND(C40="Skema 1",B40="ma"),Skemaoplysninger!$E$46,"")</f>
        <v/>
      </c>
      <c r="BH40" s="207" t="str">
        <f>IF(AND(C40="Skema 1",B40="ti"),Skemaoplysninger!$G$46,"")</f>
        <v/>
      </c>
      <c r="BI40" s="207" t="str">
        <f>IF(AND(C40="Skema 1",B40="on"),Skemaoplysninger!$I$46,"")</f>
        <v/>
      </c>
      <c r="BJ40" s="207">
        <f>IF(AND(C40="Skema 1",B40="to"),Skemaoplysninger!$K$46,"")</f>
        <v>0.15625</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0"/>
        <v>3.75</v>
      </c>
      <c r="CB40" s="1">
        <f t="shared" si="13"/>
        <v>0</v>
      </c>
      <c r="CC40" s="1">
        <f t="shared" si="14"/>
        <v>0</v>
      </c>
      <c r="CD40" s="207" t="str">
        <f>IF(AND(C40="Skema 1",B40="ma"),Skemaoplysninger!$E$47,"")</f>
        <v/>
      </c>
      <c r="CE40" s="207" t="str">
        <f>IF(AND(C40="Skema 1",B40="ti"),Skemaoplysninger!$G$47,"")</f>
        <v/>
      </c>
      <c r="CF40" s="207" t="str">
        <f>IF(AND(C40="Skema 1",B40="on"),Skemaoplysninger!$I$47,"")</f>
        <v/>
      </c>
      <c r="CG40" s="207">
        <f>IF(AND(C40="Skema 1",B40="to"),Skemaoplysninger!$K$47,"")</f>
        <v>4.1666666666666664E-2</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1</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t="str">
        <f t="shared" si="33"/>
        <v>Lærermøde</v>
      </c>
      <c r="DJ40" t="str">
        <f t="shared" si="34"/>
        <v/>
      </c>
      <c r="DK40" t="str">
        <f t="shared" si="15"/>
        <v/>
      </c>
      <c r="DL40" t="str">
        <f t="shared" si="15"/>
        <v>Lærermøde</v>
      </c>
      <c r="DM40" t="str">
        <f t="shared" si="15"/>
        <v/>
      </c>
      <c r="DN40" t="str">
        <f t="shared" si="35"/>
        <v>Lærermøde</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6"/>
        <v>0</v>
      </c>
      <c r="FZ40" s="634">
        <f t="shared" si="17"/>
        <v>0</v>
      </c>
      <c r="GA40">
        <f t="shared" si="18"/>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9"/>
        <v>0</v>
      </c>
      <c r="GL40">
        <f t="shared" si="20"/>
        <v>0</v>
      </c>
      <c r="GM40">
        <f t="shared" si="21"/>
        <v>0</v>
      </c>
      <c r="GN40" s="713">
        <f t="shared" si="22"/>
        <v>0</v>
      </c>
      <c r="GO40">
        <f t="shared" si="37"/>
        <v>0</v>
      </c>
      <c r="GP40" s="647">
        <f t="shared" si="38"/>
        <v>0</v>
      </c>
    </row>
    <row r="41" spans="1:198">
      <c r="A41" s="239">
        <f t="shared" si="23"/>
        <v>28</v>
      </c>
      <c r="B41" s="125" t="str">
        <f t="shared" si="0"/>
        <v>fr</v>
      </c>
      <c r="C41" s="126" t="s">
        <v>203</v>
      </c>
      <c r="D41" s="127" t="str">
        <f t="shared" si="1"/>
        <v/>
      </c>
      <c r="E41" s="1060"/>
      <c r="F41" s="1061"/>
      <c r="G41" s="1062"/>
      <c r="H41" s="292"/>
      <c r="I41" s="745"/>
      <c r="J41" s="746" t="str">
        <f t="shared" si="2"/>
        <v/>
      </c>
      <c r="K41" s="368"/>
      <c r="L41" s="368"/>
      <c r="M41" s="368"/>
      <c r="N41" s="311">
        <f t="shared" si="24"/>
        <v>7.1</v>
      </c>
      <c r="O41" s="311">
        <f t="shared" si="25"/>
        <v>3.75</v>
      </c>
      <c r="P41" s="311">
        <f>IF(Stamoplysninger!$H$34="JA",Maj!DG41,CX41)</f>
        <v>1</v>
      </c>
      <c r="Q41" s="311">
        <f t="shared" si="26"/>
        <v>2.3499999999999996</v>
      </c>
      <c r="R41" s="751"/>
      <c r="S41" s="315"/>
      <c r="T41" s="316"/>
      <c r="U41" s="316"/>
      <c r="V41" s="422"/>
      <c r="W41" s="400"/>
      <c r="X41" s="619"/>
      <c r="Y41">
        <f t="shared" si="27"/>
        <v>0</v>
      </c>
      <c r="Z41">
        <f t="shared" si="3"/>
        <v>0</v>
      </c>
      <c r="AA41" s="1">
        <f t="shared" si="4"/>
        <v>0</v>
      </c>
      <c r="AB41" s="1">
        <f t="shared" si="5"/>
        <v>0</v>
      </c>
      <c r="AC41" s="1">
        <f t="shared" si="6"/>
        <v>0</v>
      </c>
      <c r="AD41" s="1">
        <f t="shared" si="7"/>
        <v>0</v>
      </c>
      <c r="AE41" s="1">
        <f t="shared" si="8"/>
        <v>0</v>
      </c>
      <c r="AF41" s="1">
        <f>IF(C41="Orlov",7.4*Stamoplysninger!$E$20,0)</f>
        <v>0</v>
      </c>
      <c r="AG41" t="str">
        <f>IF(AND(C41="Skema 1",B41="ma"),Arbejdstidsoversigt!$E$77,"")</f>
        <v/>
      </c>
      <c r="AH41" t="str">
        <f>IF(AND(C41="Skema 1",B41="ti"),Arbejdstidsoversigt!$E$78,"")</f>
        <v/>
      </c>
      <c r="AI41" t="str">
        <f>IF(AND(C41="Skema 1",B41="on"),Arbejdstidsoversigt!$E$79,"")</f>
        <v/>
      </c>
      <c r="AJ41" t="str">
        <f>IF(AND(C41="Skema 1",B41="to"),Arbejdstidsoversigt!$E$80,"")</f>
        <v/>
      </c>
      <c r="AK41">
        <f>IF(AND(C41="Skema 1",B41="fr"),Arbejdstidsoversigt!$E$81,"")</f>
        <v>7.1</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7.1</v>
      </c>
      <c r="BB41" s="224">
        <f t="shared" si="9"/>
        <v>170.39999999999998</v>
      </c>
      <c r="BC41" s="1">
        <f t="shared" si="29"/>
        <v>0</v>
      </c>
      <c r="BD41" s="1">
        <f t="shared" si="10"/>
        <v>0</v>
      </c>
      <c r="BE41" s="1">
        <f t="shared" si="11"/>
        <v>0</v>
      </c>
      <c r="BF41" s="1">
        <f t="shared" si="12"/>
        <v>0</v>
      </c>
      <c r="BG41" s="207" t="str">
        <f>IF(AND(C41="Skema 1",B41="ma"),Skemaoplysninger!$E$46,"")</f>
        <v/>
      </c>
      <c r="BH41" s="207" t="str">
        <f>IF(AND(C41="Skema 1",B41="ti"),Skemaoplysninger!$G$46,"")</f>
        <v/>
      </c>
      <c r="BI41" s="207" t="str">
        <f>IF(AND(C41="Skema 1",B41="on"),Skemaoplysninger!$I$46,"")</f>
        <v/>
      </c>
      <c r="BJ41" s="207" t="str">
        <f>IF(AND(C41="Skema 1",B41="to"),Skemaoplysninger!$K$46,"")</f>
        <v/>
      </c>
      <c r="BK41" s="207">
        <f>IF(AND(C41="Skema 1",B41="fr"),Skemaoplysninger!$M$46,"")</f>
        <v>0.15625</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0"/>
        <v>3.75</v>
      </c>
      <c r="CB41" s="1">
        <f t="shared" si="13"/>
        <v>0</v>
      </c>
      <c r="CC41" s="1">
        <f t="shared" si="14"/>
        <v>0</v>
      </c>
      <c r="CD41" s="207" t="str">
        <f>IF(AND(C41="Skema 1",B41="ma"),Skemaoplysninger!$E$47,"")</f>
        <v/>
      </c>
      <c r="CE41" s="207" t="str">
        <f>IF(AND(C41="Skema 1",B41="ti"),Skemaoplysninger!$G$47,"")</f>
        <v/>
      </c>
      <c r="CF41" s="207" t="str">
        <f>IF(AND(C41="Skema 1",B41="on"),Skemaoplysninger!$I$47,"")</f>
        <v/>
      </c>
      <c r="CG41" s="207" t="str">
        <f>IF(AND(C41="Skema 1",B41="to"),Skemaoplysninger!$K$47,"")</f>
        <v/>
      </c>
      <c r="CH41" s="207">
        <f>IF(AND(C41="Skema 1",B41="fr"),Skemaoplysninger!$M$47,"")</f>
        <v>4.1666666666666664E-2</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1</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5"/>
        <v/>
      </c>
      <c r="DL41" t="str">
        <f t="shared" si="15"/>
        <v/>
      </c>
      <c r="DM41" t="str">
        <f t="shared" si="15"/>
        <v/>
      </c>
      <c r="DN41" t="str">
        <f t="shared" si="35"/>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6"/>
        <v>0</v>
      </c>
      <c r="FZ41" s="634">
        <f t="shared" si="17"/>
        <v>0</v>
      </c>
      <c r="GA41">
        <f t="shared" si="18"/>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9"/>
        <v>0</v>
      </c>
      <c r="GL41">
        <f t="shared" si="20"/>
        <v>0</v>
      </c>
      <c r="GM41">
        <f t="shared" si="21"/>
        <v>0</v>
      </c>
      <c r="GN41" s="713">
        <f t="shared" si="22"/>
        <v>0</v>
      </c>
      <c r="GO41">
        <f t="shared" si="37"/>
        <v>0</v>
      </c>
      <c r="GP41" s="647">
        <f t="shared" si="38"/>
        <v>0</v>
      </c>
    </row>
    <row r="42" spans="1:198">
      <c r="A42" s="239">
        <f>IF(ISNUMBER(A41),A41+1,1)</f>
        <v>29</v>
      </c>
      <c r="B42" s="125" t="str">
        <f t="shared" si="0"/>
        <v>lø</v>
      </c>
      <c r="C42" s="126" t="s">
        <v>118</v>
      </c>
      <c r="D42" s="127" t="str">
        <f t="shared" si="1"/>
        <v/>
      </c>
      <c r="E42" s="1060"/>
      <c r="F42" s="1061"/>
      <c r="G42" s="1062"/>
      <c r="H42" s="292"/>
      <c r="I42" s="746" t="str">
        <f>IF(GO42=1,"X","")</f>
        <v/>
      </c>
      <c r="J42" s="746" t="str">
        <f t="shared" si="2"/>
        <v/>
      </c>
      <c r="K42" s="368"/>
      <c r="L42" s="368"/>
      <c r="M42" s="368"/>
      <c r="N42" s="311">
        <f t="shared" si="24"/>
        <v>0</v>
      </c>
      <c r="O42" s="311">
        <f t="shared" si="25"/>
        <v>0</v>
      </c>
      <c r="P42" s="311">
        <f>IF(Stamoplysninger!$H$34="JA",Maj!DG42,CX42)</f>
        <v>0</v>
      </c>
      <c r="Q42" s="311">
        <f t="shared" si="26"/>
        <v>0</v>
      </c>
      <c r="R42" s="751"/>
      <c r="S42" s="315"/>
      <c r="T42" s="316"/>
      <c r="U42" s="316"/>
      <c r="V42" s="422"/>
      <c r="W42" s="400"/>
      <c r="X42" s="619"/>
      <c r="Y42">
        <f t="shared" si="27"/>
        <v>0</v>
      </c>
      <c r="Z42">
        <f t="shared" si="3"/>
        <v>0</v>
      </c>
      <c r="AA42" s="1">
        <f t="shared" si="4"/>
        <v>0</v>
      </c>
      <c r="AB42" s="1">
        <f t="shared" si="5"/>
        <v>0</v>
      </c>
      <c r="AC42" s="1">
        <f t="shared" si="6"/>
        <v>0</v>
      </c>
      <c r="AD42" s="1">
        <f t="shared" si="7"/>
        <v>0</v>
      </c>
      <c r="AE42" s="1">
        <f t="shared" si="8"/>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0</v>
      </c>
      <c r="BB42" s="224">
        <f t="shared" si="9"/>
        <v>0</v>
      </c>
      <c r="BC42" s="1">
        <f t="shared" si="29"/>
        <v>0</v>
      </c>
      <c r="BD42" s="1">
        <f t="shared" si="10"/>
        <v>0</v>
      </c>
      <c r="BE42" s="1">
        <f t="shared" si="11"/>
        <v>0</v>
      </c>
      <c r="BF42" s="1">
        <f t="shared" si="12"/>
        <v>0</v>
      </c>
      <c r="BG42" s="207" t="str">
        <f>IF(AND(C42="Skema 1",B42="ma"),Skemaoplysninger!$E$46,"")</f>
        <v/>
      </c>
      <c r="BH42" s="207" t="str">
        <f>IF(AND(C42="Skema 1",B42="ti"),Skemaoplysninger!$G$46,"")</f>
        <v/>
      </c>
      <c r="BI42" s="207" t="str">
        <f>IF(AND(C42="Skema 1",B42="on"),Skemaoplysninger!$I$46,"")</f>
        <v/>
      </c>
      <c r="BJ42" s="207" t="str">
        <f>IF(AND(C42="Skema 1",B42="to"),Skemaoplysninger!$K$46,"")</f>
        <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 t="shared" si="30"/>
        <v>0</v>
      </c>
      <c r="CB42" s="1">
        <f t="shared" si="13"/>
        <v>0</v>
      </c>
      <c r="CC42" s="1">
        <f t="shared" si="14"/>
        <v>0</v>
      </c>
      <c r="CD42" s="207" t="str">
        <f>IF(AND(C42="Skema 1",B42="ma"),Skemaoplysninger!$E$47,"")</f>
        <v/>
      </c>
      <c r="CE42" s="207" t="str">
        <f>IF(AND(C42="Skema 1",B42="ti"),Skemaoplysninger!$G$47,"")</f>
        <v/>
      </c>
      <c r="CF42" s="207" t="str">
        <f>IF(AND(C42="Skema 1",B42="on"),Skemaoplysninger!$I$47,"")</f>
        <v/>
      </c>
      <c r="CG42" s="207" t="str">
        <f>IF(AND(C42="Skema 1",B42="to"),Skemaoplysninger!$K$47,"")</f>
        <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f t="shared" si="33"/>
        <v>0</v>
      </c>
      <c r="DJ42">
        <f t="shared" si="34"/>
        <v>0</v>
      </c>
      <c r="DK42" t="str">
        <f t="shared" si="15"/>
        <v/>
      </c>
      <c r="DL42" t="str">
        <f t="shared" si="15"/>
        <v/>
      </c>
      <c r="DM42" t="str">
        <f t="shared" si="15"/>
        <v/>
      </c>
      <c r="DN42" t="str">
        <f t="shared" si="35"/>
        <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6"/>
        <v>0</v>
      </c>
      <c r="FZ42" s="634">
        <f t="shared" si="17"/>
        <v>0</v>
      </c>
      <c r="GA42">
        <f t="shared" si="18"/>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9"/>
        <v>0</v>
      </c>
      <c r="GL42">
        <f t="shared" si="20"/>
        <v>0</v>
      </c>
      <c r="GM42">
        <f t="shared" si="21"/>
        <v>0</v>
      </c>
      <c r="GN42" s="713">
        <f t="shared" si="22"/>
        <v>0</v>
      </c>
      <c r="GO42">
        <f t="shared" si="37"/>
        <v>0</v>
      </c>
      <c r="GP42" s="647">
        <f t="shared" si="38"/>
        <v>0</v>
      </c>
    </row>
    <row r="43" spans="1:198">
      <c r="A43" s="239">
        <f t="shared" si="23"/>
        <v>30</v>
      </c>
      <c r="B43" s="125" t="str">
        <f t="shared" si="0"/>
        <v>sø</v>
      </c>
      <c r="C43" s="126" t="s">
        <v>118</v>
      </c>
      <c r="D43" s="127" t="str">
        <f t="shared" si="1"/>
        <v/>
      </c>
      <c r="E43" s="1060"/>
      <c r="F43" s="1061"/>
      <c r="G43" s="1062"/>
      <c r="H43" s="292"/>
      <c r="I43" s="746" t="str">
        <f>IF(GO43=1,"X","")</f>
        <v/>
      </c>
      <c r="J43" s="746" t="str">
        <f t="shared" si="2"/>
        <v/>
      </c>
      <c r="K43" s="368"/>
      <c r="L43" s="368"/>
      <c r="M43" s="368"/>
      <c r="N43" s="311">
        <f t="shared" si="24"/>
        <v>0</v>
      </c>
      <c r="O43" s="311">
        <f t="shared" si="25"/>
        <v>0</v>
      </c>
      <c r="P43" s="311">
        <f>IF(Stamoplysninger!$H$34="JA",Maj!DG43,CX43)</f>
        <v>0</v>
      </c>
      <c r="Q43" s="311">
        <f t="shared" si="26"/>
        <v>0</v>
      </c>
      <c r="R43" s="751"/>
      <c r="S43" s="315"/>
      <c r="T43" s="316"/>
      <c r="U43" s="428"/>
      <c r="V43" s="422"/>
      <c r="W43" s="400"/>
      <c r="X43" s="619"/>
      <c r="Y43">
        <f t="shared" si="27"/>
        <v>0</v>
      </c>
      <c r="Z43">
        <f t="shared" si="3"/>
        <v>0</v>
      </c>
      <c r="AA43" s="1">
        <f t="shared" si="4"/>
        <v>0</v>
      </c>
      <c r="AB43" s="1">
        <f t="shared" si="5"/>
        <v>0</v>
      </c>
      <c r="AC43" s="1">
        <f t="shared" si="6"/>
        <v>0</v>
      </c>
      <c r="AD43" s="1">
        <f t="shared" si="7"/>
        <v>0</v>
      </c>
      <c r="AE43" s="1">
        <f t="shared" si="8"/>
        <v>0</v>
      </c>
      <c r="AF43" s="1">
        <f>IF(C43="Orlov",7.4*Stamoplysninger!$E$20,0)</f>
        <v>0</v>
      </c>
      <c r="AG43" t="str">
        <f>IF(AND(C43="Skema 1",B43="ma"),Arbejdstidsoversigt!$E$77,"")</f>
        <v/>
      </c>
      <c r="AH43" t="str">
        <f>IF(AND(C43="Skema 1",B43="ti"),Arbejdstidsoversigt!$E$78,"")</f>
        <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0</v>
      </c>
      <c r="BB43" s="224">
        <f t="shared" si="9"/>
        <v>0</v>
      </c>
      <c r="BC43" s="1">
        <f t="shared" si="29"/>
        <v>0</v>
      </c>
      <c r="BD43" s="1">
        <f t="shared" si="10"/>
        <v>0</v>
      </c>
      <c r="BE43" s="1">
        <f t="shared" si="11"/>
        <v>0</v>
      </c>
      <c r="BF43" s="1">
        <f t="shared" si="12"/>
        <v>0</v>
      </c>
      <c r="BG43" s="207" t="str">
        <f>IF(AND(C43="Skema 1",B43="ma"),Skemaoplysninger!$E$46,"")</f>
        <v/>
      </c>
      <c r="BH43" s="207" t="str">
        <f>IF(AND(C43="Skema 1",B43="ti"),Skemaoplysninger!$G$46,"")</f>
        <v/>
      </c>
      <c r="BI43" s="207" t="str">
        <f>IF(AND(C43="Skema 1",B43="on"),Skemaoplysninger!$I$46,"")</f>
        <v/>
      </c>
      <c r="BJ43" s="207" t="str">
        <f>IF(AND(C43="Skema 1",B43="to"),Skemaoplysninger!$K$46,"")</f>
        <v/>
      </c>
      <c r="BK43" s="207" t="str">
        <f>IF(AND(C43="Skema 1",B43="fr"),Skemaoplysninger!$M$46,"")</f>
        <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 t="shared" si="30"/>
        <v>0</v>
      </c>
      <c r="CB43" s="1">
        <f t="shared" si="13"/>
        <v>0</v>
      </c>
      <c r="CC43" s="1">
        <f t="shared" si="14"/>
        <v>0</v>
      </c>
      <c r="CD43" s="207" t="str">
        <f>IF(AND(C43="Skema 1",B43="ma"),Skemaoplysninger!$E$47,"")</f>
        <v/>
      </c>
      <c r="CE43" s="207" t="str">
        <f>IF(AND(C43="Skema 1",B43="ti"),Skemaoplysninger!$G$47,"")</f>
        <v/>
      </c>
      <c r="CF43" s="207" t="str">
        <f>IF(AND(C43="Skema 1",B43="on"),Skemaoplysninger!$I$47,"")</f>
        <v/>
      </c>
      <c r="CG43" s="207" t="str">
        <f>IF(AND(C43="Skema 1",B43="to"),Skemaoplysninger!$K$47,"")</f>
        <v/>
      </c>
      <c r="CH43" s="207" t="str">
        <f>IF(AND(C43="Skema 1",B43="fr"),Skemaoplysninger!$M$47,"")</f>
        <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f t="shared" si="33"/>
        <v>0</v>
      </c>
      <c r="DJ43">
        <f t="shared" si="34"/>
        <v>0</v>
      </c>
      <c r="DK43" t="str">
        <f t="shared" si="15"/>
        <v/>
      </c>
      <c r="DL43" t="str">
        <f t="shared" si="15"/>
        <v/>
      </c>
      <c r="DM43" t="str">
        <f t="shared" si="15"/>
        <v/>
      </c>
      <c r="DN43" t="str">
        <f t="shared" si="35"/>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6"/>
        <v>0</v>
      </c>
      <c r="FZ43" s="634">
        <f t="shared" si="17"/>
        <v>0</v>
      </c>
      <c r="GA43">
        <f t="shared" si="18"/>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9"/>
        <v>0</v>
      </c>
      <c r="GL43">
        <f t="shared" si="20"/>
        <v>0</v>
      </c>
      <c r="GM43">
        <f t="shared" si="21"/>
        <v>0</v>
      </c>
      <c r="GN43" s="713">
        <f t="shared" si="22"/>
        <v>0</v>
      </c>
      <c r="GO43">
        <f t="shared" si="37"/>
        <v>0</v>
      </c>
      <c r="GP43" s="647">
        <f t="shared" si="38"/>
        <v>0</v>
      </c>
    </row>
    <row r="44" spans="1:198" ht="17" thickBot="1">
      <c r="A44" s="239">
        <f>IF(ISNUMBER(A43),A43+1,1)</f>
        <v>31</v>
      </c>
      <c r="B44" s="125" t="str">
        <f t="shared" si="0"/>
        <v>ma</v>
      </c>
      <c r="C44" s="126" t="s">
        <v>203</v>
      </c>
      <c r="D44" s="127">
        <f t="shared" si="1"/>
        <v>22.428571428571427</v>
      </c>
      <c r="E44" s="1123"/>
      <c r="F44" s="1124"/>
      <c r="G44" s="1125"/>
      <c r="H44" s="291"/>
      <c r="I44" s="745"/>
      <c r="J44" s="746" t="str">
        <f t="shared" si="2"/>
        <v/>
      </c>
      <c r="K44" s="368"/>
      <c r="L44" s="368"/>
      <c r="M44" s="368"/>
      <c r="N44" s="311">
        <f t="shared" si="24"/>
        <v>8.11</v>
      </c>
      <c r="O44" s="311">
        <f t="shared" si="25"/>
        <v>4.5</v>
      </c>
      <c r="P44" s="311">
        <f>IF(Stamoplysninger!$H$34="JA",Maj!DG44,CX44)</f>
        <v>1.9166666666666665</v>
      </c>
      <c r="Q44" s="311">
        <f t="shared" si="26"/>
        <v>1.6933333333333329</v>
      </c>
      <c r="R44" s="751"/>
      <c r="S44" s="315"/>
      <c r="T44" s="316"/>
      <c r="U44" s="211"/>
      <c r="V44" s="422"/>
      <c r="W44" s="400"/>
      <c r="X44" s="620"/>
      <c r="Y44">
        <f t="shared" si="27"/>
        <v>0</v>
      </c>
      <c r="Z44">
        <f t="shared" si="3"/>
        <v>0</v>
      </c>
      <c r="AA44" s="1">
        <f t="shared" si="4"/>
        <v>0</v>
      </c>
      <c r="AB44" s="1">
        <f t="shared" si="5"/>
        <v>0</v>
      </c>
      <c r="AC44" s="1">
        <f t="shared" si="6"/>
        <v>0</v>
      </c>
      <c r="AD44" s="1">
        <f t="shared" si="7"/>
        <v>0</v>
      </c>
      <c r="AE44" s="1">
        <f t="shared" si="8"/>
        <v>0</v>
      </c>
      <c r="AF44" s="1">
        <f>IF(C44="Orlov",7.4*Stamoplysninger!$E$20,0)</f>
        <v>0</v>
      </c>
      <c r="AG44">
        <f>IF(AND(C44="Skema 1",B44="ma"),Arbejdstidsoversigt!$E$77,"")</f>
        <v>8.11</v>
      </c>
      <c r="AH44" t="str">
        <f>IF(AND(C44="Skema 1",B44="ti"),Arbejdstidsoversigt!$E$78,"")</f>
        <v/>
      </c>
      <c r="AI44" t="str">
        <f>IF(AND(C44="Skema 1",B44="on"),Arbejdstidsoversigt!$E$79,"")</f>
        <v/>
      </c>
      <c r="AJ44" t="str">
        <f>IF(AND(C44="Skema 1",B44="to"),Arbejdstidsoversigt!$E$80,"")</f>
        <v/>
      </c>
      <c r="AK44" t="str">
        <f>IF(AND(C44="Skema 1",B44="fr"),Arbejdstidsoversigt!$E$81,"")</f>
        <v/>
      </c>
      <c r="AL44" t="str">
        <f>IF(AND(C44="Skema 2",B44="ma"),Arbejdstidsoversigt!$E$86,"")</f>
        <v/>
      </c>
      <c r="AM44" t="str">
        <f>IF(AND(C44="Skema 2",B44="ti"),Arbejdstidsoversigt!$E$87,"")</f>
        <v/>
      </c>
      <c r="AN44" t="str">
        <f>IF(AND(C44="Skema 2",B44="on"),Arbejdstidsoversigt!$E$88,"")</f>
        <v/>
      </c>
      <c r="AO44" t="str">
        <f>IF(AND(C44="Skema 2",B44="to"),Arbejdstidsoversigt!$E$89,"")</f>
        <v/>
      </c>
      <c r="AP44" t="str">
        <f>IF(AND(C44="Skema 2",B44="fr"),Arbejdstidsoversigt!$E$90,"")</f>
        <v/>
      </c>
      <c r="AQ44" t="str">
        <f>IF(AND(C44="Skema 3",B44="ma"),Arbejdstidsoversigt!$E$95,"")</f>
        <v/>
      </c>
      <c r="AR44" t="str">
        <f>IF(AND(C44="Skema 3",B44="ti"),Arbejdstidsoversigt!$E$96,"")</f>
        <v/>
      </c>
      <c r="AS44" t="str">
        <f>IF(AND(C44="Skema 3",B44="on"),Arbejdstidsoversigt!$E$97,"")</f>
        <v/>
      </c>
      <c r="AT44" t="str">
        <f>IF(AND(C44="Skema 3",B44="to"),Arbejdstidsoversigt!$E$98,"")</f>
        <v/>
      </c>
      <c r="AU44" t="str">
        <f>IF(AND(C44="Skema 3",B44="fr"),Arbejdstidsoversigt!$E$99,"")</f>
        <v/>
      </c>
      <c r="AV44" t="str">
        <f>IF(AND(C44="Skema 4",B44="ma"),Arbejdstidsoversigt!$E$104,"")</f>
        <v/>
      </c>
      <c r="AW44" t="str">
        <f>IF(AND(C44="Skema 4",B44="ti"),Arbejdstidsoversigt!$E$105,"")</f>
        <v/>
      </c>
      <c r="AX44" t="str">
        <f>IF(AND(C44="Skema 4",B44="on"),Arbejdstidsoversigt!$E$106,"")</f>
        <v/>
      </c>
      <c r="AY44" t="str">
        <f>IF(AND(C44="Skema 4",B44="to"),Arbejdstidsoversigt!$E$107,"")</f>
        <v/>
      </c>
      <c r="AZ44" t="str">
        <f>IF(AND(C44="Skema 4",B44="fr"),Arbejdstidsoversigt!$E$108,"")</f>
        <v/>
      </c>
      <c r="BA44" s="1">
        <f t="shared" si="28"/>
        <v>8.11</v>
      </c>
      <c r="BB44" s="224">
        <f t="shared" si="9"/>
        <v>194.64</v>
      </c>
      <c r="BC44" s="1">
        <f t="shared" si="29"/>
        <v>0</v>
      </c>
      <c r="BD44" s="1">
        <f t="shared" si="10"/>
        <v>0</v>
      </c>
      <c r="BE44" s="1">
        <f t="shared" si="11"/>
        <v>0</v>
      </c>
      <c r="BF44" s="1">
        <f t="shared" si="12"/>
        <v>0</v>
      </c>
      <c r="BG44" s="207">
        <f>IF(AND(C44="Skema 1",B44="ma"),Skemaoplysninger!$E$46,"")</f>
        <v>0.1875</v>
      </c>
      <c r="BH44" s="207" t="str">
        <f>IF(AND(C44="Skema 1",B44="ti"),Skemaoplysninger!$G$46,"")</f>
        <v/>
      </c>
      <c r="BI44" s="207" t="str">
        <f>IF(AND(C44="Skema 1",B44="on"),Skemaoplysninger!$I$46,"")</f>
        <v/>
      </c>
      <c r="BJ44" s="207" t="str">
        <f>IF(AND(C44="Skema 1",B44="to"),Skemaoplysninger!$K$46,"")</f>
        <v/>
      </c>
      <c r="BK44" s="207" t="str">
        <f>IF(AND(C44="Skema 1",B44="fr"),Skemaoplysninger!$M$46,"")</f>
        <v/>
      </c>
      <c r="BL44" s="207" t="str">
        <f>IF(AND(C44="Skema 2",B44="ma"),Skemaoplysninger!$S$46,"")</f>
        <v/>
      </c>
      <c r="BM44" s="207" t="str">
        <f>IF(AND(C44="Skema 2",B44="ti"),Skemaoplysninger!$U$46,"")</f>
        <v/>
      </c>
      <c r="BN44" s="207" t="str">
        <f>IF(AND(C44="Skema 2",B44="on"),Skemaoplysninger!$W$46,"")</f>
        <v/>
      </c>
      <c r="BO44" s="207" t="str">
        <f>IF(AND(C44="Skema 2",B44="to"),Skemaoplysninger!$Y$46,"")</f>
        <v/>
      </c>
      <c r="BP44" s="207" t="str">
        <f>IF(AND(C44="Skema 2",B44="fr"),Skemaoplysninger!$AA$46,"")</f>
        <v/>
      </c>
      <c r="BQ44" s="207" t="str">
        <f>IF(AND(C44="Skema 3",B44="ma"),Skemaoplysninger!$AG$46,"")</f>
        <v/>
      </c>
      <c r="BR44" s="207" t="str">
        <f>IF(AND(C44="Skema 3",B44="ti"),Skemaoplysninger!$AI$46,"")</f>
        <v/>
      </c>
      <c r="BS44" s="207" t="str">
        <f>IF(AND(C44="Skema 3",B44="on"),Skemaoplysninger!$AK$46,"")</f>
        <v/>
      </c>
      <c r="BT44" s="207" t="str">
        <f>IF(AND(C44="Skema 3",B44="to"),Skemaoplysninger!$AM$46,"")</f>
        <v/>
      </c>
      <c r="BU44" s="207" t="str">
        <f>IF(AND(C44="Skema 3",B44="fr"),Skemaoplysninger!$AO$46,"")</f>
        <v/>
      </c>
      <c r="BV44" s="207" t="str">
        <f>IF(AND(C44="Skema 4",B44="ma"),Skemaoplysninger!$AU$46,"")</f>
        <v/>
      </c>
      <c r="BW44" s="207" t="str">
        <f>IF(AND(C44="Skema 4",B44="ti"),Skemaoplysninger!$AW$46,"")</f>
        <v/>
      </c>
      <c r="BX44" s="207" t="str">
        <f>IF(AND(C44="Skema 4",B44="on"),Skemaoplysninger!$AY$46,"")</f>
        <v/>
      </c>
      <c r="BY44" s="207" t="str">
        <f>IF(AND(C44="Skema 4",B44="to"),Skemaoplysninger!$BA$46,"")</f>
        <v/>
      </c>
      <c r="BZ44" s="207" t="str">
        <f>IF(AND(C44="Skema 4",B44="fr"),Skemaoplysninger!$BC$46,"")</f>
        <v/>
      </c>
      <c r="CA44" s="1">
        <f t="shared" si="30"/>
        <v>4.5</v>
      </c>
      <c r="CB44" s="1">
        <f t="shared" si="13"/>
        <v>0</v>
      </c>
      <c r="CC44" s="1">
        <f t="shared" si="14"/>
        <v>0</v>
      </c>
      <c r="CD44" s="207">
        <f>IF(AND(C44="Skema 1",B44="ma"),Skemaoplysninger!$E$47,"")</f>
        <v>7.9861111111111105E-2</v>
      </c>
      <c r="CE44" s="207" t="str">
        <f>IF(AND(C44="Skema 1",B44="ti"),Skemaoplysninger!$G$47,"")</f>
        <v/>
      </c>
      <c r="CF44" s="207" t="str">
        <f>IF(AND(C44="Skema 1",B44="on"),Skemaoplysninger!$I$47,"")</f>
        <v/>
      </c>
      <c r="CG44" s="207" t="str">
        <f>IF(AND(C44="Skema 1",B44="to"),Skemaoplysninger!$K$47,"")</f>
        <v/>
      </c>
      <c r="CH44" s="207" t="str">
        <f>IF(AND(C44="Skema 1",B44="fr"),Skemaoplysninger!$M$47,"")</f>
        <v/>
      </c>
      <c r="CI44" s="207" t="str">
        <f>IF(AND(C44="Skema 2",B44="ma"),Skemaoplysninger!$S$47,"")</f>
        <v/>
      </c>
      <c r="CJ44" s="207" t="str">
        <f>IF(AND(C44="Skema 2",B44="ti"),Skemaoplysninger!$U$47,"")</f>
        <v/>
      </c>
      <c r="CK44" s="207" t="str">
        <f>IF(AND(C44="Skema 2",B44="on"),Skemaoplysninger!$W$47,"")</f>
        <v/>
      </c>
      <c r="CL44" s="207" t="str">
        <f>IF(AND(C44="Skema 2",B44="to"),Skemaoplysninger!$Y$47,"")</f>
        <v/>
      </c>
      <c r="CM44" s="207" t="str">
        <f>IF(AND(C44="Skema 2",B44="fr"),Skemaoplysninger!$AA$47,"")</f>
        <v/>
      </c>
      <c r="CN44" s="207" t="str">
        <f>IF(AND(C44="Skema 3",B44="ma"),Skemaoplysninger!$AG$47,"")</f>
        <v/>
      </c>
      <c r="CO44" s="207" t="str">
        <f>IF(AND(C44="Skema 3",B44="ti"),Skemaoplysninger!$AI$47,"")</f>
        <v/>
      </c>
      <c r="CP44" s="207" t="str">
        <f>IF(AND(C44="Skema 3",B44="on"),Skemaoplysninger!$AK$47,"")</f>
        <v/>
      </c>
      <c r="CQ44" s="207" t="str">
        <f>IF(AND(C44="Skema 3",B44="to"),Skemaoplysninger!$AM$47,"")</f>
        <v/>
      </c>
      <c r="CR44" s="207" t="str">
        <f>IF(AND(C44="Skema 3",B44="fr"),Skemaoplysninger!$AO$47,"")</f>
        <v/>
      </c>
      <c r="CS44" s="207" t="str">
        <f>IF(AND(C44="Skema 4",B44="ma"),Skemaoplysninger!$AU$47,"")</f>
        <v/>
      </c>
      <c r="CT44" s="207" t="str">
        <f>IF(AND(C44="Skema 4",B44="ti"),Skemaoplysninger!$AW$47,"")</f>
        <v/>
      </c>
      <c r="CU44" s="207" t="str">
        <f>IF(AND(C44="Skema 4",B44="on"),Skemaoplysninger!$AY$47,"")</f>
        <v/>
      </c>
      <c r="CV44" s="207" t="str">
        <f>IF(AND(C44="Skema 4",B44="to"),Skemaoplysninger!$BA$47,"")</f>
        <v/>
      </c>
      <c r="CW44" s="207" t="str">
        <f>IF(AND(C44="Skema 4",B44="fr"),Skemaoplysninger!$BC$47,"")</f>
        <v/>
      </c>
      <c r="CX44" s="243">
        <f>IF(Stamoplysninger!$H$34="NEJ",SUM(CD44:CW44)*24+CB44+CC44,0)</f>
        <v>1.9166666666666665</v>
      </c>
      <c r="CY44" s="243">
        <f>IF(C44="Skema 1",Stamoplysninger!$H$35/200,0)</f>
        <v>0</v>
      </c>
      <c r="CZ44" s="243">
        <f>IF(C44="Skema 2",Stamoplysninger!$H$35/200,0)</f>
        <v>0</v>
      </c>
      <c r="DA44" s="243">
        <f>IF(C44="Skema 3",Stamoplysninger!$H$35/200,0)</f>
        <v>0</v>
      </c>
      <c r="DB44" s="243">
        <f>IF(C44="Skema 4",Stamoplysninger!$H$35/200,0)</f>
        <v>0</v>
      </c>
      <c r="DC44" s="243">
        <f>IF(C44="fagdag",Stamoplysninger!$H$35/200,0)</f>
        <v>0</v>
      </c>
      <c r="DD44" s="243">
        <f>IF(C44="emnedag",Stamoplysninger!$H$35/200,0)</f>
        <v>0</v>
      </c>
      <c r="DE44" s="243">
        <f>IF(C44="lejrskole",Stamoplysninger!$H$35/200,0)</f>
        <v>0</v>
      </c>
      <c r="DF44" s="243">
        <f>IF(C44="ekskursion",Stamoplysninger!$H$35/200,0)</f>
        <v>0</v>
      </c>
      <c r="DG44" s="243">
        <f t="shared" si="31"/>
        <v>0</v>
      </c>
      <c r="DH44" t="str">
        <f t="shared" si="32"/>
        <v/>
      </c>
      <c r="DI44">
        <f t="shared" si="33"/>
        <v>0</v>
      </c>
      <c r="DJ44">
        <f t="shared" si="34"/>
        <v>0</v>
      </c>
      <c r="DK44" t="str">
        <f>IF(DH44=0,"",DH44)</f>
        <v/>
      </c>
      <c r="DL44" t="str">
        <f>IF(DI44=0,"",DI44)</f>
        <v/>
      </c>
      <c r="DM44" t="str">
        <f>IF(DJ44=0,"",DJ44)</f>
        <v/>
      </c>
      <c r="DN44" t="str">
        <f t="shared" si="35"/>
        <v/>
      </c>
      <c r="DO44" s="628">
        <f>IF(AND(Stamoplysninger!$B$27="Ulempetillæg udbetales med 25% af nettotimelønnen.",H44&gt;0),(R44/4),0)</f>
        <v>0</v>
      </c>
      <c r="DP44">
        <f>IF(AND(AND(Stamoplysninger!$B$27="Ulempetillæg udbetales med 25% af nettotimelønnen.",I44="X",J44="")),K44/4,0)</f>
        <v>0</v>
      </c>
      <c r="DQ44">
        <f>IF(AND(Stamoplysninger!$B$27="Ulempetillæg udbetales med 25% af nettotimelønnen.",U44="X"),(X44/4),0)</f>
        <v>0</v>
      </c>
      <c r="DR44">
        <f>IF(AND(AND(AND(Stamoplysninger!$B$27="Ulempetillæg udbetales med 25% af nettotimelønnen.",S44="X",I44="X",J44=""))),V44/4,0)</f>
        <v>0</v>
      </c>
      <c r="DS44" s="647">
        <f>IF(AND(AND(Stamoplysninger!$B$27="Ulempetillæg udbetales med 25% af nettotimelønnen.",C44="ikke relevant",H44&gt;"")),(R44)/4,0)</f>
        <v>0</v>
      </c>
      <c r="DT44" s="647">
        <f>IF(AND(AND(Stamoplysninger!$B$27="Ulempetillæg udbetales med 25% af nettotimelønnen.",I44="X",C44="Ikke relevant")),K44/4,0)</f>
        <v>0</v>
      </c>
      <c r="DU44" s="647">
        <f>IF(AND(AND(Stamoplysninger!$B$27="Ulempetillæg udbetales med 25% af nettotimelønnen.",C44="ikke relevant",U44="X")),(X44/4),0)</f>
        <v>0</v>
      </c>
      <c r="DV44" s="648">
        <f>IF(AND(AND(AND(Stamoplysninger!$B$27="Ulempetillæg udbetales med 25% af nettotimelønnen.",I44="X",C44="Ikke relevant",U44="X"))),X44/4,0)</f>
        <v>0</v>
      </c>
      <c r="DW44" s="628">
        <f>IF(AND(Stamoplysninger!$B$27="Ulempetillæg afspadseres med 25%(Kræver en aftale imellem ledelsen og den ansatte)",H44&gt;0),R44/4,0)</f>
        <v>0</v>
      </c>
      <c r="DX44">
        <f>IF(AND(AND(Stamoplysninger!$B$27="Ulempetillæg afspadseres med 25%(Kræver en aftale imellem ledelsen og den ansatte)",I44="X",J44="")),K44/4,0)</f>
        <v>0</v>
      </c>
      <c r="DY44">
        <f>IF(AND(Stamoplysninger!$B$27="Ulempetillæg afspadseres med 25%(Kræver en aftale imellem ledelsen og den ansatte)",U44="X"),X44/4,0)</f>
        <v>0</v>
      </c>
      <c r="DZ44">
        <f>IF(AND(AND(AND(Stamoplysninger!$B$27="Ulempetillæg afspadseres med 25%(Kræver en aftale imellem ledelsen og den ansatte)",I44="X",S44="X",J44=""))),V44/4,0)</f>
        <v>0</v>
      </c>
      <c r="EA44" s="647">
        <f>IF(AND(Stamoplysninger!$B$27="Ulempetillæg afspadseres med 25%(Kræver en aftale imellem ledelsen og den ansatte)",C44="ikke relevant"),(R44)/4,0)</f>
        <v>0</v>
      </c>
      <c r="EB44" s="647">
        <f>IF(AND(AND(Stamoplysninger!$B$27="Ulempetillæg afspadseres med 25%(Kræver en aftale imellem ledelsen og den ansatte)",I44="X",C44="Ikke relevant")),K44/4,0)</f>
        <v>0</v>
      </c>
      <c r="EC44" s="647">
        <f>IF(AND(AND(Stamoplysninger!$B$27="Ulempetillæg afspadseres med 25%(Kræver en aftale imellem ledelsen og den ansatte)",U44="X",C44="Ikke relevant")),X44/4,0)</f>
        <v>0</v>
      </c>
      <c r="ED44" s="647">
        <f>IF(AND(AND(AND(Stamoplysninger!$B$27="Ulempetillæg afspadseres med 25%(Kræver en aftale imellem ledelsen og den ansatte)",I44="X",C44="Ikke relevant",S44="X"))),V44/4,0)</f>
        <v>0</v>
      </c>
      <c r="EE44" s="277">
        <f>IF(AND(AND(Stamoplysninger!$B$31="Weekendtimer og weekendtillæg afspadseres.",I44="X",J44="")),K44*1.5,0)</f>
        <v>0</v>
      </c>
      <c r="EF44" s="245">
        <f>IF(AND(AND(AND(Stamoplysninger!$B$31="Weekendtimer og weekendtillæg afspadseres.",I44="X",S44="X",J44=""))),V44*1.5,0)</f>
        <v>0</v>
      </c>
      <c r="EG44" s="650">
        <f>IF(AND(AND(Stamoplysninger!$B$31="Weekendtimer og weekendtillæg afspadseres.",I44="X",C44="ikke relevant")),K44*1.5,0)</f>
        <v>0</v>
      </c>
      <c r="EH44" s="651">
        <f>IF(AND(AND(AND(Stamoplysninger!$B$31="Weekendtimer og weekendtillæg afspadseres.",I44="X",C44="ikke relevant",S44="X"))),(V44*1.5),0)</f>
        <v>0</v>
      </c>
      <c r="EI44" s="277">
        <f>IF(AND(AND(Stamoplysninger!$B$31="Weekendtimer og weekendtillæg afspadseres.",I44="X",J44="X")),K44,0)</f>
        <v>0</v>
      </c>
      <c r="EJ44" s="718">
        <f>IF(AND(AND(AND(Stamoplysninger!$B$31="Weekendtimer og weekendtillæg afspadseres.",I44="X",S44="X",J44="X"))),V44,0)</f>
        <v>0</v>
      </c>
      <c r="EK44" s="650">
        <f>IF(AND(AND(Stamoplysninger!$B$31="Weekendtimer og weekendtillæg afspadseres.",M44="X",G44="ikke relevant")),O44*1.5,0)</f>
        <v>0</v>
      </c>
      <c r="EL44" s="651">
        <f>IF(AND(AND(AND(Stamoplysninger!$B$31="Weekendtimer og weekendtillæg afspadseres.",M44="X",G44="ikke relevant",W44="X"))),(Z44*1.5),0)</f>
        <v>0</v>
      </c>
      <c r="EM44" s="277">
        <f>IF(AND(AND(Stamoplysninger!$B$31="Weekendtimer og weekendtillæg udbetales.",I44="X",J44="")),K44*1.5,0)</f>
        <v>0</v>
      </c>
      <c r="EN44" s="245">
        <f>IF(AND(AND(AND(Stamoplysninger!$B$31="Weekendtimer og weekendtillæg udbetales.",I44="X",S44="X",J44=""))),V44*1.5,0)</f>
        <v>0</v>
      </c>
      <c r="EO44" s="650">
        <f>IF(AND(AND(Stamoplysninger!$B$31="Weekendtimer og weekendtillæg udbetales.",I44="X",C44="ikke relevant")),K44*1.5,0)</f>
        <v>0</v>
      </c>
      <c r="EP44" s="651">
        <f>IF(AND(AND(AND(Stamoplysninger!$B$31="Weekendtimer og weekendtillæg udbetales.",I44="X",C44="ikke relevant",S44="X"))),(V44*1.5),0)</f>
        <v>0</v>
      </c>
      <c r="EQ44" s="277">
        <f>IF(AND(AND(Stamoplysninger!$B$31="Weekendtimer og weekendtillæg udbetales.",I44="X",J44="X")),K44,0)</f>
        <v>0</v>
      </c>
      <c r="ER44" s="718">
        <f>IF(AND(AND(AND(Stamoplysninger!$B$31="Weekendtimer og weekendtillæg udbetales.",I44="X",S44="X",J44="x"))),V44,0)</f>
        <v>0</v>
      </c>
      <c r="ES44" s="650">
        <f>IF(AND(AND(Stamoplysninger!$B$31="Weekendtimer og weekendtillæg udbetales.",M44="X",G44="ikke relevant")),O44*1.5,0)</f>
        <v>0</v>
      </c>
      <c r="ET44" s="651">
        <f>IF(AND(AND(AND(Stamoplysninger!$B$31="Weekendtimer og weekendtillæg udbetales.",M44="X",G44="ikke relevant",W44="X"))),(Z44*1.5),0)</f>
        <v>0</v>
      </c>
      <c r="EU44" s="277">
        <f>IF(AND(AND(Stamoplysninger!$B$31="Der er indgået lokalaftale omkring weekendtimer.(Kræver aftale med TR/FSL) Weekendtillæg afspadseres.",I44="X",J44="")),K44*0.5,0)</f>
        <v>0</v>
      </c>
      <c r="EV44" s="245">
        <f>IF(AND(AND(AND(Stamoplysninger!$B$31="Der er indgået lokalaftale omkring weekendtimer.(Kræver aftale med TR/FSL) Weekendtillæg afspadseres.",I44="X",S44="X",J44=""))),V44*0.5,0)</f>
        <v>0</v>
      </c>
      <c r="EW44" s="650">
        <f>IF(AND(AND(Stamoplysninger!$B$31="Der er indgået lokalaftale omkring weekendtimer.(Kræver aftale med TR/FSL) Weekendtillæg afspadseres.",I44="X",C44="ikke relevant")),K44*0.5,0)</f>
        <v>0</v>
      </c>
      <c r="EX44" s="651">
        <f>IF(AND(AND(AND(Stamoplysninger!$B$31="Der er indgået lokalaftale omkring weekendtimer.(Kræver aftale med TR/FSL) Weekendtillæg afspadseres.",I44="X",C44="ikke relevant",S44="X"))),(V44*0.5),0)</f>
        <v>0</v>
      </c>
      <c r="EY44" s="277">
        <f>IF(AND(AND(Stamoplysninger!$B$31="Der er indgået lokalaftale omkring weekendtimer(Kræver aftale med TR/FSL). Weekendtillæg udbetales.",I44="X",J44="")),K44*0.5,0)</f>
        <v>0</v>
      </c>
      <c r="EZ44" s="245">
        <f>IF(AND(AND(AND(Stamoplysninger!$B$31="Der er indgået lokalaftale omkring weekendtimer(Kræver aftale med TR/FSL). Weekendtillæg udbetales.",I44="X",S44="X",J44=""))),V44*0.5,0)</f>
        <v>0</v>
      </c>
      <c r="FA44" s="650">
        <f>IF(AND(AND(Stamoplysninger!$B$31="Der er indgået lokalaftale omkring weekendtimer(Kræver aftale med TR/FSL). Weekendtillæg udbetales.",I44="X",C44="ikke relevant")),K44*0.5,0)</f>
        <v>0</v>
      </c>
      <c r="FB44" s="651">
        <f>IF(AND(AND(AND(Stamoplysninger!$B$31="Der er indgået lokalaftale omkring weekendtimer(Kræver aftale med TR/FSL). Weekendtillæg udbetales.",I44="X",C44="ikke relevant",S44="X"))),(V44*0.5),0)</f>
        <v>0</v>
      </c>
      <c r="FC44" s="277">
        <f>IF(AND(Stamoplysninger!$B$31="Der er indgået lokalaftale omkring weekendtillæg(Kræver aftale med TR/FSL). Weekendtimerne afspadseres.",I44="X"),K44,0)</f>
        <v>0</v>
      </c>
      <c r="FD44" s="245">
        <f>IF(AND(AND(Stamoplysninger!$B$31="Der er indgået lokalaftale omkring weekendtillæg(Kræver aftale med TR/FSL). Weekendtimerne afspadseres.",I44="X",S44="X")),V44,0)</f>
        <v>0</v>
      </c>
      <c r="FE44" s="650">
        <f>IF(AND(AND(Stamoplysninger!$B$31="Der er indgået lokalaftale omkring weekendtillæg(Kræver aftale med TR/FSL). Weekendtimerne afspadseres..",I44="X",C44="ikke relevant")),K44,0)</f>
        <v>0</v>
      </c>
      <c r="FF44" s="651">
        <f>IF(AND(AND(AND(Stamoplysninger!$B$31="Der er indgået lokalaftale omkring weekendtillæg(Kræver aftale med TR/FSL). Weekendtimerne afspadseres.",I44="X",C44="ikke relevant",S44="X"))),(V44),0)</f>
        <v>0</v>
      </c>
      <c r="FG44" s="277">
        <f>IF(AND(Stamoplysninger!$B$31="Der er indgået lokalaftale omkring weekendtillæg(Kræver aftale med TR/FSL). Weekendtimerne udbetales.",I44="X"),K44,0)</f>
        <v>0</v>
      </c>
      <c r="FH44" s="245">
        <f>IF(AND(AND(Stamoplysninger!$B$31="Der er indgået lokalaftale omkring weekendtillæg(Kræver aftale med TR/FSL). Weekendtimerne udbetales.",I44="X",S44="X")),V44,0)</f>
        <v>0</v>
      </c>
      <c r="FI44" s="650">
        <f>IF(AND(AND(Stamoplysninger!$B$31="Der er indgået lokalaftale omkring weekendtillæg(Kræver aftale med TR/FSL). Weekendtimerne udbetales.",I44="X",C44="ikke relevant")),K44,0)</f>
        <v>0</v>
      </c>
      <c r="FJ44" s="651">
        <f>IF(AND(AND(AND(Stamoplysninger!$B$31="Der er indgået lokalaftale omkring weekendtillæg(Kræver aftale med TR/FSL). Weekendtimerne udbetales.",I44="X",C44="ikke relevant",S44="X"))),(V44),0)</f>
        <v>0</v>
      </c>
      <c r="FK44" s="277">
        <f>IF(AND(AND(Stamoplysninger!$B$31="Weekendtimer og weekendtillæg afspadseres.",I44="X",J44="")),K44,0)</f>
        <v>0</v>
      </c>
      <c r="FL44" s="245">
        <f>IF(AND(Stamoplysninger!$B$31="Weekendtimer og weekendtillæg afspadseres.",Y44="X"),(AA44+AL44)/2,0)</f>
        <v>0</v>
      </c>
      <c r="FM44" s="650">
        <f>IF(AND(AND(Stamoplysninger!$B$31="Weekendtimer og weekendtillæg afspadseres.",I44="X",C44="ikke relevant")),K44,0)</f>
        <v>0</v>
      </c>
      <c r="FN44" s="651">
        <f>IF(AND(AND(Stamoplysninger!$B$31="Weekendtimer og weekendtillæg afspadseres.",Y44="X",S44="ikke relevant")),(AA44+AL44)/2,0)</f>
        <v>0</v>
      </c>
      <c r="FO44" s="277">
        <f>IF(AND(AND(Stamoplysninger!$B$31="Weekendtimer og weekendtillæg afspadseres.",I44="X",J44="X")),K44,0)</f>
        <v>0</v>
      </c>
      <c r="FP44" s="245">
        <f>IF(AND(Stamoplysninger!$B$31="Weekendtimer og weekendtillæg afspadseres.",AC44="X"),(AE44+AP44)/2,0)</f>
        <v>0</v>
      </c>
      <c r="FQ44" s="650">
        <f>IF(AND(AND(Stamoplysninger!$B$31="Weekendtimer og weekendtillæg afspadseres.",M44="X",G44="ikke relevant")),O44,0)</f>
        <v>0</v>
      </c>
      <c r="FR44" s="651">
        <f>IF(AND(AND(Stamoplysninger!$B$31="Weekendtimer og weekendtillæg afspadseres.",AC44="X",W44="ikke relevant")),(AE44+AP44)/2,0)</f>
        <v>0</v>
      </c>
      <c r="FS44" s="277">
        <f>IF(AND(Stamoplysninger!$B$31="Der er indgået lokalaftale omkring weekendtillæg(Kræver aftale med TR/FSL). Weekendtimerne afspadseres.",I44="X"),K44,0)</f>
        <v>0</v>
      </c>
      <c r="FT44" s="650">
        <f>IF(AND(AND(Stamoplysninger!$B$31="Der er indgået lokalaftale omkring weekendtillæg(Kræver aftale med TR/FSL). Weekendtimerne afspadseres.",I44="X",C44="ikke relevant")),K44,0)</f>
        <v>0</v>
      </c>
      <c r="FU44" s="277">
        <f>IF(AND(Stamoplysninger!$B$31="Weekendtimer og weekendtillæg udbetales.",I44="X"),K44,0)</f>
        <v>0</v>
      </c>
      <c r="FV44" s="245">
        <f>IF(AND(Stamoplysninger!$B$31="Weekendtimer og weekendtillæg udbetales.",AA44="X"),(AC44+AN44)/2,0)</f>
        <v>0</v>
      </c>
      <c r="FW44" s="650">
        <f>IF(AND(AND(Stamoplysninger!$B$31="Weekendtimer og weekendtillæg udbetales.",I44="X",C44="ikke relevant")),K44,0)</f>
        <v>0</v>
      </c>
      <c r="FX44" s="664">
        <f>IF(AND(AND(Stamoplysninger!$B$31="Weekendtimer og weekendtillæg udbetales.",AA44="X",U44="ikke relevant")),(AC44+AN44)/2,0)</f>
        <v>0</v>
      </c>
      <c r="FY44" s="277">
        <f t="shared" si="16"/>
        <v>0</v>
      </c>
      <c r="FZ44" s="634">
        <f t="shared" si="17"/>
        <v>0</v>
      </c>
      <c r="GA44">
        <f t="shared" si="18"/>
        <v>0</v>
      </c>
      <c r="GB44" s="277">
        <f>IF(AND(Stamoplysninger!$B$31="Der er indgået lokalaftale omkring weekendtimer.(Kræver aftale med TR/FSL) Weekendtillæg afspadseres.",I44="X"),K44,0)</f>
        <v>0</v>
      </c>
      <c r="GC44" s="650">
        <f>IF(AND(AND(Stamoplysninger!$B$31="Der er indgået lokalaftale omkring weekendtimer.(Kræver aftale med TR/FSL) Weekendtillæg afspadseres.",I44="X",C44="ikke relevant")),K44,0)</f>
        <v>0</v>
      </c>
      <c r="GD44" s="277">
        <f>IF(AND(Stamoplysninger!$B$31="Der er indgået lokalaftale omkring weekendtimer(Kræver aftale med TR/FSL). Weekendtillæg udbetales.",I44="X"),K44,0)</f>
        <v>0</v>
      </c>
      <c r="GE44" s="650">
        <f>IF(AND(AND(Stamoplysninger!$B$31="Der er indgået lokalaftale omkring weekendtimer(Kræver aftale med TR/FSL). Weekendtillæg udbetales.",I44="X",C44="ikke relevant")),K44,0)</f>
        <v>0</v>
      </c>
      <c r="GF44" s="277">
        <f>IF(AND(Stamoplysninger!$B$31="Der er indgået lokalaftale omkring weekendtillæg(Kræver aftale med TR/FSL). Weekendtimerne udbetales.",I44="X"),K44,0)</f>
        <v>0</v>
      </c>
      <c r="GG44" s="650">
        <f>IF(AND(AND(Stamoplysninger!$B$31="Der er indgået lokalaftale omkring weekendtillæg(Kræver aftale med TR/FSL). Weekendtimerne udbetales.",I44="X",C44="ikke relevant")),K44,0)</f>
        <v>0</v>
      </c>
      <c r="GH44" s="277">
        <f>IF(AND(Stamoplysninger!$B$31="Der er indgået lokalaftale omkring weekendtimer og weekendtillæg.(Kræver aftale med TR/FSL).",I44="X"),K44,0)</f>
        <v>0</v>
      </c>
      <c r="GI44" s="650">
        <f>IF(AND(AND(Stamoplysninger!$B$31="Der er indgået lokalaftale omkring weekendtimer og weekendtillæg.(Kræver aftale med TR/FSL).",I44="X",C44="ikke relevant")),K44,0)</f>
        <v>0</v>
      </c>
      <c r="GJ44">
        <f t="shared" si="36"/>
        <v>0</v>
      </c>
      <c r="GK44">
        <f t="shared" si="19"/>
        <v>0</v>
      </c>
      <c r="GL44">
        <f t="shared" si="20"/>
        <v>0</v>
      </c>
      <c r="GM44">
        <f t="shared" si="21"/>
        <v>0</v>
      </c>
      <c r="GN44" s="713">
        <f t="shared" si="22"/>
        <v>0</v>
      </c>
      <c r="GO44">
        <f t="shared" si="37"/>
        <v>0</v>
      </c>
      <c r="GP44" s="647">
        <f t="shared" si="38"/>
        <v>0</v>
      </c>
    </row>
    <row r="45" spans="1:198" ht="17" thickBot="1">
      <c r="A45" s="1100" t="str">
        <f>April!A44</f>
        <v>Sammentælling af timer</v>
      </c>
      <c r="B45" s="1101"/>
      <c r="C45" s="1101"/>
      <c r="D45" s="1101"/>
      <c r="E45" s="1101"/>
      <c r="F45" s="1101"/>
      <c r="G45" s="1101"/>
      <c r="H45" s="1101"/>
      <c r="I45" s="1102"/>
      <c r="J45" s="306"/>
      <c r="K45" s="313"/>
      <c r="L45" s="313"/>
      <c r="M45" s="313"/>
      <c r="N45" s="314">
        <f>SUM(N14:N44)</f>
        <v>145.61999999999995</v>
      </c>
      <c r="O45" s="314">
        <f>SUM(O14:O44)</f>
        <v>69.5</v>
      </c>
      <c r="P45" s="314">
        <f>SUM(P14:P44)</f>
        <v>26.333333333333336</v>
      </c>
      <c r="Q45" s="314">
        <f>SUM(Q14:Q44)</f>
        <v>49.786666666666669</v>
      </c>
      <c r="R45" s="752">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IF(H44&gt;0,R44,0)</f>
        <v>0</v>
      </c>
      <c r="S45" s="419"/>
      <c r="T45" s="420"/>
      <c r="U45" s="420"/>
      <c r="V45"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IF(S44="x",V44,0)</f>
        <v>0</v>
      </c>
      <c r="W45" s="420">
        <f>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IF(T44="x",W44,0)</f>
        <v>0</v>
      </c>
      <c r="X45" s="421">
        <f>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IF(U44="x",X44,0)</f>
        <v>0</v>
      </c>
      <c r="Y45" s="208">
        <f>SUM(Y14:Y44)</f>
        <v>0</v>
      </c>
      <c r="Z45" s="386">
        <f>Z14+Z15+Z16+Z17+Z18+Z19+Z20+Z21+Z22+Z23+Z24+Z25+Z26+Z27+Z28+Z29+Z30+Z31+Z32+Z33+Z34+Z35+Z36+Z37+Z38+Z39+Z40+Z41+Z42+Z43+Z44</f>
        <v>0</v>
      </c>
      <c r="AA45" s="229">
        <f t="shared" ref="AA45:AF45" si="39">SUM(AA14:AA44)</f>
        <v>0</v>
      </c>
      <c r="AB45" s="229">
        <f t="shared" si="39"/>
        <v>0</v>
      </c>
      <c r="AC45" s="229">
        <f t="shared" si="39"/>
        <v>0</v>
      </c>
      <c r="AD45" s="229">
        <f t="shared" si="39"/>
        <v>0</v>
      </c>
      <c r="AE45" s="229">
        <f t="shared" si="39"/>
        <v>0</v>
      </c>
      <c r="AF45" s="229">
        <f t="shared" si="39"/>
        <v>0</v>
      </c>
      <c r="BA45" s="1">
        <f>SUM(BA14:BA44)</f>
        <v>145.61999999999995</v>
      </c>
      <c r="BB45" s="109"/>
      <c r="BC45" s="229">
        <f>SUM(BC14:BC44)</f>
        <v>0</v>
      </c>
      <c r="BD45" s="229">
        <f>SUM(BD14:BD44)</f>
        <v>0</v>
      </c>
      <c r="BE45" s="229">
        <f>SUM(BE14:BE44)</f>
        <v>0</v>
      </c>
      <c r="BF45" s="229">
        <f>SUM(BF14:BF44)</f>
        <v>0</v>
      </c>
      <c r="BR45" s="207" t="str">
        <f>IF(AND(C45="Skema 3",B45="ti"),Skemaoplysninger!$Z$46,"")</f>
        <v/>
      </c>
      <c r="CA45" s="229">
        <f>SUM(CA14:CA44)</f>
        <v>69.5</v>
      </c>
      <c r="CB45" s="229">
        <f>SUM(CB14:CB44)</f>
        <v>0</v>
      </c>
      <c r="CC45" s="229">
        <f>SUM(CC14:CC44)</f>
        <v>0</v>
      </c>
      <c r="CX45" s="243"/>
      <c r="CY45" s="243">
        <f t="shared" ref="CY45:DG45" si="40">SUM(CY14:CY44)</f>
        <v>0</v>
      </c>
      <c r="CZ45" s="243">
        <f t="shared" si="40"/>
        <v>0</v>
      </c>
      <c r="DA45" s="243">
        <f t="shared" si="40"/>
        <v>0</v>
      </c>
      <c r="DB45" s="243">
        <f t="shared" si="40"/>
        <v>0</v>
      </c>
      <c r="DC45" s="243">
        <f t="shared" si="40"/>
        <v>0</v>
      </c>
      <c r="DD45" s="243">
        <f t="shared" si="40"/>
        <v>0</v>
      </c>
      <c r="DE45" s="243">
        <f t="shared" si="40"/>
        <v>0</v>
      </c>
      <c r="DF45" s="243">
        <f t="shared" si="40"/>
        <v>0</v>
      </c>
      <c r="DG45" s="243">
        <f t="shared" si="40"/>
        <v>0</v>
      </c>
      <c r="DO45" s="645">
        <f>SUM(DO14:DO44)</f>
        <v>0</v>
      </c>
      <c r="DP45" s="646">
        <f t="shared" ref="DP45:GI45" si="41">SUM(DP14:DP44)</f>
        <v>0</v>
      </c>
      <c r="DQ45" s="646">
        <f t="shared" si="41"/>
        <v>0</v>
      </c>
      <c r="DR45" s="646">
        <f t="shared" si="41"/>
        <v>0</v>
      </c>
      <c r="DS45" s="649">
        <f t="shared" si="41"/>
        <v>0</v>
      </c>
      <c r="DT45" s="649">
        <f t="shared" si="41"/>
        <v>0</v>
      </c>
      <c r="DU45" s="646">
        <f t="shared" si="41"/>
        <v>0</v>
      </c>
      <c r="DV45" s="649">
        <f t="shared" si="41"/>
        <v>0</v>
      </c>
      <c r="DW45" s="646">
        <f t="shared" si="41"/>
        <v>0</v>
      </c>
      <c r="DX45" s="646">
        <f t="shared" si="41"/>
        <v>0</v>
      </c>
      <c r="DY45" s="646">
        <f t="shared" si="41"/>
        <v>0</v>
      </c>
      <c r="DZ45" s="646">
        <f t="shared" si="41"/>
        <v>0</v>
      </c>
      <c r="EA45" s="649">
        <f t="shared" si="41"/>
        <v>0</v>
      </c>
      <c r="EB45" s="649">
        <f t="shared" si="41"/>
        <v>0</v>
      </c>
      <c r="EC45" s="649">
        <f t="shared" si="41"/>
        <v>0</v>
      </c>
      <c r="ED45" s="649">
        <f t="shared" si="41"/>
        <v>0</v>
      </c>
      <c r="EE45" s="646">
        <f t="shared" si="41"/>
        <v>0</v>
      </c>
      <c r="EF45" s="646">
        <f t="shared" si="41"/>
        <v>0</v>
      </c>
      <c r="EG45" s="649">
        <f t="shared" si="41"/>
        <v>0</v>
      </c>
      <c r="EH45" s="649">
        <f t="shared" si="41"/>
        <v>0</v>
      </c>
      <c r="EI45" s="646">
        <f t="shared" si="41"/>
        <v>0</v>
      </c>
      <c r="EJ45" s="646">
        <f t="shared" si="41"/>
        <v>0</v>
      </c>
      <c r="EK45" s="649">
        <f t="shared" si="41"/>
        <v>0</v>
      </c>
      <c r="EL45" s="649">
        <f t="shared" si="41"/>
        <v>0</v>
      </c>
      <c r="EM45" s="646">
        <f t="shared" si="41"/>
        <v>0</v>
      </c>
      <c r="EN45" s="646">
        <f t="shared" si="41"/>
        <v>0</v>
      </c>
      <c r="EO45" s="649">
        <f t="shared" si="41"/>
        <v>0</v>
      </c>
      <c r="EP45" s="652">
        <f t="shared" si="41"/>
        <v>0</v>
      </c>
      <c r="EQ45" s="646">
        <f t="shared" si="41"/>
        <v>0</v>
      </c>
      <c r="ER45" s="646">
        <f t="shared" si="41"/>
        <v>0</v>
      </c>
      <c r="ES45" s="649">
        <f t="shared" si="41"/>
        <v>0</v>
      </c>
      <c r="ET45" s="652">
        <f t="shared" si="41"/>
        <v>0</v>
      </c>
      <c r="EU45" s="646">
        <f t="shared" si="41"/>
        <v>0</v>
      </c>
      <c r="EV45" s="646">
        <f t="shared" si="41"/>
        <v>0</v>
      </c>
      <c r="EW45" s="649">
        <f t="shared" si="41"/>
        <v>0</v>
      </c>
      <c r="EX45" s="652">
        <f t="shared" si="41"/>
        <v>0</v>
      </c>
      <c r="EY45" s="646">
        <f t="shared" si="41"/>
        <v>0</v>
      </c>
      <c r="EZ45" s="646">
        <f t="shared" si="41"/>
        <v>0</v>
      </c>
      <c r="FA45" s="649">
        <f t="shared" si="41"/>
        <v>0</v>
      </c>
      <c r="FB45" s="652">
        <f t="shared" si="41"/>
        <v>0</v>
      </c>
      <c r="FC45" s="646">
        <f t="shared" si="41"/>
        <v>0</v>
      </c>
      <c r="FD45" s="646">
        <f t="shared" si="41"/>
        <v>0</v>
      </c>
      <c r="FE45" s="649">
        <f t="shared" si="41"/>
        <v>0</v>
      </c>
      <c r="FF45" s="652">
        <f t="shared" si="41"/>
        <v>0</v>
      </c>
      <c r="FG45" s="646">
        <f t="shared" si="41"/>
        <v>0</v>
      </c>
      <c r="FH45" s="646">
        <f t="shared" si="41"/>
        <v>0</v>
      </c>
      <c r="FI45" s="649">
        <f t="shared" si="41"/>
        <v>0</v>
      </c>
      <c r="FJ45" s="652">
        <f t="shared" si="41"/>
        <v>0</v>
      </c>
      <c r="FK45" s="661">
        <f t="shared" si="41"/>
        <v>0</v>
      </c>
      <c r="FL45" s="646">
        <f t="shared" si="41"/>
        <v>0</v>
      </c>
      <c r="FM45" s="661">
        <f t="shared" si="41"/>
        <v>0</v>
      </c>
      <c r="FN45" s="649">
        <f t="shared" si="41"/>
        <v>0</v>
      </c>
      <c r="FO45" s="661">
        <f t="shared" si="41"/>
        <v>0</v>
      </c>
      <c r="FP45" s="646">
        <f t="shared" si="41"/>
        <v>0</v>
      </c>
      <c r="FQ45" s="661">
        <f t="shared" si="41"/>
        <v>0</v>
      </c>
      <c r="FR45" s="649">
        <f t="shared" si="41"/>
        <v>0</v>
      </c>
      <c r="FS45" s="661">
        <f t="shared" si="41"/>
        <v>0</v>
      </c>
      <c r="FT45" s="661">
        <f t="shared" si="41"/>
        <v>0</v>
      </c>
      <c r="FU45" s="661">
        <f t="shared" si="41"/>
        <v>0</v>
      </c>
      <c r="FV45" s="646">
        <f t="shared" si="41"/>
        <v>0</v>
      </c>
      <c r="FW45" s="661">
        <f t="shared" si="41"/>
        <v>0</v>
      </c>
      <c r="FX45" s="652">
        <f t="shared" si="41"/>
        <v>0</v>
      </c>
      <c r="FY45" s="665">
        <f t="shared" si="41"/>
        <v>0</v>
      </c>
      <c r="FZ45" s="666">
        <f t="shared" si="41"/>
        <v>0</v>
      </c>
      <c r="GA45" s="666">
        <f t="shared" si="41"/>
        <v>0</v>
      </c>
      <c r="GB45" s="665">
        <f>SUM(GB14:GB44)</f>
        <v>0</v>
      </c>
      <c r="GC45" s="666">
        <f t="shared" si="41"/>
        <v>0</v>
      </c>
      <c r="GD45" s="665">
        <f t="shared" si="41"/>
        <v>0</v>
      </c>
      <c r="GE45" s="666">
        <f t="shared" si="41"/>
        <v>0</v>
      </c>
      <c r="GF45" s="661">
        <f t="shared" si="41"/>
        <v>0</v>
      </c>
      <c r="GG45" s="661">
        <f t="shared" si="41"/>
        <v>0</v>
      </c>
      <c r="GH45" s="661">
        <f t="shared" si="41"/>
        <v>0</v>
      </c>
      <c r="GI45" s="661">
        <f t="shared" si="41"/>
        <v>0</v>
      </c>
      <c r="GP45" s="647">
        <f>SUM(GP14:GP44)</f>
        <v>0</v>
      </c>
    </row>
    <row r="46" spans="1:198" ht="26" thickBot="1">
      <c r="A46" s="227"/>
      <c r="B46" s="227"/>
      <c r="C46" s="227"/>
      <c r="D46" s="227"/>
      <c r="E46" s="227"/>
      <c r="F46" s="227"/>
      <c r="G46" s="227"/>
      <c r="H46" s="227"/>
      <c r="I46" s="227"/>
      <c r="J46" s="227"/>
      <c r="K46" s="233"/>
      <c r="L46" s="233"/>
      <c r="M46" s="233"/>
      <c r="N46" s="233"/>
      <c r="O46" s="233"/>
      <c r="P46" s="233"/>
      <c r="Q46" s="233"/>
      <c r="R46" s="233"/>
      <c r="S46" s="433"/>
      <c r="T46" s="433"/>
      <c r="U46" s="433"/>
      <c r="V46" s="433"/>
      <c r="W46" s="433"/>
      <c r="X46" s="433"/>
      <c r="Y46" s="229"/>
      <c r="Z46" s="208"/>
      <c r="AA46" s="229"/>
      <c r="AB46" s="208"/>
      <c r="AC46" s="208"/>
      <c r="AD46" s="229"/>
      <c r="AE46" s="229"/>
      <c r="AG46" s="229"/>
      <c r="BC46" s="229"/>
      <c r="BD46" s="229"/>
      <c r="BE46" s="229"/>
      <c r="BF46" s="229"/>
      <c r="BG46" s="109"/>
      <c r="CB46" s="229"/>
      <c r="CC46" s="229"/>
      <c r="CD46" s="109"/>
      <c r="CX46" s="242"/>
      <c r="CZ46"/>
      <c r="DO46" s="728"/>
      <c r="DP46" s="728"/>
      <c r="DQ46" s="728"/>
      <c r="DR46" s="728"/>
      <c r="DS46" s="728"/>
      <c r="DT46" s="728"/>
      <c r="DU46" s="728"/>
      <c r="DV46" s="728"/>
      <c r="DW46" s="729"/>
      <c r="DX46" s="729"/>
      <c r="DY46" s="729"/>
      <c r="DZ46" s="729"/>
      <c r="EA46" s="729"/>
      <c r="EB46" s="729"/>
      <c r="EC46" s="729"/>
      <c r="ED46" s="729"/>
      <c r="EE46" s="732"/>
      <c r="EF46" s="732"/>
      <c r="EG46" s="732"/>
      <c r="EH46" s="732"/>
      <c r="EI46" s="732"/>
      <c r="EJ46" s="732"/>
      <c r="EM46" s="734"/>
      <c r="EN46" s="734"/>
      <c r="EO46" s="734"/>
      <c r="EP46" s="734"/>
      <c r="EQ46" s="734"/>
      <c r="ER46" s="734"/>
      <c r="EU46" s="736"/>
      <c r="EV46" s="736"/>
      <c r="EW46" s="736"/>
      <c r="EX46" s="736"/>
      <c r="EY46" s="738"/>
      <c r="EZ46" s="738"/>
      <c r="FA46" s="738"/>
      <c r="FB46" s="738"/>
      <c r="FC46" s="740"/>
      <c r="FD46" s="740"/>
      <c r="FE46" s="740"/>
      <c r="FF46" s="740"/>
      <c r="FG46" s="742"/>
      <c r="FH46" s="742"/>
      <c r="FI46" s="742"/>
      <c r="FJ46" s="742"/>
      <c r="FK46" s="726"/>
      <c r="FM46" s="744"/>
      <c r="FO46" s="726"/>
      <c r="FS46" s="726"/>
      <c r="FT46" s="744"/>
      <c r="FU46" s="726"/>
      <c r="FW46" s="744"/>
      <c r="GA46" s="744"/>
      <c r="GB46" s="726"/>
      <c r="GC46" s="744"/>
      <c r="GD46" s="726"/>
      <c r="GE46" s="744"/>
      <c r="GF46" s="726"/>
      <c r="GG46" s="744"/>
      <c r="GH46" s="726"/>
      <c r="GI46" s="744"/>
      <c r="GP46" s="743" t="s">
        <v>663</v>
      </c>
    </row>
    <row r="47" spans="1:198" ht="70" customHeight="1">
      <c r="A47" s="1086" t="str">
        <f>"Arbejdstid for "&amp;A12&amp;" måned:"</f>
        <v>Arbejdstid for Maj måned:</v>
      </c>
      <c r="B47" s="1087"/>
      <c r="C47" s="1087"/>
      <c r="D47" s="1087"/>
      <c r="E47" s="1087"/>
      <c r="F47" s="1087"/>
      <c r="G47" s="1087"/>
      <c r="H47" s="321" t="s">
        <v>252</v>
      </c>
      <c r="I47" s="1087" t="s">
        <v>218</v>
      </c>
      <c r="J47" s="1088"/>
      <c r="K47" s="1089"/>
      <c r="L47" s="256"/>
      <c r="M47" s="1134" t="str">
        <f>"Ulempetimer og weekendtimer i "&amp;A10&amp;""</f>
        <v>Ulempetimer og weekendtimer i Maj måneds kalender for: Beate Simonsen. Måneden vedr. normperioden:  - .</v>
      </c>
      <c r="N47" s="1117"/>
      <c r="O47" s="1117"/>
      <c r="P47" s="1117"/>
      <c r="Q47" s="1117"/>
      <c r="R47" s="1117"/>
      <c r="S47" s="1117"/>
      <c r="T47" s="1117"/>
      <c r="U47" s="1117"/>
      <c r="V47" s="1117"/>
      <c r="W47" s="1117"/>
      <c r="X47" s="1118"/>
      <c r="Y47" s="233"/>
      <c r="Z47" s="233"/>
      <c r="AD47" s="87"/>
      <c r="AE47" s="87"/>
      <c r="BM47" s="1"/>
      <c r="CJ47" s="1"/>
      <c r="CU47" s="242"/>
      <c r="CV47" s="242"/>
      <c r="CY47"/>
      <c r="CZ47"/>
    </row>
    <row r="48" spans="1:198">
      <c r="A48" s="1090" t="str">
        <f>August!A49</f>
        <v>Arbejdstid eks. lørdage og søndage</v>
      </c>
      <c r="B48" s="1091"/>
      <c r="C48" s="1091"/>
      <c r="D48" s="1091"/>
      <c r="E48" s="1091"/>
      <c r="F48" s="1091"/>
      <c r="G48" s="1091"/>
      <c r="H48" s="250">
        <f>D83</f>
        <v>21</v>
      </c>
      <c r="I48" s="1103">
        <f>IF(Stamoplysninger!$E$17="Ja",1924/Arbejdstidsoversigt!$K$14*Stamoplysninger!$E$20*H48,H48*7.4*Stamoplysninger!$E$20)</f>
        <v>155.4</v>
      </c>
      <c r="J48" s="1104"/>
      <c r="K48" s="1105"/>
      <c r="L48" s="252"/>
      <c r="M48" s="1135" t="s">
        <v>480</v>
      </c>
      <c r="N48" s="1136"/>
      <c r="O48" s="1136"/>
      <c r="P48" s="1136"/>
      <c r="Q48" s="1136"/>
      <c r="R48" s="1136"/>
      <c r="S48" s="1136"/>
      <c r="T48" s="1136"/>
      <c r="U48" s="1137"/>
      <c r="V48" s="1138">
        <f>P70+P74+P77+P79</f>
        <v>0</v>
      </c>
      <c r="W48" s="1139"/>
      <c r="X48" s="1140"/>
      <c r="Y48" s="233"/>
      <c r="Z48" s="233"/>
      <c r="AD48" s="87"/>
      <c r="AE48" s="87"/>
      <c r="BM48" s="1"/>
      <c r="CJ48" s="1"/>
      <c r="CU48" s="242"/>
      <c r="CV48" s="242"/>
      <c r="CY48"/>
      <c r="CZ48"/>
    </row>
    <row r="49" spans="1:110">
      <c r="A49" s="1090" t="str">
        <f>"Ferie "&amp;A12&amp;" måned"</f>
        <v>Ferie Maj måned</v>
      </c>
      <c r="B49" s="1091"/>
      <c r="C49" s="1091"/>
      <c r="D49" s="1091"/>
      <c r="E49" s="1091"/>
      <c r="F49" s="1091"/>
      <c r="G49" s="1091"/>
      <c r="H49" s="251" t="str">
        <f>IF(D78&gt;0,$D$78,"0")</f>
        <v>0</v>
      </c>
      <c r="I49" s="1092">
        <f>H49*7.4*Stamoplysninger!$E$20</f>
        <v>0</v>
      </c>
      <c r="J49" s="1093"/>
      <c r="K49" s="1094"/>
      <c r="L49" s="252"/>
      <c r="M49" s="1141" t="s">
        <v>256</v>
      </c>
      <c r="N49" s="1142"/>
      <c r="O49" s="1142"/>
      <c r="P49" s="1142"/>
      <c r="Q49" s="1142"/>
      <c r="R49" s="1142"/>
      <c r="S49" s="1142"/>
      <c r="T49" s="1142"/>
      <c r="U49" s="1143"/>
      <c r="V49" s="1144">
        <f>Q71+Q73+Q76+Q78</f>
        <v>0</v>
      </c>
      <c r="W49" s="1145"/>
      <c r="X49" s="1146"/>
      <c r="Y49" s="233"/>
      <c r="Z49" s="233"/>
      <c r="AD49" s="87"/>
      <c r="AE49" s="87"/>
      <c r="BM49" s="1"/>
      <c r="CJ49" s="1"/>
      <c r="CU49" s="242"/>
      <c r="CV49" s="242"/>
      <c r="CY49"/>
      <c r="CZ49"/>
    </row>
    <row r="50" spans="1:110">
      <c r="A50" s="1090" t="str">
        <f>"Søgnehelligdage i "&amp;A12&amp;" måned"</f>
        <v>Søgnehelligdage i Maj måned</v>
      </c>
      <c r="B50" s="1091"/>
      <c r="C50" s="1091"/>
      <c r="D50" s="1091"/>
      <c r="E50" s="1091"/>
      <c r="F50" s="1091"/>
      <c r="G50" s="1091"/>
      <c r="H50" s="251">
        <f>IF(D77&gt;0,D77,0)</f>
        <v>2</v>
      </c>
      <c r="I50" s="1092">
        <f>H50*7.4*Stamoplysninger!$E$20</f>
        <v>14.8</v>
      </c>
      <c r="J50" s="1093"/>
      <c r="K50" s="1094"/>
      <c r="L50" s="253"/>
      <c r="M50" s="1286" t="s">
        <v>292</v>
      </c>
      <c r="N50" s="1287"/>
      <c r="O50" s="1287"/>
      <c r="P50" s="1287"/>
      <c r="Q50" s="1287"/>
      <c r="R50" s="1287"/>
      <c r="S50" s="1287"/>
      <c r="T50" s="1287"/>
      <c r="U50" s="1288"/>
      <c r="V50" s="1291">
        <f>April!V57</f>
        <v>1.5</v>
      </c>
      <c r="W50" s="1292"/>
      <c r="X50" s="1295"/>
      <c r="Y50" s="233"/>
      <c r="Z50" s="233"/>
      <c r="AD50" s="87"/>
      <c r="AE50" s="87"/>
      <c r="BM50" s="1"/>
      <c r="CJ50" s="1"/>
      <c r="CU50" s="242"/>
      <c r="CV50" s="242"/>
      <c r="CY50"/>
      <c r="CZ50"/>
    </row>
    <row r="51" spans="1:110">
      <c r="A51" s="1090" t="str">
        <f>"Nettoarbejdstid ialt i "&amp;A12&amp;" måned"</f>
        <v>Nettoarbejdstid ialt i Maj måned</v>
      </c>
      <c r="B51" s="1091"/>
      <c r="C51" s="1091"/>
      <c r="D51" s="1091"/>
      <c r="E51" s="1091"/>
      <c r="F51" s="1091"/>
      <c r="G51" s="1091"/>
      <c r="H51" s="254">
        <f>H48-H49-H50</f>
        <v>19</v>
      </c>
      <c r="I51" s="1092">
        <f>I48-I49-I50</f>
        <v>140.6</v>
      </c>
      <c r="J51" s="1093"/>
      <c r="K51" s="1094"/>
      <c r="L51" s="253"/>
      <c r="M51" s="1149" t="s">
        <v>298</v>
      </c>
      <c r="N51" s="1150"/>
      <c r="O51" s="1150"/>
      <c r="P51" s="1150"/>
      <c r="Q51" s="1150"/>
      <c r="R51" s="1150"/>
      <c r="S51" s="1150"/>
      <c r="T51" s="1150"/>
      <c r="U51" s="1151"/>
      <c r="V51" s="1152">
        <f>SUM(V49:X50)</f>
        <v>1.5</v>
      </c>
      <c r="W51" s="1153"/>
      <c r="X51" s="1154"/>
      <c r="Y51" s="233"/>
      <c r="Z51" s="233"/>
      <c r="AD51" s="87"/>
      <c r="AE51" s="87"/>
      <c r="BM51" s="1"/>
      <c r="CJ51" s="1"/>
      <c r="CU51" s="242"/>
      <c r="CV51" s="242"/>
      <c r="CY51"/>
      <c r="CZ51"/>
    </row>
    <row r="52" spans="1:110">
      <c r="A52" s="1106" t="str">
        <f>"Planlagt arbejdstid efter ovennstående "&amp;A12&amp;" måned kalender"</f>
        <v>Planlagt arbejdstid efter ovennstående Maj måned kalender</v>
      </c>
      <c r="B52" s="1107"/>
      <c r="C52" s="1107"/>
      <c r="D52" s="1107"/>
      <c r="E52" s="1107"/>
      <c r="F52" s="1107"/>
      <c r="G52" s="1107"/>
      <c r="H52" s="461">
        <f>D69+D70+D71+D72+D73+D74+D75</f>
        <v>18</v>
      </c>
      <c r="I52" s="1108">
        <f>N45+R45+V111</f>
        <v>145.61999999999995</v>
      </c>
      <c r="J52" s="1109"/>
      <c r="K52" s="1110"/>
      <c r="L52" s="375"/>
      <c r="M52" s="1161" t="s">
        <v>290</v>
      </c>
      <c r="N52" s="1162"/>
      <c r="O52" s="1162"/>
      <c r="P52" s="1162"/>
      <c r="Q52" s="1162"/>
      <c r="R52" s="1162"/>
      <c r="S52" s="1162"/>
      <c r="T52" s="1162"/>
      <c r="U52" s="1162"/>
      <c r="V52" s="1162"/>
      <c r="W52" s="1162"/>
      <c r="X52" s="1163"/>
      <c r="Y52" s="233"/>
      <c r="Z52" s="233"/>
      <c r="AD52" s="87"/>
      <c r="AE52" s="87"/>
      <c r="BM52" s="1"/>
      <c r="CJ52" s="1"/>
      <c r="CU52" s="242"/>
      <c r="CV52" s="242"/>
      <c r="CY52"/>
      <c r="CZ52"/>
    </row>
    <row r="53" spans="1:110">
      <c r="A53" s="1114" t="s">
        <v>671</v>
      </c>
      <c r="B53" s="1115"/>
      <c r="C53" s="1115"/>
      <c r="D53" s="1115"/>
      <c r="E53" s="1115"/>
      <c r="F53" s="1115"/>
      <c r="G53" s="1115"/>
      <c r="H53" s="1116"/>
      <c r="I53" s="1111">
        <f>(FK45+FO45+FS45+FU45+GB45+GD45+GF45+GH45)*-1+FM45+FT45+FW45+GC45+GE45+GG45+GI45+GA45</f>
        <v>0</v>
      </c>
      <c r="J53" s="1112"/>
      <c r="K53" s="1113"/>
      <c r="L53" s="376"/>
      <c r="M53" s="1164" t="s">
        <v>450</v>
      </c>
      <c r="N53" s="1165"/>
      <c r="O53" s="1165"/>
      <c r="P53" s="1165"/>
      <c r="Q53" s="1165"/>
      <c r="R53" s="1165"/>
      <c r="S53" s="1165"/>
      <c r="T53" s="1165"/>
      <c r="U53" s="1166"/>
      <c r="V53" s="1167" t="s">
        <v>218</v>
      </c>
      <c r="W53" s="1168"/>
      <c r="X53" s="1169"/>
      <c r="Y53" s="233"/>
      <c r="Z53" s="233"/>
      <c r="AD53" s="87"/>
      <c r="AE53" s="87"/>
      <c r="BM53" s="1"/>
      <c r="CJ53" s="1"/>
      <c r="CU53" s="242"/>
      <c r="CV53" s="242"/>
      <c r="CY53"/>
      <c r="CZ53"/>
    </row>
    <row r="54" spans="1:110">
      <c r="A54" s="1128" t="str">
        <f>"Arbejde særligt planlagt for "&amp;A12&amp;" måned efter fanen skemaoplysninger"</f>
        <v>Arbejde særligt planlagt for Maj måned efter fanen skemaoplysninger</v>
      </c>
      <c r="B54" s="1129"/>
      <c r="C54" s="1129"/>
      <c r="D54" s="1129"/>
      <c r="E54" s="1129"/>
      <c r="F54" s="1129"/>
      <c r="G54" s="1129"/>
      <c r="H54" s="1130"/>
      <c r="I54" s="1109">
        <f>IF(I52&gt;0,Skemaoplysninger!T107,0)</f>
        <v>0</v>
      </c>
      <c r="J54" s="1126"/>
      <c r="K54" s="1127"/>
      <c r="L54" s="377"/>
      <c r="M54" s="1036"/>
      <c r="N54" s="1037"/>
      <c r="O54" s="1037"/>
      <c r="P54" s="1037"/>
      <c r="Q54" s="1037"/>
      <c r="R54" s="1037"/>
      <c r="S54" s="1037"/>
      <c r="T54" s="1037"/>
      <c r="U54" s="1038"/>
      <c r="V54" s="1170"/>
      <c r="W54" s="1170"/>
      <c r="X54" s="1171"/>
      <c r="Y54"/>
      <c r="Z54" s="233"/>
      <c r="AA54" s="233"/>
      <c r="AG54" s="87"/>
      <c r="AH54" s="87"/>
      <c r="BA54" s="233"/>
      <c r="BO54" s="1"/>
      <c r="CL54" s="1"/>
      <c r="CV54" s="242"/>
      <c r="CW54" s="242"/>
      <c r="CY54"/>
      <c r="CZ54"/>
    </row>
    <row r="55" spans="1:110">
      <c r="A55" s="1095" t="s">
        <v>439</v>
      </c>
      <c r="B55" s="1096"/>
      <c r="C55" s="1096"/>
      <c r="D55" s="1096"/>
      <c r="E55" s="1096"/>
      <c r="F55" s="1096"/>
      <c r="G55" s="1096"/>
      <c r="H55" s="1096"/>
      <c r="I55" s="1097">
        <f>V45+X45+R111-GP45+T111</f>
        <v>0</v>
      </c>
      <c r="J55" s="1098"/>
      <c r="K55" s="1099"/>
      <c r="L55" s="235"/>
      <c r="M55" s="1036"/>
      <c r="N55" s="1037"/>
      <c r="O55" s="1037"/>
      <c r="P55" s="1037"/>
      <c r="Q55" s="1037"/>
      <c r="R55" s="1037"/>
      <c r="S55" s="1037"/>
      <c r="T55" s="1037"/>
      <c r="U55" s="1038"/>
      <c r="V55" s="1039"/>
      <c r="W55" s="1040"/>
      <c r="X55" s="1041"/>
      <c r="Y55"/>
      <c r="Z55" s="233"/>
      <c r="AA55" s="233"/>
      <c r="AE55" s="87"/>
      <c r="AF55" s="241"/>
      <c r="AG55" s="87"/>
      <c r="BN55" s="1"/>
      <c r="CK55" s="1"/>
      <c r="CV55" s="242"/>
      <c r="CW55" s="242"/>
      <c r="CY55"/>
      <c r="CZ55"/>
    </row>
    <row r="56" spans="1:110" ht="17" thickBot="1">
      <c r="A56" s="255" t="str">
        <f>"Faktisk arbejdstid ialt i "&amp;A12&amp;" måned"</f>
        <v>Faktisk arbejdstid ialt i Maj måned</v>
      </c>
      <c r="B56" s="307"/>
      <c r="C56" s="308"/>
      <c r="D56" s="308"/>
      <c r="E56" s="308"/>
      <c r="F56" s="308"/>
      <c r="G56" s="308"/>
      <c r="H56" s="309"/>
      <c r="I56" s="1131">
        <f>I52+I55+I54+I53</f>
        <v>145.61999999999995</v>
      </c>
      <c r="J56" s="1132"/>
      <c r="K56" s="1133"/>
      <c r="L56" s="326"/>
      <c r="M56" s="1036"/>
      <c r="N56" s="1037"/>
      <c r="O56" s="1037"/>
      <c r="P56" s="1037"/>
      <c r="Q56" s="1037"/>
      <c r="R56" s="1037"/>
      <c r="S56" s="1037"/>
      <c r="T56" s="1037"/>
      <c r="U56" s="1038"/>
      <c r="V56" s="1039"/>
      <c r="W56" s="1040"/>
      <c r="X56" s="1041"/>
      <c r="Y56" s="233"/>
      <c r="Z56" s="233"/>
      <c r="AA56" s="211"/>
      <c r="AB56" s="241"/>
      <c r="AC56" s="241"/>
      <c r="AD56" s="241"/>
      <c r="AE56" s="233"/>
      <c r="AF56" s="241"/>
      <c r="AH56" s="233"/>
      <c r="AI56" s="233"/>
      <c r="AM56" s="87"/>
      <c r="AN56" s="87"/>
      <c r="BU56" s="1"/>
      <c r="CR56" s="1"/>
      <c r="CY56"/>
      <c r="CZ56"/>
      <c r="DC56" s="242"/>
      <c r="DD56" s="242"/>
    </row>
    <row r="57" spans="1:110" ht="17" thickBot="1">
      <c r="A57" s="249"/>
      <c r="B57" s="249"/>
      <c r="C57" s="249"/>
      <c r="D57" s="249"/>
      <c r="E57" s="249"/>
      <c r="F57" s="249"/>
      <c r="G57" s="249"/>
      <c r="H57" s="249"/>
      <c r="I57" s="507"/>
      <c r="J57" s="507"/>
      <c r="K57" s="507"/>
      <c r="L57" s="485"/>
      <c r="M57" s="1036"/>
      <c r="N57" s="1037"/>
      <c r="O57" s="1037"/>
      <c r="P57" s="1037"/>
      <c r="Q57" s="1037"/>
      <c r="R57" s="1037"/>
      <c r="S57" s="1037"/>
      <c r="T57" s="1037"/>
      <c r="U57" s="1038"/>
      <c r="V57" s="1039"/>
      <c r="W57" s="1040"/>
      <c r="X57" s="1041"/>
      <c r="Y57" s="233"/>
      <c r="Z57" s="233"/>
      <c r="AA57" s="233"/>
      <c r="AB57" s="233"/>
      <c r="AC57" s="211"/>
      <c r="AD57" s="241"/>
      <c r="AE57" s="241"/>
      <c r="AF57" s="241"/>
      <c r="AG57" s="241"/>
      <c r="AH57" s="233"/>
      <c r="AJ57" s="233"/>
      <c r="AK57" s="233"/>
      <c r="AO57" s="87"/>
      <c r="AP57" s="87"/>
      <c r="BW57" s="1"/>
      <c r="CT57" s="1"/>
      <c r="CY57"/>
      <c r="CZ57"/>
      <c r="DE57" s="242"/>
      <c r="DF57" s="242"/>
    </row>
    <row r="58" spans="1:110" ht="26" thickBot="1">
      <c r="A58" s="1134" t="s">
        <v>468</v>
      </c>
      <c r="B58" s="1117"/>
      <c r="C58" s="1117"/>
      <c r="D58" s="1117"/>
      <c r="E58" s="1117"/>
      <c r="F58" s="1117"/>
      <c r="G58" s="1117"/>
      <c r="H58" s="681" t="s">
        <v>608</v>
      </c>
      <c r="I58" s="1087" t="s">
        <v>462</v>
      </c>
      <c r="J58" s="1087"/>
      <c r="K58" s="1089"/>
      <c r="L58" s="485"/>
      <c r="M58" s="1155" t="s">
        <v>291</v>
      </c>
      <c r="N58" s="1156"/>
      <c r="O58" s="1156"/>
      <c r="P58" s="1156"/>
      <c r="Q58" s="1156"/>
      <c r="R58" s="1156"/>
      <c r="S58" s="1156"/>
      <c r="T58" s="1156"/>
      <c r="U58" s="1157"/>
      <c r="V58" s="1247">
        <f>V51-SUM(V54:X57)</f>
        <v>1.5</v>
      </c>
      <c r="W58" s="1248"/>
      <c r="X58" s="1249"/>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296"/>
      <c r="B59" s="1297"/>
      <c r="C59" s="1297"/>
      <c r="D59" s="1297"/>
      <c r="E59" s="1297"/>
      <c r="F59" s="1297"/>
      <c r="G59" s="1297"/>
      <c r="H59" s="589">
        <f>April!H66</f>
        <v>0</v>
      </c>
      <c r="I59" s="1119"/>
      <c r="J59" s="1119"/>
      <c r="K59" s="1120"/>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32" customHeight="1">
      <c r="A60" s="1033" t="s">
        <v>507</v>
      </c>
      <c r="B60" s="1034"/>
      <c r="C60" s="1034"/>
      <c r="D60" s="1034"/>
      <c r="E60" s="1034"/>
      <c r="F60" s="1034"/>
      <c r="G60" s="1082"/>
      <c r="H60" s="587"/>
      <c r="I60" s="1238"/>
      <c r="J60" s="1239"/>
      <c r="K60" s="1240"/>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7" customHeight="1">
      <c r="A61" s="1033" t="s">
        <v>609</v>
      </c>
      <c r="B61" s="1034"/>
      <c r="C61" s="1034"/>
      <c r="D61" s="1034"/>
      <c r="E61" s="1034"/>
      <c r="F61" s="1034"/>
      <c r="G61" s="1034"/>
      <c r="H61" s="1034"/>
      <c r="I61" s="1034"/>
      <c r="J61" s="1034"/>
      <c r="K61" s="1035"/>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ht="35" customHeight="1">
      <c r="A62" s="1079" t="s">
        <v>610</v>
      </c>
      <c r="B62" s="1080"/>
      <c r="C62" s="1052" t="s">
        <v>492</v>
      </c>
      <c r="D62" s="1053"/>
      <c r="E62" s="1081" t="s">
        <v>493</v>
      </c>
      <c r="F62" s="1034"/>
      <c r="G62" s="1082"/>
      <c r="H62" s="1083" t="s">
        <v>464</v>
      </c>
      <c r="I62" s="1083"/>
      <c r="J62" s="1083"/>
      <c r="K62" s="1084"/>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050"/>
      <c r="B63" s="1051"/>
      <c r="C63" s="1026"/>
      <c r="D63" s="1025"/>
      <c r="E63" s="1021"/>
      <c r="F63" s="1022"/>
      <c r="G63" s="1023"/>
      <c r="H63" s="588"/>
      <c r="I63" s="1019"/>
      <c r="J63" s="1019"/>
      <c r="K63" s="1020"/>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1024"/>
      <c r="B64" s="1025"/>
      <c r="C64" s="1026"/>
      <c r="D64" s="1025"/>
      <c r="E64" s="1021"/>
      <c r="F64" s="1022"/>
      <c r="G64" s="1023"/>
      <c r="H64" s="588"/>
      <c r="I64" s="1019"/>
      <c r="J64" s="1019"/>
      <c r="K64" s="1020"/>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c r="A65" s="1024"/>
      <c r="B65" s="1025"/>
      <c r="C65" s="1026"/>
      <c r="D65" s="1025"/>
      <c r="E65" s="1021"/>
      <c r="F65" s="1022"/>
      <c r="G65" s="1023"/>
      <c r="H65" s="588"/>
      <c r="I65" s="1019"/>
      <c r="J65" s="1019"/>
      <c r="K65" s="1020"/>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c r="A66" s="1024"/>
      <c r="B66" s="1025"/>
      <c r="C66" s="1026"/>
      <c r="D66" s="1025"/>
      <c r="E66" s="1021"/>
      <c r="F66" s="1022"/>
      <c r="G66" s="1023"/>
      <c r="H66" s="588"/>
      <c r="I66" s="1019"/>
      <c r="J66" s="1019"/>
      <c r="K66" s="1020"/>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0" ht="17" thickBot="1">
      <c r="A67" s="1054" t="s">
        <v>465</v>
      </c>
      <c r="B67" s="1055"/>
      <c r="C67" s="1056"/>
      <c r="D67" s="1056"/>
      <c r="E67" s="1056"/>
      <c r="F67" s="1056"/>
      <c r="G67" s="1056"/>
      <c r="H67" s="590">
        <f>H60+H59-SUM(H63:H66)</f>
        <v>0</v>
      </c>
      <c r="I67" s="1063">
        <f>I59+I60-SUM(I63:K66)</f>
        <v>0</v>
      </c>
      <c r="J67" s="1064"/>
      <c r="K67" s="1065"/>
      <c r="L67" s="485"/>
      <c r="M67" s="508"/>
      <c r="N67" s="508"/>
      <c r="O67" s="508"/>
      <c r="P67" s="508"/>
      <c r="Q67" s="509"/>
      <c r="R67" s="510"/>
      <c r="S67" s="510"/>
      <c r="T67" s="510"/>
      <c r="U67" s="510"/>
      <c r="V67" s="508"/>
      <c r="W67" s="511"/>
      <c r="X67" s="508"/>
      <c r="Y67" s="233"/>
      <c r="Z67" s="233"/>
      <c r="AA67" s="233"/>
      <c r="AB67" s="233"/>
      <c r="AC67" s="211"/>
      <c r="AD67" s="241"/>
      <c r="AE67" s="241"/>
      <c r="AF67" s="241"/>
      <c r="AG67" s="241"/>
      <c r="AH67" s="233"/>
      <c r="AJ67" s="233"/>
      <c r="AK67" s="233"/>
      <c r="AO67" s="87"/>
      <c r="AP67" s="87"/>
      <c r="BW67" s="1"/>
      <c r="CT67" s="1"/>
      <c r="CY67"/>
      <c r="CZ67"/>
      <c r="DE67" s="242"/>
      <c r="DF67" s="242"/>
    </row>
    <row r="68" spans="1:110" ht="18" hidden="1" customHeight="1">
      <c r="A68" s="427"/>
      <c r="B68" s="427"/>
      <c r="C68" s="427"/>
      <c r="D68" s="427"/>
      <c r="E68" s="427"/>
      <c r="F68" s="427"/>
      <c r="G68" s="427"/>
      <c r="H68" s="437"/>
      <c r="I68" s="491"/>
      <c r="J68" s="491"/>
      <c r="K68" s="481"/>
      <c r="L68" s="635"/>
      <c r="M68" s="635"/>
      <c r="N68" s="635"/>
      <c r="O68" s="635"/>
      <c r="P68" s="635"/>
      <c r="Q68" s="509"/>
      <c r="R68" s="510"/>
      <c r="S68" s="510"/>
      <c r="T68" s="510"/>
      <c r="U68" s="510"/>
      <c r="V68" s="508" t="s">
        <v>538</v>
      </c>
      <c r="W68" s="511"/>
      <c r="X68" s="508"/>
      <c r="Y68"/>
      <c r="Z68"/>
      <c r="AA68" s="87"/>
      <c r="AB68" s="87"/>
      <c r="BI68" s="1"/>
      <c r="CF68" s="1"/>
      <c r="CQ68" s="242"/>
      <c r="CR68" s="242"/>
      <c r="CY68"/>
      <c r="CZ68"/>
    </row>
    <row r="69" spans="1:110" hidden="1">
      <c r="A69" s="120" t="s">
        <v>203</v>
      </c>
      <c r="B69" s="120"/>
      <c r="C69" s="120"/>
      <c r="D69" s="120">
        <f>COUNTIF([0]!Maj,"Skema 1")</f>
        <v>18</v>
      </c>
      <c r="E69" s="383"/>
      <c r="F69" s="120" t="s">
        <v>183</v>
      </c>
      <c r="G69" s="120">
        <f>COUNTIFS($B$14:$B$44,"ma",[0]!Maj,"Skema 1")</f>
        <v>4</v>
      </c>
      <c r="H69" s="120"/>
      <c r="I69" s="496"/>
      <c r="J69" s="635"/>
      <c r="K69" s="635"/>
      <c r="L69" s="496"/>
      <c r="M69" s="636"/>
      <c r="N69" s="635"/>
      <c r="O69" s="636"/>
      <c r="P69" s="654" t="s">
        <v>551</v>
      </c>
      <c r="Q69" s="656" t="s">
        <v>562</v>
      </c>
      <c r="R69" s="225"/>
      <c r="S69" s="225"/>
      <c r="T69" s="225"/>
      <c r="U69" s="225"/>
      <c r="V69" s="225"/>
      <c r="W69" s="115"/>
      <c r="X69" s="115"/>
      <c r="Y69"/>
      <c r="Z69"/>
      <c r="AA69" s="87"/>
      <c r="AB69" s="87"/>
      <c r="BI69" s="1"/>
      <c r="CF69" s="1"/>
      <c r="CQ69" s="242"/>
      <c r="CR69" s="242"/>
      <c r="CY69"/>
      <c r="CZ69"/>
    </row>
    <row r="70" spans="1:110" hidden="1">
      <c r="A70" s="1271" t="s">
        <v>204</v>
      </c>
      <c r="B70" s="1271"/>
      <c r="C70" s="1271"/>
      <c r="D70" s="483">
        <f>COUNTIF([0]!Maj,"Skema 2")</f>
        <v>0</v>
      </c>
      <c r="E70" s="484"/>
      <c r="F70" s="483" t="s">
        <v>184</v>
      </c>
      <c r="G70" s="483">
        <f>COUNTIFS($B$14:$B$44,"ti",[0]!Maj,"Skema 1")</f>
        <v>4</v>
      </c>
      <c r="H70" s="120"/>
      <c r="I70" s="496" t="s">
        <v>552</v>
      </c>
      <c r="J70" s="635"/>
      <c r="K70" s="496"/>
      <c r="L70" s="638"/>
      <c r="M70" s="636"/>
      <c r="N70" s="636"/>
      <c r="O70" s="639"/>
      <c r="P70" s="654">
        <f>IF(Stamoplysninger!$B$27="Ulempetillæg udbetales med 25% af nettotimelønnen.",SUM(DO45:DR45)-SUM(DS45:DV45),0)</f>
        <v>0</v>
      </c>
      <c r="Q70" s="656"/>
      <c r="R70" s="730"/>
      <c r="S70" s="225"/>
      <c r="T70" s="225"/>
      <c r="U70" s="225"/>
      <c r="V70" s="225"/>
      <c r="W70" s="115"/>
      <c r="X70" s="115"/>
      <c r="Y70"/>
      <c r="Z70"/>
      <c r="AA70" s="87"/>
      <c r="AB70" s="87"/>
      <c r="BI70" s="1"/>
      <c r="CF70" s="1"/>
      <c r="CQ70" s="242"/>
      <c r="CR70" s="242"/>
      <c r="CY70"/>
      <c r="CZ70"/>
    </row>
    <row r="71" spans="1:110" hidden="1">
      <c r="A71" s="1271" t="s">
        <v>205</v>
      </c>
      <c r="B71" s="1271"/>
      <c r="C71" s="1271"/>
      <c r="D71" s="483">
        <f>COUNTIF([0]!Maj,"Skema 3")</f>
        <v>0</v>
      </c>
      <c r="E71" s="484"/>
      <c r="F71" s="483" t="s">
        <v>185</v>
      </c>
      <c r="G71" s="483">
        <f>COUNTIFS($B$14:$B$44,"on",[0]!Maj,"Skema 1")</f>
        <v>4</v>
      </c>
      <c r="H71" s="483"/>
      <c r="I71" s="653" t="s">
        <v>553</v>
      </c>
      <c r="J71" s="635"/>
      <c r="K71" s="496"/>
      <c r="L71" s="638"/>
      <c r="M71" s="636"/>
      <c r="N71" s="636"/>
      <c r="O71" s="636"/>
      <c r="P71" s="654"/>
      <c r="Q71" s="656">
        <f>IF(Stamoplysninger!$B$27="Ulempetillæg afspadseres med 25%(Kræver en aftale imellem ledelsen og den ansatte)",DW45+DX45+DY45+DZ45-EA45-EB45-EC45-ED45,0)</f>
        <v>0</v>
      </c>
      <c r="R71" s="731"/>
      <c r="S71" s="225"/>
      <c r="T71" s="225"/>
      <c r="U71" s="225"/>
      <c r="V71" s="225"/>
      <c r="W71" s="115"/>
      <c r="X71" s="115"/>
      <c r="Y71"/>
      <c r="Z71"/>
      <c r="AA71" s="87"/>
      <c r="AB71" s="87"/>
      <c r="BI71" s="1"/>
      <c r="CF71" s="1"/>
      <c r="CQ71" s="242"/>
      <c r="CR71" s="242"/>
      <c r="CY71"/>
      <c r="CZ71"/>
    </row>
    <row r="72" spans="1:110" hidden="1">
      <c r="A72" s="1271" t="s">
        <v>206</v>
      </c>
      <c r="B72" s="1271"/>
      <c r="C72" s="1271"/>
      <c r="D72" s="483">
        <f>COUNTIF([0]!Maj,"Skema 4")</f>
        <v>0</v>
      </c>
      <c r="E72" s="484"/>
      <c r="F72" s="483" t="s">
        <v>187</v>
      </c>
      <c r="G72" s="483">
        <f>COUNTIFS($B$14:$B$44,"to",[0]!Maj,"Skema 1")</f>
        <v>3</v>
      </c>
      <c r="H72" s="483"/>
      <c r="I72" s="653" t="s">
        <v>554</v>
      </c>
      <c r="J72" s="635"/>
      <c r="K72" s="496"/>
      <c r="L72" s="638"/>
      <c r="M72" s="641"/>
      <c r="N72" s="641"/>
      <c r="O72" s="4"/>
      <c r="P72" s="654"/>
      <c r="Q72" s="656"/>
      <c r="R72" s="225"/>
      <c r="S72" s="225"/>
      <c r="T72" s="225"/>
      <c r="U72" s="225"/>
      <c r="V72" s="225"/>
      <c r="W72" s="115"/>
      <c r="X72" s="115"/>
      <c r="Y72" s="233"/>
      <c r="Z72" s="233"/>
      <c r="AA72" s="233"/>
      <c r="AB72" s="211"/>
      <c r="AC72" s="241"/>
      <c r="AD72" s="241"/>
      <c r="AE72" s="241"/>
      <c r="AF72" s="211"/>
      <c r="AG72" s="233"/>
      <c r="AI72" s="233"/>
      <c r="AJ72" s="233"/>
      <c r="AN72" s="87"/>
      <c r="AO72" s="87"/>
      <c r="BV72" s="1"/>
      <c r="CS72" s="1"/>
      <c r="CY72"/>
      <c r="CZ72"/>
      <c r="DD72" s="242"/>
      <c r="DE72" s="242"/>
    </row>
    <row r="73" spans="1:110" hidden="1">
      <c r="A73" s="483" t="s">
        <v>111</v>
      </c>
      <c r="B73" s="483"/>
      <c r="C73" s="483"/>
      <c r="D73" s="483">
        <f>COUNTIF([0]!Maj,"Fagdag")+COUNTIF([0]!Maj,"emnedag")</f>
        <v>0</v>
      </c>
      <c r="E73" s="484"/>
      <c r="F73" s="483" t="s">
        <v>186</v>
      </c>
      <c r="G73" s="483">
        <f>COUNTIFS($B$14:$B$44,"fr",[0]!Maj,"Skema 1")</f>
        <v>3</v>
      </c>
      <c r="H73" s="483"/>
      <c r="I73" s="638" t="s">
        <v>555</v>
      </c>
      <c r="J73" s="635"/>
      <c r="K73" s="496"/>
      <c r="L73" s="638"/>
      <c r="M73" s="641"/>
      <c r="N73" s="641"/>
      <c r="O73" s="4"/>
      <c r="P73" s="654"/>
      <c r="Q73" s="656">
        <f>IF(Stamoplysninger!$B$31="Weekendtimer og weekendtillæg afspadseres.",EE45+EF45-EG45-EH45+EI45+EJ45,0)</f>
        <v>0</v>
      </c>
      <c r="R73" s="733"/>
      <c r="S73" s="225"/>
      <c r="T73" s="225"/>
      <c r="U73" s="225"/>
      <c r="V73" s="225"/>
      <c r="W73" s="115"/>
      <c r="X73" s="115"/>
      <c r="Y73" s="233"/>
      <c r="Z73" s="233"/>
      <c r="AA73" s="233"/>
      <c r="AB73" s="211"/>
      <c r="AC73" s="241"/>
      <c r="AD73" s="241"/>
      <c r="AE73" s="241"/>
      <c r="AF73" s="211"/>
      <c r="AG73" s="233"/>
      <c r="AI73" s="233"/>
      <c r="AJ73" s="233"/>
      <c r="AN73" s="87"/>
      <c r="AO73" s="87"/>
      <c r="BV73" s="1"/>
      <c r="CS73" s="1"/>
      <c r="CY73"/>
      <c r="CZ73"/>
      <c r="DD73" s="242"/>
      <c r="DE73" s="242"/>
    </row>
    <row r="74" spans="1:110" hidden="1">
      <c r="A74" s="487" t="s">
        <v>110</v>
      </c>
      <c r="B74" s="483"/>
      <c r="C74" s="483"/>
      <c r="D74" s="483">
        <f>COUNTIF([0]!Maj,"Lejrskole")+COUNTIF([0]!Maj,"Ekskursion")</f>
        <v>0</v>
      </c>
      <c r="E74" s="484"/>
      <c r="F74" s="483"/>
      <c r="G74" s="483"/>
      <c r="H74" s="483"/>
      <c r="I74" s="638" t="s">
        <v>556</v>
      </c>
      <c r="J74" s="638"/>
      <c r="K74" s="638"/>
      <c r="L74" s="638"/>
      <c r="M74" s="642"/>
      <c r="N74" s="642"/>
      <c r="O74" s="4"/>
      <c r="P74" s="655">
        <f>IF(Stamoplysninger!$B$31="Weekendtimer og weekendtillæg udbetales.",EM45+EN45-EO45-EP45+EQ45+ER45,0)</f>
        <v>0</v>
      </c>
      <c r="Q74" s="656"/>
      <c r="R74" s="735"/>
      <c r="S74" s="225"/>
      <c r="T74" s="225"/>
      <c r="U74" s="225"/>
      <c r="V74" s="225"/>
      <c r="W74" s="115"/>
      <c r="X74" s="115"/>
      <c r="Y74" s="233"/>
      <c r="Z74" s="233"/>
      <c r="AA74" s="233"/>
      <c r="AB74" s="211"/>
      <c r="AC74" s="241"/>
      <c r="AD74" s="241"/>
      <c r="AE74" s="241"/>
      <c r="AF74" s="211"/>
      <c r="AG74" s="233"/>
      <c r="AI74" s="233"/>
      <c r="AJ74" s="233"/>
      <c r="AN74" s="87"/>
      <c r="AO74" s="87"/>
      <c r="BV74" s="1"/>
      <c r="CS74" s="1"/>
      <c r="CY74"/>
      <c r="CZ74"/>
      <c r="DD74" s="242"/>
      <c r="DE74" s="242"/>
    </row>
    <row r="75" spans="1:110" hidden="1">
      <c r="A75" s="483" t="s">
        <v>109</v>
      </c>
      <c r="B75" s="483"/>
      <c r="C75" s="483"/>
      <c r="D75" s="483">
        <f>COUNTIF([0]!Maj,"Pæd.dag")</f>
        <v>0</v>
      </c>
      <c r="E75" s="484"/>
      <c r="F75" s="483" t="s">
        <v>188</v>
      </c>
      <c r="G75" s="483">
        <f>COUNTIFS($B$14:$B$44,"ma",[0]!Maj,"Skema 2")</f>
        <v>0</v>
      </c>
      <c r="H75" s="483"/>
      <c r="I75" s="638" t="s">
        <v>557</v>
      </c>
      <c r="J75" s="638"/>
      <c r="K75" s="638"/>
      <c r="L75" s="638"/>
      <c r="M75" s="642"/>
      <c r="N75" s="642"/>
      <c r="O75" s="4"/>
      <c r="P75" s="654"/>
      <c r="Q75" s="656"/>
      <c r="R75" s="225"/>
      <c r="S75" s="225"/>
      <c r="T75" s="225"/>
      <c r="U75" s="225"/>
      <c r="V75" s="225"/>
      <c r="W75" s="115"/>
      <c r="X75" s="115"/>
      <c r="Y75" s="233"/>
      <c r="Z75" s="233"/>
      <c r="AA75" s="233"/>
      <c r="AB75" s="211"/>
      <c r="AC75" s="241"/>
      <c r="AD75" s="241"/>
      <c r="AE75" s="241"/>
      <c r="AG75" s="233"/>
      <c r="AI75" s="233"/>
      <c r="AJ75" s="233"/>
      <c r="AN75" s="87"/>
      <c r="AO75" s="87"/>
      <c r="BV75" s="1"/>
      <c r="CS75" s="1"/>
      <c r="CY75"/>
      <c r="CZ75"/>
      <c r="DD75" s="242"/>
      <c r="DE75" s="242"/>
    </row>
    <row r="76" spans="1:110" hidden="1">
      <c r="A76" s="483" t="s">
        <v>118</v>
      </c>
      <c r="B76" s="483"/>
      <c r="C76" s="483"/>
      <c r="D76" s="483">
        <f>COUNTIF([0]!Maj,"Weekend")</f>
        <v>10</v>
      </c>
      <c r="E76" s="484"/>
      <c r="F76" s="483" t="s">
        <v>189</v>
      </c>
      <c r="G76" s="483">
        <f>COUNTIFS($B$14:$B$44,"ti",[0]!Maj,"Skema 2")</f>
        <v>0</v>
      </c>
      <c r="H76" s="483"/>
      <c r="I76" s="638" t="s">
        <v>558</v>
      </c>
      <c r="J76" s="638"/>
      <c r="K76" s="638"/>
      <c r="L76" s="638"/>
      <c r="M76" s="643"/>
      <c r="N76" s="643"/>
      <c r="O76" s="4"/>
      <c r="P76" s="654"/>
      <c r="Q76" s="657">
        <f>IF(Stamoplysninger!$B$31="Der er indgået lokalaftale omkring weekendtimer.(Kræver aftale med TR/FSL) Weekendtillæg afspadseres.",EU45+EV45-EW45-EX45,0)</f>
        <v>0</v>
      </c>
      <c r="R76" s="737"/>
      <c r="S76" s="225"/>
      <c r="T76" s="225"/>
      <c r="U76" s="225"/>
      <c r="V76" s="225"/>
      <c r="W76" s="115"/>
      <c r="X76" s="115"/>
      <c r="Y76"/>
      <c r="Z76"/>
      <c r="AM76" s="1"/>
      <c r="BJ76" s="1"/>
      <c r="BU76" s="242"/>
      <c r="BV76" s="242"/>
      <c r="CY76"/>
      <c r="CZ76"/>
    </row>
    <row r="77" spans="1:110" hidden="1">
      <c r="A77" s="483" t="s">
        <v>125</v>
      </c>
      <c r="B77" s="483"/>
      <c r="C77" s="483"/>
      <c r="D77" s="483">
        <f>COUNTIF([0]!Maj,"SH-dag")</f>
        <v>2</v>
      </c>
      <c r="E77" s="484"/>
      <c r="F77" s="483" t="s">
        <v>190</v>
      </c>
      <c r="G77" s="483">
        <f>COUNTIFS($B$14:$B$44,"on",[0]!Maj,"Skema 2")</f>
        <v>0</v>
      </c>
      <c r="H77" s="483"/>
      <c r="I77" s="638" t="s">
        <v>559</v>
      </c>
      <c r="J77" s="638"/>
      <c r="K77" s="638"/>
      <c r="L77" s="638"/>
      <c r="M77" s="643"/>
      <c r="N77" s="643"/>
      <c r="O77" s="4"/>
      <c r="P77" s="654">
        <f>IF(Stamoplysninger!$B$31="Der er indgået lokalaftale omkring weekendtimer(Kræver aftale med TR/FSL). Weekendtillæg udbetales.",EY45+EZ45-FA45-FB45,0)</f>
        <v>0</v>
      </c>
      <c r="Q77" s="656"/>
      <c r="R77" s="739"/>
      <c r="S77" s="225"/>
      <c r="T77" s="225"/>
      <c r="U77" s="225"/>
      <c r="V77" s="225"/>
      <c r="W77" s="115"/>
      <c r="X77" s="115"/>
      <c r="Y77"/>
      <c r="Z77"/>
      <c r="AM77" s="1"/>
      <c r="BJ77" s="1"/>
      <c r="BU77" s="242"/>
      <c r="BV77" s="242"/>
      <c r="CY77"/>
      <c r="CZ77"/>
    </row>
    <row r="78" spans="1:110" hidden="1">
      <c r="A78" s="483" t="s">
        <v>108</v>
      </c>
      <c r="B78" s="483"/>
      <c r="C78" s="483"/>
      <c r="D78" s="483">
        <f>COUNTIF([0]!Maj,"Feriedag")</f>
        <v>0</v>
      </c>
      <c r="E78" s="484"/>
      <c r="F78" s="483" t="s">
        <v>191</v>
      </c>
      <c r="G78" s="483">
        <f>COUNTIFS($B$14:$B$44,"to",[0]!Maj,"Skema 2")</f>
        <v>0</v>
      </c>
      <c r="H78" s="483"/>
      <c r="I78" s="638" t="s">
        <v>560</v>
      </c>
      <c r="J78" s="638"/>
      <c r="K78" s="638"/>
      <c r="L78" s="638"/>
      <c r="M78" s="643"/>
      <c r="N78" s="643"/>
      <c r="O78" s="4"/>
      <c r="P78" s="654"/>
      <c r="Q78" s="610">
        <f>IF(Stamoplysninger!$B$31="Der er indgået lokalaftale omkring weekendtillæg(Kræver aftale med TR/FSL). Weekendtimerne afspadseres.",FC45+FD45-FE45-FF45,0)</f>
        <v>0</v>
      </c>
      <c r="R78" s="741"/>
      <c r="S78" s="38"/>
      <c r="T78" s="38"/>
      <c r="Y78"/>
      <c r="Z78"/>
      <c r="AM78" s="1"/>
      <c r="BJ78" s="1"/>
      <c r="BU78" s="242"/>
      <c r="BV78" s="242"/>
      <c r="CY78"/>
      <c r="CZ78"/>
    </row>
    <row r="79" spans="1:110" hidden="1">
      <c r="A79" s="483" t="s">
        <v>175</v>
      </c>
      <c r="B79" s="483"/>
      <c r="C79" s="483"/>
      <c r="D79" s="483">
        <f>COUNTIF([0]!Maj,"Nul-dag")</f>
        <v>1</v>
      </c>
      <c r="E79" s="484"/>
      <c r="F79" s="483" t="s">
        <v>192</v>
      </c>
      <c r="G79" s="483">
        <f>COUNTIFS($B$14:$B$44,"fr",[0]!Maj,"Skema 2")</f>
        <v>0</v>
      </c>
      <c r="H79" s="483"/>
      <c r="I79" s="638" t="s">
        <v>561</v>
      </c>
      <c r="J79" s="638"/>
      <c r="K79" s="638"/>
      <c r="L79" s="638"/>
      <c r="M79" s="643"/>
      <c r="N79" s="643"/>
      <c r="O79" s="4"/>
      <c r="P79" s="654">
        <f>IF(Stamoplysninger!$B$31="Der er indgået lokalaftale omkring weekendtillæg(Kræver aftale med TR/FSL). Weekendtimerne udbetales.",FG45+FH45-FI45-FJ45,0)</f>
        <v>0</v>
      </c>
      <c r="Q79" s="610"/>
      <c r="R79" s="742"/>
      <c r="V79" t="s">
        <v>612</v>
      </c>
      <c r="Y79"/>
      <c r="Z79"/>
      <c r="AM79" s="1"/>
      <c r="BJ79" s="1"/>
      <c r="BU79" s="242"/>
      <c r="BV79" s="242"/>
      <c r="CY79"/>
      <c r="CZ79"/>
    </row>
    <row r="80" spans="1:110" hidden="1">
      <c r="A80" s="483" t="s">
        <v>406</v>
      </c>
      <c r="B80" s="483"/>
      <c r="C80" s="483"/>
      <c r="D80" s="483">
        <f>COUNTIF([0]!Maj,"Orlov")</f>
        <v>0</v>
      </c>
      <c r="E80" s="484"/>
      <c r="F80" s="489"/>
      <c r="G80" s="489"/>
      <c r="H80" s="489"/>
      <c r="I80" s="638" t="s">
        <v>567</v>
      </c>
      <c r="J80" s="638"/>
      <c r="K80" s="638"/>
      <c r="L80" s="638"/>
      <c r="M80" s="644"/>
      <c r="N80" s="644"/>
      <c r="O80" s="4"/>
      <c r="P80" s="637"/>
      <c r="R80" s="727">
        <f>IF(AND(C14="ikke relevant",S14="X"),V14*-1,0)</f>
        <v>0</v>
      </c>
      <c r="T80" s="727">
        <f>IF(AND(C14="ikke relevant",U14="X"),X14*-1,0)</f>
        <v>0</v>
      </c>
      <c r="V80">
        <f>IF(AND(C14="ikke relevant",H14&gt;""),R14*-1,0)</f>
        <v>0</v>
      </c>
      <c r="Y80"/>
      <c r="Z80"/>
      <c r="AM80" s="1"/>
      <c r="BJ80" s="1"/>
      <c r="BU80" s="242"/>
      <c r="BV80" s="242"/>
      <c r="CY80"/>
      <c r="CZ80"/>
    </row>
    <row r="81" spans="1:104" hidden="1">
      <c r="A81" s="483" t="s">
        <v>158</v>
      </c>
      <c r="B81" s="483"/>
      <c r="C81" s="483"/>
      <c r="D81" s="483">
        <f>COUNTIF([0]!Maj,"Ikke relevant")</f>
        <v>0</v>
      </c>
      <c r="E81" s="484"/>
      <c r="F81" s="483" t="s">
        <v>193</v>
      </c>
      <c r="G81" s="483">
        <f>COUNTIFS($B$14:$B$44,"ma",[0]!Maj,"Skema 3")</f>
        <v>0</v>
      </c>
      <c r="H81" s="483"/>
      <c r="I81" s="638"/>
      <c r="J81" s="638"/>
      <c r="K81" s="638"/>
      <c r="L81" s="496"/>
      <c r="M81" s="644"/>
      <c r="N81" s="644"/>
      <c r="O81" s="4"/>
      <c r="P81" s="637"/>
      <c r="R81" s="727">
        <f t="shared" ref="R81:R109" si="42">IF(AND(C15="ikke relevant",S15="X"),V15*-1,0)</f>
        <v>0</v>
      </c>
      <c r="T81" s="727">
        <f t="shared" ref="T81:T110" si="43">IF(AND(C15="ikke relevant",U15="X"),X15*-1,0)</f>
        <v>0</v>
      </c>
      <c r="V81">
        <f t="shared" ref="V81:V110" si="44">IF(AND(C15="ikke relevant",H15&gt;""),R15*-1,0)</f>
        <v>0</v>
      </c>
      <c r="Y81"/>
      <c r="Z81"/>
      <c r="AM81" s="1"/>
      <c r="BJ81" s="1"/>
      <c r="BU81" s="242"/>
      <c r="BV81" s="242"/>
      <c r="CY81"/>
      <c r="CZ81"/>
    </row>
    <row r="82" spans="1:104" hidden="1">
      <c r="A82" s="483" t="s">
        <v>107</v>
      </c>
      <c r="B82" s="483"/>
      <c r="C82" s="483"/>
      <c r="D82" s="483">
        <f>SUM(D69:D81)</f>
        <v>31</v>
      </c>
      <c r="E82" s="483"/>
      <c r="F82" s="483" t="s">
        <v>194</v>
      </c>
      <c r="G82" s="483">
        <f>COUNTIFS($B$14:$B$44,"ti",[0]!Maj,"Skema 3")</f>
        <v>0</v>
      </c>
      <c r="H82" s="483"/>
      <c r="I82" s="638"/>
      <c r="J82" s="638"/>
      <c r="K82" s="638"/>
      <c r="L82" s="496"/>
      <c r="M82" s="644"/>
      <c r="N82" s="644"/>
      <c r="O82" s="4"/>
      <c r="P82" s="637"/>
      <c r="R82" s="727">
        <f t="shared" si="42"/>
        <v>0</v>
      </c>
      <c r="T82" s="727">
        <f t="shared" si="43"/>
        <v>0</v>
      </c>
      <c r="V82">
        <f t="shared" si="44"/>
        <v>0</v>
      </c>
      <c r="Y82"/>
      <c r="Z82" s="1"/>
      <c r="AX82" s="1"/>
      <c r="BI82" s="242"/>
      <c r="BJ82" s="242"/>
      <c r="CY82"/>
      <c r="CZ82"/>
    </row>
    <row r="83" spans="1:104" hidden="1">
      <c r="A83" s="483" t="s">
        <v>236</v>
      </c>
      <c r="B83" s="483"/>
      <c r="C83" s="483"/>
      <c r="D83" s="483">
        <f>D82-D76-A93-D81</f>
        <v>21</v>
      </c>
      <c r="E83" s="490"/>
      <c r="F83" s="483" t="s">
        <v>195</v>
      </c>
      <c r="G83" s="483">
        <f>COUNTIFS($B$14:$B$44,"on",[0]!Maj,"Skema 3")</f>
        <v>0</v>
      </c>
      <c r="H83" s="483"/>
      <c r="I83" s="638"/>
      <c r="J83" s="638"/>
      <c r="K83" s="638"/>
      <c r="L83" s="496"/>
      <c r="M83" s="644"/>
      <c r="N83" s="644"/>
      <c r="O83" s="4"/>
      <c r="P83" s="637"/>
      <c r="R83" s="727">
        <f t="shared" si="42"/>
        <v>0</v>
      </c>
      <c r="T83" s="727">
        <f t="shared" si="43"/>
        <v>0</v>
      </c>
      <c r="V83">
        <f t="shared" si="44"/>
        <v>0</v>
      </c>
      <c r="Y83"/>
      <c r="Z83" s="1"/>
      <c r="AX83" s="1"/>
      <c r="BI83" s="242"/>
      <c r="BJ83" s="242"/>
      <c r="CY83"/>
      <c r="CZ83"/>
    </row>
    <row r="84" spans="1:104" hidden="1">
      <c r="A84" s="483"/>
      <c r="B84" s="483"/>
      <c r="C84" s="483"/>
      <c r="D84" s="483"/>
      <c r="E84" s="483"/>
      <c r="F84" s="483" t="s">
        <v>196</v>
      </c>
      <c r="G84" s="483">
        <f>COUNTIFS($B$14:$B$44,"to",[0]!Maj,"Skema 3")</f>
        <v>0</v>
      </c>
      <c r="H84" s="483"/>
      <c r="I84" s="640"/>
      <c r="J84" s="638"/>
      <c r="K84" s="638"/>
      <c r="L84" s="496"/>
      <c r="M84" s="636"/>
      <c r="N84" s="636"/>
      <c r="O84" s="4"/>
      <c r="P84" s="637"/>
      <c r="R84" s="727">
        <f t="shared" si="42"/>
        <v>0</v>
      </c>
      <c r="T84" s="727">
        <f t="shared" si="43"/>
        <v>0</v>
      </c>
      <c r="V84">
        <f t="shared" si="44"/>
        <v>0</v>
      </c>
      <c r="Y84"/>
      <c r="Z84" s="1"/>
      <c r="AO84" s="1"/>
      <c r="BL84" s="1"/>
      <c r="BW84" s="242"/>
      <c r="BX84" s="242"/>
      <c r="CY84"/>
      <c r="CZ84"/>
    </row>
    <row r="85" spans="1:104" hidden="1">
      <c r="A85" s="483"/>
      <c r="B85" s="483"/>
      <c r="C85" s="483"/>
      <c r="D85" s="483"/>
      <c r="E85" s="483"/>
      <c r="F85" s="483" t="s">
        <v>197</v>
      </c>
      <c r="G85" s="483">
        <f>COUNTIFS($B$14:$B$44,"fr",[0]!Maj,"Skema 3")</f>
        <v>0</v>
      </c>
      <c r="H85" s="483"/>
      <c r="I85" s="491"/>
      <c r="J85" s="496"/>
      <c r="K85" s="496"/>
      <c r="L85" s="496"/>
      <c r="M85" s="4"/>
      <c r="N85" s="4"/>
      <c r="O85" s="4"/>
      <c r="P85" s="4"/>
      <c r="R85" s="727">
        <f t="shared" si="42"/>
        <v>0</v>
      </c>
      <c r="T85" s="727">
        <f t="shared" si="43"/>
        <v>0</v>
      </c>
      <c r="V85">
        <f t="shared" si="44"/>
        <v>0</v>
      </c>
      <c r="Y85"/>
      <c r="Z85" s="1"/>
      <c r="AO85" s="1"/>
      <c r="BL85" s="1"/>
      <c r="BW85" s="242"/>
      <c r="BX85" s="242"/>
      <c r="CY85"/>
      <c r="CZ85"/>
    </row>
    <row r="86" spans="1:104" hidden="1">
      <c r="A86" s="483" t="s">
        <v>289</v>
      </c>
      <c r="B86" s="483"/>
      <c r="C86" s="483"/>
      <c r="D86" s="483"/>
      <c r="E86" s="483"/>
      <c r="F86" s="483"/>
      <c r="G86" s="483"/>
      <c r="H86" s="483"/>
      <c r="I86" s="491"/>
      <c r="J86" s="496"/>
      <c r="K86" s="496"/>
      <c r="L86" s="496"/>
      <c r="M86" s="4"/>
      <c r="N86" s="4"/>
      <c r="O86" s="4"/>
      <c r="P86" s="4"/>
      <c r="R86" s="727">
        <f t="shared" si="42"/>
        <v>0</v>
      </c>
      <c r="T86" s="727">
        <f t="shared" si="43"/>
        <v>0</v>
      </c>
      <c r="V86">
        <f t="shared" si="44"/>
        <v>0</v>
      </c>
      <c r="Y86"/>
      <c r="Z86" s="1"/>
      <c r="AO86" s="1"/>
      <c r="BL86" s="1"/>
      <c r="BW86" s="242"/>
      <c r="BX86" s="242"/>
      <c r="CY86"/>
      <c r="CZ86"/>
    </row>
    <row r="87" spans="1:104" hidden="1">
      <c r="A87" s="483"/>
      <c r="B87" s="483"/>
      <c r="C87" s="483"/>
      <c r="D87" s="483"/>
      <c r="E87" s="483"/>
      <c r="F87" s="483" t="s">
        <v>198</v>
      </c>
      <c r="G87" s="483">
        <f>COUNTIFS($B$14:$B$44,"ma",[0]!Maj,"Skema 4")</f>
        <v>0</v>
      </c>
      <c r="H87" s="483"/>
      <c r="I87" s="491"/>
      <c r="J87" s="496"/>
      <c r="K87" s="496"/>
      <c r="L87" s="496"/>
      <c r="M87" s="4"/>
      <c r="N87" s="4"/>
      <c r="O87" s="4"/>
      <c r="P87" s="4"/>
      <c r="R87" s="727">
        <f t="shared" si="42"/>
        <v>0</v>
      </c>
      <c r="T87" s="727">
        <f t="shared" si="43"/>
        <v>0</v>
      </c>
      <c r="V87">
        <f t="shared" si="44"/>
        <v>0</v>
      </c>
      <c r="Y87"/>
      <c r="Z87" s="1"/>
      <c r="AO87" s="1"/>
      <c r="BL87" s="1"/>
      <c r="BW87" s="242"/>
      <c r="BX87" s="242"/>
      <c r="CY87"/>
      <c r="CZ87"/>
    </row>
    <row r="88" spans="1:104" hidden="1">
      <c r="A88" s="483">
        <f>COUNTIF(C14:C15,"Skema 1")+COUNTIF(C14:C15,"Skema 2")+COUNTIF(C14:C15,"Skema 3")+COUNTIF(C14:C15,"Skema 4")+COUNTIF(C14:C15,"Fagdag")+COUNTIF(C14:C15,"Emnedag")+COUNTIF(C14:C15,"Lejrskole")+COUNTIF(C14:C15,"Ekskursion")+COUNTIF(C14:C15,"Pæd.dag")</f>
        <v>0</v>
      </c>
      <c r="B88" s="483"/>
      <c r="C88" s="483"/>
      <c r="D88" s="483"/>
      <c r="E88" s="483"/>
      <c r="F88" s="483" t="s">
        <v>199</v>
      </c>
      <c r="G88" s="483">
        <f>COUNTIFS($B$14:$B$44,"ti",[0]!Maj,"Skema 4")</f>
        <v>0</v>
      </c>
      <c r="H88" s="483"/>
      <c r="I88" s="491"/>
      <c r="J88" s="496"/>
      <c r="K88" s="496"/>
      <c r="L88" s="496"/>
      <c r="M88" s="4"/>
      <c r="N88" s="4"/>
      <c r="O88" s="4"/>
      <c r="P88" s="4"/>
      <c r="R88" s="727">
        <f t="shared" si="42"/>
        <v>0</v>
      </c>
      <c r="T88" s="727">
        <f t="shared" si="43"/>
        <v>0</v>
      </c>
      <c r="V88">
        <f t="shared" si="44"/>
        <v>0</v>
      </c>
      <c r="Y88"/>
      <c r="Z88" s="1"/>
      <c r="AO88" s="1"/>
      <c r="BL88" s="1"/>
      <c r="BW88" s="242"/>
      <c r="BX88" s="242"/>
      <c r="CY88"/>
      <c r="CZ88"/>
    </row>
    <row r="89" spans="1:104" hidden="1">
      <c r="A89" s="483">
        <f>COUNTIF(C21:C22,"Skema 1")+COUNTIF(C21:C22,"Skema 2")+COUNTIF(C21:C22,"Skema 3")+COUNTIF(C21:C22,"Skema 4")+COUNTIF(C21:C22,"Fagdag")+COUNTIF(C21:C22,"Emnedag")+COUNTIF(C21:C22,"Lejrskole")+COUNTIF(C21:C22,"Ekskursion")+COUNTIF(C21:C22,"Pæd.dag")</f>
        <v>0</v>
      </c>
      <c r="B89" s="483"/>
      <c r="C89" s="483"/>
      <c r="D89" s="483"/>
      <c r="E89" s="483"/>
      <c r="F89" s="483" t="s">
        <v>200</v>
      </c>
      <c r="G89" s="483">
        <f>COUNTIFS($B$14:$B$44,"on",[0]!Maj,"Skema 4")</f>
        <v>0</v>
      </c>
      <c r="H89" s="483"/>
      <c r="I89" s="491"/>
      <c r="J89" s="496"/>
      <c r="K89" s="496"/>
      <c r="L89" s="496"/>
      <c r="M89" s="4"/>
      <c r="N89" s="4"/>
      <c r="O89" s="4"/>
      <c r="P89" s="4"/>
      <c r="R89" s="727">
        <f t="shared" si="42"/>
        <v>0</v>
      </c>
      <c r="T89" s="727">
        <f t="shared" si="43"/>
        <v>0</v>
      </c>
      <c r="V89">
        <f t="shared" si="44"/>
        <v>0</v>
      </c>
      <c r="Y89"/>
      <c r="Z89" s="1"/>
      <c r="AO89" s="1"/>
      <c r="BL89" s="1"/>
      <c r="BW89" s="242"/>
      <c r="BX89" s="242"/>
      <c r="CY89"/>
      <c r="CZ89"/>
    </row>
    <row r="90" spans="1:104" hidden="1">
      <c r="A90" s="483">
        <f>COUNTIF(C28:C29,"Skema 1")+COUNTIF(C28:C29,"Skema 2")+COUNTIF(C28:C29,"Skema 3")+COUNTIF(C28:C29,"Skema 4")+COUNTIF(C28:C29,"Fagdag")+COUNTIF(C28:C29,"Emnedag")+COUNTIF(C28:C29,"Lejrskole")+COUNTIF(C28:C29,"Ekskursion")+COUNTIF(C28:C29,"Pæd.dag")</f>
        <v>0</v>
      </c>
      <c r="B90" s="483"/>
      <c r="C90" s="483"/>
      <c r="D90" s="483"/>
      <c r="E90" s="483"/>
      <c r="F90" s="483" t="s">
        <v>201</v>
      </c>
      <c r="G90" s="483">
        <f>COUNTIFS($B$14:$B$44,"to",[0]!Maj,"Skema 4")</f>
        <v>0</v>
      </c>
      <c r="H90" s="483"/>
      <c r="I90" s="491"/>
      <c r="J90" s="496"/>
      <c r="K90" s="496"/>
      <c r="L90" s="496"/>
      <c r="M90" s="4"/>
      <c r="N90" s="4"/>
      <c r="O90" s="4"/>
      <c r="P90" s="4"/>
      <c r="R90" s="727">
        <f t="shared" si="42"/>
        <v>0</v>
      </c>
      <c r="T90" s="727">
        <f t="shared" si="43"/>
        <v>0</v>
      </c>
      <c r="V90">
        <f t="shared" si="44"/>
        <v>0</v>
      </c>
      <c r="Y90"/>
      <c r="Z90"/>
      <c r="AO90" s="1">
        <f>SUM(N90:AN90)</f>
        <v>0</v>
      </c>
      <c r="BL90" s="1">
        <f>SUM(AI90:BK90)</f>
        <v>0</v>
      </c>
      <c r="BW90" s="242"/>
      <c r="BX90" s="242"/>
      <c r="CY90"/>
      <c r="CZ90"/>
    </row>
    <row r="91" spans="1:104" hidden="1">
      <c r="A91" s="483">
        <f>COUNTIF(C35:C36,"Skema 1")+COUNTIF(C35:C36,"Skema 2")+COUNTIF(C35:C36,"Skema 3")+COUNTIF(C35:C36,"Skema 4")+COUNTIF(C35:C36,"Fagdag")+COUNTIF(C35:C36,"Emnedag")+COUNTIF(C35:C36,"Lejrskole")+COUNTIF(C35:C36,"Ekskursion")+COUNTIF(C35:C36,"Pæd.dag")</f>
        <v>0</v>
      </c>
      <c r="B91" s="483"/>
      <c r="C91" s="483"/>
      <c r="D91" s="483"/>
      <c r="E91" s="483"/>
      <c r="F91" s="483" t="s">
        <v>202</v>
      </c>
      <c r="G91" s="483">
        <f>COUNTIFS($B$14:$B$44,"fr",[0]!Maj,"Skema 4")</f>
        <v>0</v>
      </c>
      <c r="H91" s="483"/>
      <c r="I91" s="483"/>
      <c r="J91" s="486"/>
      <c r="K91" s="486"/>
      <c r="L91" s="38"/>
      <c r="R91" s="727">
        <f t="shared" si="42"/>
        <v>0</v>
      </c>
      <c r="T91" s="727">
        <f t="shared" si="43"/>
        <v>0</v>
      </c>
      <c r="V91">
        <f t="shared" si="44"/>
        <v>0</v>
      </c>
      <c r="Y91"/>
      <c r="Z91"/>
      <c r="AO91" s="1">
        <f>SUM(N91:AN91)</f>
        <v>0</v>
      </c>
      <c r="BL91" s="1">
        <f>SUM(AI91:BK91)</f>
        <v>0</v>
      </c>
      <c r="BW91" s="242"/>
      <c r="BX91" s="242"/>
      <c r="CY91"/>
      <c r="CZ91"/>
    </row>
    <row r="92" spans="1:104" hidden="1">
      <c r="A92" s="483">
        <f>COUNTIF(C42:C43,"Skema 1")+COUNTIF(C42:C43,"Skema 2")+COUNTIF(C42:C43,"Skema 3")+COUNTIF(C42:C43,"Skema 4")+COUNTIF(C42:C43,"Fagdag")+COUNTIF(C42:C43,"Emnedag")+COUNTIF(C42:C43,"Lejrskole")+COUNTIF(C42:C43,"Ekskursion")+COUNTIF(C42:C43,"Pæd.dag")</f>
        <v>0</v>
      </c>
      <c r="B92" s="483"/>
      <c r="C92" s="483"/>
      <c r="D92" s="483"/>
      <c r="E92" s="483"/>
      <c r="F92" s="483"/>
      <c r="G92" s="488">
        <f>SUM(G69:G91)</f>
        <v>18</v>
      </c>
      <c r="H92" s="486"/>
      <c r="I92" s="483"/>
      <c r="J92" s="486"/>
      <c r="K92" s="486"/>
      <c r="L92" s="38"/>
      <c r="R92" s="727">
        <f t="shared" si="42"/>
        <v>0</v>
      </c>
      <c r="T92" s="727">
        <f t="shared" si="43"/>
        <v>0</v>
      </c>
      <c r="V92">
        <f t="shared" si="44"/>
        <v>0</v>
      </c>
      <c r="Y92"/>
      <c r="Z92"/>
      <c r="AO92" s="1">
        <f>SUM(N92:AN92)</f>
        <v>0</v>
      </c>
      <c r="BL92" s="1">
        <f>SUM(AI92:BK92)</f>
        <v>0</v>
      </c>
      <c r="BW92" s="242"/>
      <c r="BX92" s="242"/>
      <c r="CY92"/>
      <c r="CZ92"/>
    </row>
    <row r="93" spans="1:104" hidden="1">
      <c r="A93" s="483">
        <f>SUM(A88:A92)</f>
        <v>0</v>
      </c>
      <c r="B93" s="486"/>
      <c r="C93" s="486"/>
      <c r="D93" s="486"/>
      <c r="E93" s="483"/>
      <c r="F93" s="483"/>
      <c r="G93" s="483"/>
      <c r="H93" s="38"/>
      <c r="I93" s="486"/>
      <c r="J93" s="486"/>
      <c r="K93" s="486"/>
      <c r="L93" s="38"/>
      <c r="R93" s="727">
        <f t="shared" si="42"/>
        <v>0</v>
      </c>
      <c r="T93" s="727">
        <f t="shared" si="43"/>
        <v>0</v>
      </c>
      <c r="V93">
        <f t="shared" si="44"/>
        <v>0</v>
      </c>
      <c r="Y93"/>
      <c r="Z93"/>
      <c r="AO93" s="1">
        <f>SUM(N93:AN93)</f>
        <v>0</v>
      </c>
      <c r="BL93" s="1">
        <f>SUM(AI93:BK93)</f>
        <v>0</v>
      </c>
      <c r="BW93" s="242"/>
      <c r="BX93" s="242"/>
      <c r="CY93"/>
      <c r="CZ93"/>
    </row>
    <row r="94" spans="1:104" hidden="1">
      <c r="A94" s="486"/>
      <c r="B94" s="486"/>
      <c r="C94" s="486"/>
      <c r="D94" s="486"/>
      <c r="E94" s="483"/>
      <c r="F94" s="483"/>
      <c r="G94" s="483"/>
      <c r="H94" s="38"/>
      <c r="I94" s="38"/>
      <c r="J94" s="486"/>
      <c r="K94" s="486"/>
      <c r="L94" s="38"/>
      <c r="R94" s="727">
        <f t="shared" si="42"/>
        <v>0</v>
      </c>
      <c r="T94" s="727">
        <f t="shared" si="43"/>
        <v>0</v>
      </c>
      <c r="V94">
        <f t="shared" si="44"/>
        <v>0</v>
      </c>
      <c r="Y94"/>
      <c r="Z94"/>
      <c r="BW94" s="242"/>
      <c r="BX94" s="242"/>
      <c r="CY94"/>
      <c r="CZ94"/>
    </row>
    <row r="95" spans="1:104" hidden="1">
      <c r="A95" s="486"/>
      <c r="B95" s="486"/>
      <c r="C95" s="486"/>
      <c r="D95" s="486"/>
      <c r="E95" s="483"/>
      <c r="F95" s="483"/>
      <c r="G95" s="483"/>
      <c r="H95" s="38"/>
      <c r="I95" s="38"/>
      <c r="J95" s="38"/>
      <c r="K95" s="38"/>
      <c r="L95" s="38"/>
      <c r="R95" s="727">
        <f t="shared" si="42"/>
        <v>0</v>
      </c>
      <c r="T95" s="727">
        <f t="shared" si="43"/>
        <v>0</v>
      </c>
      <c r="V95">
        <f t="shared" si="44"/>
        <v>0</v>
      </c>
      <c r="Y95"/>
      <c r="Z95"/>
      <c r="BW95" s="242"/>
      <c r="BX95" s="242"/>
      <c r="CY95"/>
      <c r="CZ95"/>
    </row>
    <row r="96" spans="1:104" hidden="1">
      <c r="A96" s="486"/>
      <c r="B96" s="486"/>
      <c r="C96" s="486"/>
      <c r="D96" s="486"/>
      <c r="E96" s="483"/>
      <c r="F96" s="483"/>
      <c r="G96" s="483"/>
      <c r="H96" s="38"/>
      <c r="I96" s="38"/>
      <c r="J96" s="38"/>
      <c r="K96" s="38"/>
      <c r="L96" s="38"/>
      <c r="R96" s="727">
        <f t="shared" si="42"/>
        <v>0</v>
      </c>
      <c r="T96" s="727">
        <f t="shared" si="43"/>
        <v>0</v>
      </c>
      <c r="V96">
        <f t="shared" si="44"/>
        <v>0</v>
      </c>
      <c r="Y96"/>
      <c r="Z96"/>
      <c r="BW96" s="242"/>
      <c r="BX96" s="242"/>
      <c r="CY96"/>
      <c r="CZ96"/>
    </row>
    <row r="97" spans="1:111" hidden="1">
      <c r="A97" s="486"/>
      <c r="B97" s="486"/>
      <c r="C97" s="486"/>
      <c r="D97" s="486"/>
      <c r="E97" s="483"/>
      <c r="F97" s="483"/>
      <c r="G97" s="483"/>
      <c r="I97" s="38"/>
      <c r="J97" s="38"/>
      <c r="K97" s="38"/>
      <c r="L97" s="38"/>
      <c r="R97" s="727">
        <f t="shared" si="42"/>
        <v>0</v>
      </c>
      <c r="T97" s="727">
        <f t="shared" si="43"/>
        <v>0</v>
      </c>
      <c r="V97">
        <f t="shared" si="44"/>
        <v>0</v>
      </c>
      <c r="Y97"/>
      <c r="Z97"/>
      <c r="BW97" s="242"/>
      <c r="BX97" s="242"/>
      <c r="CY97"/>
      <c r="CZ97"/>
    </row>
    <row r="98" spans="1:111" hidden="1">
      <c r="A98" s="486"/>
      <c r="B98" s="486"/>
      <c r="C98" s="486"/>
      <c r="D98" s="486"/>
      <c r="E98" s="483"/>
      <c r="F98" s="483"/>
      <c r="G98" s="483"/>
      <c r="I98" s="38"/>
      <c r="J98" s="38"/>
      <c r="K98" s="38"/>
      <c r="L98" s="38"/>
      <c r="R98" s="727">
        <f t="shared" si="42"/>
        <v>0</v>
      </c>
      <c r="T98" s="727">
        <f t="shared" si="43"/>
        <v>0</v>
      </c>
      <c r="V98">
        <f t="shared" si="44"/>
        <v>0</v>
      </c>
      <c r="Y98"/>
      <c r="Z98"/>
      <c r="AF98" s="226"/>
      <c r="BW98" s="242"/>
      <c r="BX98" s="242"/>
      <c r="CY98"/>
      <c r="CZ98"/>
    </row>
    <row r="99" spans="1:111" hidden="1">
      <c r="A99" s="486"/>
      <c r="B99" s="486"/>
      <c r="C99" s="486"/>
      <c r="D99" s="486"/>
      <c r="E99" s="483"/>
      <c r="F99" s="483"/>
      <c r="G99" s="483"/>
      <c r="I99" s="38"/>
      <c r="J99" s="38"/>
      <c r="K99" s="38"/>
      <c r="L99" s="38"/>
      <c r="R99" s="727">
        <f t="shared" si="42"/>
        <v>0</v>
      </c>
      <c r="T99" s="727">
        <f t="shared" si="43"/>
        <v>0</v>
      </c>
      <c r="V99">
        <f t="shared" si="44"/>
        <v>0</v>
      </c>
      <c r="Y99"/>
      <c r="Z99"/>
      <c r="AD99" s="4"/>
      <c r="AE99" s="226"/>
      <c r="AF99" s="226"/>
      <c r="AG99" s="226"/>
      <c r="AH99" s="226"/>
      <c r="CY99"/>
      <c r="CZ99"/>
      <c r="DF99" s="242"/>
      <c r="DG99" s="242"/>
    </row>
    <row r="100" spans="1:111" hidden="1">
      <c r="A100" s="486"/>
      <c r="B100" s="486"/>
      <c r="C100" s="486"/>
      <c r="D100" s="486"/>
      <c r="E100" s="483"/>
      <c r="F100" s="483"/>
      <c r="G100" s="483"/>
      <c r="I100" s="38"/>
      <c r="J100" s="38"/>
      <c r="K100" s="38"/>
      <c r="L100" s="38"/>
      <c r="R100" s="727">
        <f t="shared" si="42"/>
        <v>0</v>
      </c>
      <c r="T100" s="727">
        <f t="shared" si="43"/>
        <v>0</v>
      </c>
      <c r="V100">
        <f t="shared" si="44"/>
        <v>0</v>
      </c>
      <c r="Y100"/>
      <c r="Z100"/>
      <c r="AD100" s="4"/>
      <c r="AE100" s="226"/>
      <c r="AG100" s="226"/>
      <c r="AH100" s="226"/>
      <c r="CY100"/>
      <c r="CZ100"/>
      <c r="DF100" s="242"/>
      <c r="DG100" s="242"/>
    </row>
    <row r="101" spans="1:111" hidden="1">
      <c r="A101" s="486"/>
      <c r="B101" s="486"/>
      <c r="C101" s="486"/>
      <c r="D101" s="486"/>
      <c r="E101" s="483"/>
      <c r="F101" s="483"/>
      <c r="G101" s="483"/>
      <c r="I101" s="38"/>
      <c r="J101" s="38"/>
      <c r="K101" s="38"/>
      <c r="L101" s="38"/>
      <c r="R101" s="727">
        <f t="shared" si="42"/>
        <v>0</v>
      </c>
      <c r="T101" s="727">
        <f t="shared" si="43"/>
        <v>0</v>
      </c>
      <c r="V101">
        <f t="shared" si="44"/>
        <v>0</v>
      </c>
    </row>
    <row r="102" spans="1:111" hidden="1">
      <c r="A102" s="486"/>
      <c r="B102" s="486"/>
      <c r="C102" s="486"/>
      <c r="D102" s="486"/>
      <c r="E102" s="483"/>
      <c r="F102" s="483"/>
      <c r="G102" s="483"/>
      <c r="I102" s="38"/>
      <c r="J102" s="38"/>
      <c r="K102" s="38"/>
      <c r="L102" s="38"/>
      <c r="R102" s="727">
        <f t="shared" si="42"/>
        <v>0</v>
      </c>
      <c r="T102" s="727">
        <f t="shared" si="43"/>
        <v>0</v>
      </c>
      <c r="V102">
        <f t="shared" si="44"/>
        <v>0</v>
      </c>
    </row>
    <row r="103" spans="1:111" hidden="1">
      <c r="A103" s="486"/>
      <c r="B103" s="486"/>
      <c r="C103" s="486"/>
      <c r="D103" s="486"/>
      <c r="E103" s="486"/>
      <c r="F103" s="486"/>
      <c r="G103" s="486"/>
      <c r="I103" s="38"/>
      <c r="J103" s="38"/>
      <c r="K103" s="38"/>
      <c r="L103" s="38"/>
      <c r="R103" s="727">
        <f t="shared" si="42"/>
        <v>0</v>
      </c>
      <c r="T103" s="727">
        <f t="shared" si="43"/>
        <v>0</v>
      </c>
      <c r="V103">
        <f t="shared" si="44"/>
        <v>0</v>
      </c>
    </row>
    <row r="104" spans="1:111" hidden="1">
      <c r="A104" s="486"/>
      <c r="I104" s="38"/>
      <c r="J104" s="38"/>
      <c r="K104" s="38"/>
      <c r="L104" s="38"/>
      <c r="R104" s="727">
        <f t="shared" si="42"/>
        <v>0</v>
      </c>
      <c r="T104" s="727">
        <f t="shared" si="43"/>
        <v>0</v>
      </c>
      <c r="V104">
        <f t="shared" si="44"/>
        <v>0</v>
      </c>
    </row>
    <row r="105" spans="1:111" hidden="1">
      <c r="I105" s="38"/>
      <c r="J105" s="38"/>
      <c r="K105" s="38"/>
      <c r="L105" s="432"/>
      <c r="R105" s="727">
        <f t="shared" si="42"/>
        <v>0</v>
      </c>
      <c r="T105" s="727">
        <f t="shared" si="43"/>
        <v>0</v>
      </c>
      <c r="V105">
        <f t="shared" si="44"/>
        <v>0</v>
      </c>
    </row>
    <row r="106" spans="1:111" hidden="1">
      <c r="I106" s="38"/>
      <c r="J106" s="38"/>
      <c r="K106" s="38"/>
      <c r="L106" s="432"/>
      <c r="R106" s="727">
        <f t="shared" si="42"/>
        <v>0</v>
      </c>
      <c r="T106" s="727">
        <f t="shared" si="43"/>
        <v>0</v>
      </c>
      <c r="V106">
        <f t="shared" si="44"/>
        <v>0</v>
      </c>
    </row>
    <row r="107" spans="1:111" hidden="1">
      <c r="I107" s="38"/>
      <c r="J107" s="38"/>
      <c r="K107" s="38"/>
      <c r="L107" s="432"/>
      <c r="R107" s="727">
        <f t="shared" si="42"/>
        <v>0</v>
      </c>
      <c r="T107" s="727">
        <f t="shared" si="43"/>
        <v>0</v>
      </c>
      <c r="V107">
        <f t="shared" si="44"/>
        <v>0</v>
      </c>
    </row>
    <row r="108" spans="1:111" hidden="1">
      <c r="I108" s="432"/>
      <c r="J108" s="38"/>
      <c r="K108" s="38"/>
      <c r="L108" s="432"/>
      <c r="R108" s="727">
        <f t="shared" si="42"/>
        <v>0</v>
      </c>
      <c r="T108" s="727">
        <f t="shared" si="43"/>
        <v>0</v>
      </c>
      <c r="V108">
        <f t="shared" si="44"/>
        <v>0</v>
      </c>
    </row>
    <row r="109" spans="1:111" hidden="1">
      <c r="I109" s="432"/>
      <c r="J109" s="432"/>
      <c r="K109" s="432"/>
      <c r="L109" s="432"/>
      <c r="R109" s="727">
        <f t="shared" si="42"/>
        <v>0</v>
      </c>
      <c r="T109" s="727">
        <f t="shared" si="43"/>
        <v>0</v>
      </c>
      <c r="V109">
        <f t="shared" si="44"/>
        <v>0</v>
      </c>
    </row>
    <row r="110" spans="1:111" ht="17" hidden="1" thickBot="1">
      <c r="I110" s="432"/>
      <c r="J110" s="432"/>
      <c r="K110" s="432"/>
      <c r="L110" s="432"/>
      <c r="R110" s="727">
        <f>IF(AND(C44="ikke relevant",S44="X"),V44*-1,0)</f>
        <v>0</v>
      </c>
      <c r="T110" s="727">
        <f t="shared" si="43"/>
        <v>0</v>
      </c>
      <c r="V110">
        <f t="shared" si="44"/>
        <v>0</v>
      </c>
    </row>
    <row r="111" spans="1:111" ht="17" hidden="1" thickBot="1">
      <c r="I111" s="432"/>
      <c r="J111" s="432"/>
      <c r="K111" s="432"/>
      <c r="L111" s="432"/>
      <c r="P111" t="s">
        <v>664</v>
      </c>
      <c r="R111" s="669">
        <f>SUM(R80:R110)</f>
        <v>0</v>
      </c>
      <c r="S111" s="669">
        <f>SUM(S80:S110)</f>
        <v>0</v>
      </c>
      <c r="T111" s="669">
        <f>SUM(T80:T110)</f>
        <v>0</v>
      </c>
      <c r="V111">
        <f>SUM(V80:V110)</f>
        <v>0</v>
      </c>
    </row>
    <row r="112" spans="1:111" ht="16" hidden="1" customHeight="1">
      <c r="I112" s="432"/>
      <c r="J112" s="432"/>
      <c r="K112" s="432"/>
      <c r="L112" s="432"/>
      <c r="R112" s="1030" t="s">
        <v>666</v>
      </c>
      <c r="T112" s="1030" t="s">
        <v>667</v>
      </c>
    </row>
    <row r="113" spans="18:20" hidden="1">
      <c r="R113" s="884"/>
      <c r="T113" s="884"/>
    </row>
    <row r="114" spans="18:20" hidden="1">
      <c r="R114" s="884"/>
      <c r="T114" s="884"/>
    </row>
    <row r="115" spans="18:20" hidden="1">
      <c r="R115" s="884"/>
      <c r="T115" s="884"/>
    </row>
    <row r="116" spans="18:20" hidden="1"/>
  </sheetData>
  <sheetProtection sheet="1" objects="1" scenarios="1"/>
  <mergeCells count="199">
    <mergeCell ref="E22:G22"/>
    <mergeCell ref="E23:G23"/>
    <mergeCell ref="E24:G24"/>
    <mergeCell ref="E25:G25"/>
    <mergeCell ref="A58:G59"/>
    <mergeCell ref="E44:G44"/>
    <mergeCell ref="A45:I45"/>
    <mergeCell ref="E35:G35"/>
    <mergeCell ref="E36:G36"/>
    <mergeCell ref="E38:G38"/>
    <mergeCell ref="E39:G39"/>
    <mergeCell ref="E40:G40"/>
    <mergeCell ref="E34:G34"/>
    <mergeCell ref="I47:K47"/>
    <mergeCell ref="A48:G48"/>
    <mergeCell ref="I48:K48"/>
    <mergeCell ref="I58:K58"/>
    <mergeCell ref="FI8:GC8"/>
    <mergeCell ref="FI9:FL9"/>
    <mergeCell ref="FO9:FR9"/>
    <mergeCell ref="DO11:DV11"/>
    <mergeCell ref="FO11:FR11"/>
    <mergeCell ref="FS11:FT11"/>
    <mergeCell ref="GB11:GC11"/>
    <mergeCell ref="FC10:FF10"/>
    <mergeCell ref="FG10:FJ10"/>
    <mergeCell ref="FK10:FX10"/>
    <mergeCell ref="DW11:ED11"/>
    <mergeCell ref="FC11:FF11"/>
    <mergeCell ref="FG11:FJ11"/>
    <mergeCell ref="FK11:FN11"/>
    <mergeCell ref="FQ13:FR13"/>
    <mergeCell ref="DS13:DV13"/>
    <mergeCell ref="V54:X54"/>
    <mergeCell ref="A67:G67"/>
    <mergeCell ref="I67:K67"/>
    <mergeCell ref="A72:C72"/>
    <mergeCell ref="E37:G37"/>
    <mergeCell ref="A70:C70"/>
    <mergeCell ref="A71:C71"/>
    <mergeCell ref="I56:K56"/>
    <mergeCell ref="A61:K61"/>
    <mergeCell ref="A62:B62"/>
    <mergeCell ref="C62:D62"/>
    <mergeCell ref="E62:G62"/>
    <mergeCell ref="H62:K62"/>
    <mergeCell ref="A63:B63"/>
    <mergeCell ref="C63:D63"/>
    <mergeCell ref="E63:G63"/>
    <mergeCell ref="A49:G49"/>
    <mergeCell ref="I49:K49"/>
    <mergeCell ref="A50:G50"/>
    <mergeCell ref="I50:K50"/>
    <mergeCell ref="E41:G41"/>
    <mergeCell ref="E42:G42"/>
    <mergeCell ref="M56:U56"/>
    <mergeCell ref="V56:X56"/>
    <mergeCell ref="A55:H55"/>
    <mergeCell ref="I55:K55"/>
    <mergeCell ref="A51:G51"/>
    <mergeCell ref="I51:K51"/>
    <mergeCell ref="A52:G52"/>
    <mergeCell ref="I52:K52"/>
    <mergeCell ref="M51:U51"/>
    <mergeCell ref="A53:H53"/>
    <mergeCell ref="I53:K53"/>
    <mergeCell ref="V51:X51"/>
    <mergeCell ref="M52:X52"/>
    <mergeCell ref="M53:U53"/>
    <mergeCell ref="V53:X53"/>
    <mergeCell ref="M54:U54"/>
    <mergeCell ref="B2:E2"/>
    <mergeCell ref="E9:G9"/>
    <mergeCell ref="K9:L9"/>
    <mergeCell ref="A10:R10"/>
    <mergeCell ref="P11:P12"/>
    <mergeCell ref="Q11:Q12"/>
    <mergeCell ref="R11:R12"/>
    <mergeCell ref="A9:D9"/>
    <mergeCell ref="M47:X47"/>
    <mergeCell ref="E43:G43"/>
    <mergeCell ref="E11:G13"/>
    <mergeCell ref="K11:L11"/>
    <mergeCell ref="N11:N12"/>
    <mergeCell ref="O11:O12"/>
    <mergeCell ref="E30:G30"/>
    <mergeCell ref="S11:X11"/>
    <mergeCell ref="S13:U13"/>
    <mergeCell ref="V13:X13"/>
    <mergeCell ref="E20:G20"/>
    <mergeCell ref="E21:G21"/>
    <mergeCell ref="E28:G28"/>
    <mergeCell ref="E29:G29"/>
    <mergeCell ref="E16:G16"/>
    <mergeCell ref="K13:R13"/>
    <mergeCell ref="S10:X10"/>
    <mergeCell ref="A8:X8"/>
    <mergeCell ref="A12:D13"/>
    <mergeCell ref="H12:H13"/>
    <mergeCell ref="I11:I13"/>
    <mergeCell ref="J11:J13"/>
    <mergeCell ref="A3:H3"/>
    <mergeCell ref="A4:B4"/>
    <mergeCell ref="C4:D4"/>
    <mergeCell ref="E4:F4"/>
    <mergeCell ref="G4:H4"/>
    <mergeCell ref="I4:J4"/>
    <mergeCell ref="A5:B5"/>
    <mergeCell ref="C5:D5"/>
    <mergeCell ref="E5:F5"/>
    <mergeCell ref="G5:H5"/>
    <mergeCell ref="A6:B6"/>
    <mergeCell ref="C6:D6"/>
    <mergeCell ref="E6:F6"/>
    <mergeCell ref="G6:H6"/>
    <mergeCell ref="A7:B7"/>
    <mergeCell ref="C7:D7"/>
    <mergeCell ref="E7:F7"/>
    <mergeCell ref="G7:H7"/>
    <mergeCell ref="A66:B66"/>
    <mergeCell ref="A60:G60"/>
    <mergeCell ref="I60:K60"/>
    <mergeCell ref="I63:K63"/>
    <mergeCell ref="A64:B64"/>
    <mergeCell ref="C64:D64"/>
    <mergeCell ref="E64:G64"/>
    <mergeCell ref="I64:K64"/>
    <mergeCell ref="A65:B65"/>
    <mergeCell ref="C65:D65"/>
    <mergeCell ref="E65:G65"/>
    <mergeCell ref="I65:K65"/>
    <mergeCell ref="C66:D66"/>
    <mergeCell ref="E66:G66"/>
    <mergeCell ref="I66:K66"/>
    <mergeCell ref="M58:U58"/>
    <mergeCell ref="V58:X58"/>
    <mergeCell ref="I59:K59"/>
    <mergeCell ref="E17:G17"/>
    <mergeCell ref="E18:G18"/>
    <mergeCell ref="E19:G19"/>
    <mergeCell ref="M57:U57"/>
    <mergeCell ref="V57:X57"/>
    <mergeCell ref="E31:G31"/>
    <mergeCell ref="M50:U50"/>
    <mergeCell ref="E32:G32"/>
    <mergeCell ref="E33:G33"/>
    <mergeCell ref="V50:X50"/>
    <mergeCell ref="A54:H54"/>
    <mergeCell ref="I54:K54"/>
    <mergeCell ref="A47:G47"/>
    <mergeCell ref="E26:G26"/>
    <mergeCell ref="E27:G27"/>
    <mergeCell ref="M48:U48"/>
    <mergeCell ref="V48:X48"/>
    <mergeCell ref="M49:U49"/>
    <mergeCell ref="V49:X49"/>
    <mergeCell ref="M55:U55"/>
    <mergeCell ref="V55:X55"/>
    <mergeCell ref="DA11:DE11"/>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AG11:AK11"/>
    <mergeCell ref="AA11:AE11"/>
    <mergeCell ref="R112:R115"/>
    <mergeCell ref="T112:T115"/>
    <mergeCell ref="FU11:FX11"/>
    <mergeCell ref="FY11:FZ11"/>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EE11:EH11"/>
    <mergeCell ref="EI11:EL11"/>
    <mergeCell ref="EM11:EP11"/>
    <mergeCell ref="EQ11:ET11"/>
    <mergeCell ref="EU11:EX11"/>
    <mergeCell ref="EY11:FB11"/>
  </mergeCells>
  <phoneticPr fontId="5" type="noConversion"/>
  <conditionalFormatting sqref="A14:H14 D15:H36 A15:C44 D37:E37 H37 D38:H44">
    <cfRule type="expression" dxfId="517" priority="62" stopIfTrue="1">
      <formula>OR($C14="Orlov")</formula>
    </cfRule>
    <cfRule type="expression" dxfId="516" priority="56">
      <formula>OR($C14="ekskursion")</formula>
    </cfRule>
    <cfRule type="expression" dxfId="515" priority="49">
      <formula>OR($C14="skema 2")</formula>
    </cfRule>
    <cfRule type="expression" dxfId="514" priority="50">
      <formula>OR($C14="Skema 3")</formula>
    </cfRule>
    <cfRule type="expression" dxfId="513" priority="51">
      <formula>OR($C14="Skema 4")</formula>
    </cfRule>
    <cfRule type="expression" dxfId="512" priority="52">
      <formula>OR($C14="Ikke relevant")</formula>
    </cfRule>
    <cfRule type="expression" dxfId="511" priority="53">
      <formula>OR($C14="pæd.dag")</formula>
    </cfRule>
    <cfRule type="expression" dxfId="510" priority="54">
      <formula>OR($C14="nul-dag")</formula>
    </cfRule>
    <cfRule type="expression" dxfId="509" priority="55">
      <formula>OR($C14="SH-dag")</formula>
    </cfRule>
    <cfRule type="expression" dxfId="508" priority="61">
      <formula>OR($C14="weekend")</formula>
    </cfRule>
    <cfRule type="expression" dxfId="507" priority="60">
      <formula>OR($C14="feriedag")</formula>
    </cfRule>
    <cfRule type="expression" dxfId="506" priority="59">
      <formula>OR($C14="fagdag")</formula>
    </cfRule>
    <cfRule type="expression" dxfId="505" priority="58">
      <formula>OR($C14="emnedag")</formula>
    </cfRule>
    <cfRule type="expression" dxfId="504" priority="48">
      <formula>OR($C14="Skema 1")</formula>
    </cfRule>
    <cfRule type="expression" dxfId="503" priority="57">
      <formula>OR($C14="lejrskole")</formula>
    </cfRule>
  </conditionalFormatting>
  <conditionalFormatting sqref="E25">
    <cfRule type="expression" dxfId="502" priority="69">
      <formula>OR($D24="fagdag")</formula>
    </cfRule>
    <cfRule type="expression" dxfId="501" priority="66">
      <formula>OR($D24="ekskursion")</formula>
    </cfRule>
    <cfRule type="expression" dxfId="500" priority="65">
      <formula>OR($D24="SH-dag")</formula>
    </cfRule>
    <cfRule type="expression" dxfId="499" priority="64">
      <formula>OR($D24="nul-dag")</formula>
    </cfRule>
    <cfRule type="expression" dxfId="498" priority="67">
      <formula>OR($D24="lejrskole")</formula>
    </cfRule>
    <cfRule type="expression" dxfId="497" priority="68">
      <formula>OR($D24="emnedag")</formula>
    </cfRule>
    <cfRule type="expression" dxfId="496" priority="70">
      <formula>OR($D24="feriedag")</formula>
    </cfRule>
    <cfRule type="expression" dxfId="495" priority="71">
      <formula>OR($D24="weekend")</formula>
    </cfRule>
    <cfRule type="expression" dxfId="494" priority="72" stopIfTrue="1">
      <formula>OR($D24="skoledag")</formula>
    </cfRule>
    <cfRule type="expression" dxfId="493" priority="73">
      <formula>OR($D24="Ikke relevant")</formula>
    </cfRule>
    <cfRule type="expression" dxfId="492" priority="63">
      <formula>OR($D24="pæd.dag")</formula>
    </cfRule>
  </conditionalFormatting>
  <conditionalFormatting sqref="H63:H66">
    <cfRule type="expression" dxfId="491" priority="1">
      <formula>OR($A63&gt;0,)</formula>
    </cfRule>
  </conditionalFormatting>
  <conditionalFormatting sqref="I63:I66">
    <cfRule type="expression" dxfId="490" priority="2">
      <formula>OR($C63&gt;0,)</formula>
    </cfRule>
  </conditionalFormatting>
  <conditionalFormatting sqref="K14:K44">
    <cfRule type="expression" dxfId="489" priority="45">
      <formula>OR($C14="Pæd.dag",)</formula>
    </cfRule>
  </conditionalFormatting>
  <conditionalFormatting sqref="K14:L44">
    <cfRule type="expression" dxfId="488" priority="47">
      <formula>OR($C14="Ekskursion",)</formula>
    </cfRule>
    <cfRule type="expression" dxfId="487" priority="46">
      <formula>OR($C14="Lejrskole",)</formula>
    </cfRule>
  </conditionalFormatting>
  <conditionalFormatting sqref="K14:M44">
    <cfRule type="expression" dxfId="486" priority="44">
      <formula>OR($C14="emnedag",)</formula>
    </cfRule>
    <cfRule type="expression" dxfId="485" priority="43">
      <formula>OR($C14="fagdag",)</formula>
    </cfRule>
  </conditionalFormatting>
  <conditionalFormatting sqref="R14:R44">
    <cfRule type="expression" dxfId="484" priority="74">
      <formula>OR($H14&gt;"0",)</formula>
    </cfRule>
  </conditionalFormatting>
  <conditionalFormatting sqref="V14:V44">
    <cfRule type="expression" dxfId="483" priority="10">
      <formula>OR($S14="X",)</formula>
    </cfRule>
  </conditionalFormatting>
  <conditionalFormatting sqref="V54:X57">
    <cfRule type="expression" dxfId="482" priority="3">
      <formula>OR($M54&gt;0,)</formula>
    </cfRule>
  </conditionalFormatting>
  <conditionalFormatting sqref="W14:W44">
    <cfRule type="expression" dxfId="481" priority="9">
      <formula>OR($T14="X",)</formula>
    </cfRule>
  </conditionalFormatting>
  <conditionalFormatting sqref="X14:X44">
    <cfRule type="expression" dxfId="480" priority="8">
      <formula>OR($U14="X",)</formula>
    </cfRule>
  </conditionalFormatting>
  <dataValidations count="1">
    <dataValidation type="list" allowBlank="1" showInputMessage="1" showErrorMessage="1" sqref="S14:T44 U14:U42 A63:D66" xr:uid="{9B78C96F-D852-524A-9D46-9E93C2474DE4}">
      <formula1>$W$1:$W$2</formula1>
    </dataValidation>
  </dataValidations>
  <hyperlinks>
    <hyperlink ref="E4:F4" location="Arbejdstidsoversigt!A19" display="Arbejdstids-oversigt" xr:uid="{D5CCC225-DC2D-1F4D-8EC9-F8D8F3378D99}"/>
    <hyperlink ref="G4:H4" location="Opgørelse!B12" display="Opgørelse" xr:uid="{DEFD97E1-1FEB-854B-8476-7312CD3BE77F}"/>
    <hyperlink ref="A5:B5" location="August!A12" display="August" xr:uid="{1D4681C6-B245-D940-BC44-7C43C2576536}"/>
    <hyperlink ref="C5:D5" location="September!A8" display="September" xr:uid="{990EE061-BB2F-DC43-942B-FBAE07078EBE}"/>
    <hyperlink ref="E5:F5" location="Oktober!A8" display="Oktober" xr:uid="{7B49F60F-181E-1745-8E3B-58C4DC61DA05}"/>
    <hyperlink ref="G5:H5" location="November!A8" display="November" xr:uid="{6746384D-127B-6144-B4C3-483590F9179F}"/>
    <hyperlink ref="A6:B6" location="December!A8" display="December" xr:uid="{D6BC6164-D34B-7149-A4F6-9B8395AA8041}"/>
    <hyperlink ref="C6:D6" location="Januar!A8" display="Januar" xr:uid="{3EC49CD7-7701-9D42-9F3A-F28DB42C8410}"/>
    <hyperlink ref="E6:F6" location="Februar!A8" display="Februar" xr:uid="{D1585A82-D916-4D44-8F2F-80D51A1661D2}"/>
    <hyperlink ref="A7:B7" location="April!A8" display="April" xr:uid="{3E1F51B8-DC2F-F944-A932-4614EC85142F}"/>
    <hyperlink ref="C7:D7" location="Maj!A8" display="Maj" xr:uid="{3864529E-75E9-9149-B2B3-5685F92CC01C}"/>
    <hyperlink ref="E7:F7" location="Juni!A8" display="Juni" xr:uid="{0620CAC3-13CC-FF44-9A2C-3D1066B7A562}"/>
    <hyperlink ref="G7:H7" location="Juli!A8" display="Juli" xr:uid="{133F601D-7839-0649-BBD3-1C6C68938D8C}"/>
    <hyperlink ref="G6:H6" location="Marts!A8" display="Marts" xr:uid="{6C1CAAD4-646D-D140-B885-9636ACC61A7E}"/>
    <hyperlink ref="I4:J4" location="Stamoplysninger!E18" display="Stamoplysninger" xr:uid="{057141E6-59A3-E94A-ADB0-59DD69B3B75E}"/>
    <hyperlink ref="C4:D4" location="Opgaver!A8" display="Opgaver" xr:uid="{9794813D-54F0-2E40-BA76-72CCFED086D3}"/>
    <hyperlink ref="A4:B4" location="Skemaoplysninger!A20" display="Skemaoplysninger" xr:uid="{B58D280A-44A3-564C-AD8F-582DF6419499}"/>
  </hyperlinks>
  <pageMargins left="0.7" right="0.7" top="0.75" bottom="0.75" header="0.3" footer="0.3"/>
  <pageSetup paperSize="9" scale="59" orientation="landscape" horizontalDpi="0" verticalDpi="0"/>
  <drawing r:id="rId1"/>
  <legacyDrawing r:id="rId2"/>
  <extLst>
    <ext xmlns:x14="http://schemas.microsoft.com/office/spreadsheetml/2009/9/main" uri="{CCE6A557-97BC-4b89-ADB6-D9C93CAAB3DF}">
      <x14:dataValidations xmlns:xm="http://schemas.microsoft.com/office/excel/2006/main" count="1">
        <x14:dataValidation type="list" allowBlank="1" showInputMessage="1" xr:uid="{5C3FBC07-9BA5-1C47-B52A-8D8F8A56FABD}">
          <x14:formula1>
            <xm:f>August!$A$94:$A$108</xm:f>
          </x14:formula1>
          <xm:sqref>C14:C44</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F35AF-DC64-A244-9A15-7CD8ED0948AA}">
  <sheetPr>
    <tabColor theme="4" tint="-0.249977111117893"/>
    <pageSetUpPr fitToPage="1"/>
  </sheetPr>
  <dimension ref="A1:GP142"/>
  <sheetViews>
    <sheetView topLeftCell="A12" zoomScale="90" workbookViewId="0">
      <selection activeCell="E29" sqref="E29:G29"/>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90" width="10.83203125" hidden="1" customWidth="1"/>
    <col min="191" max="229"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87"/>
      <c r="Y1"/>
      <c r="Z1" s="87"/>
      <c r="AB1" s="87"/>
      <c r="AC1" s="87"/>
      <c r="AH1" s="87"/>
      <c r="AI1" s="87"/>
      <c r="CX1" s="242"/>
      <c r="CZ1"/>
    </row>
    <row r="2" spans="1:198" ht="20">
      <c r="A2" s="89">
        <v>6</v>
      </c>
      <c r="B2" s="1252"/>
      <c r="C2" s="1252"/>
      <c r="D2" s="1252"/>
      <c r="E2" s="1252"/>
      <c r="F2" s="87"/>
      <c r="G2" s="87"/>
      <c r="H2" s="273"/>
      <c r="I2" s="272"/>
      <c r="J2" s="225"/>
      <c r="K2" s="225"/>
      <c r="L2" s="225"/>
      <c r="M2" s="225"/>
      <c r="N2" s="225"/>
      <c r="O2" s="225"/>
      <c r="P2" s="87"/>
      <c r="Q2" s="87"/>
      <c r="R2" s="87"/>
      <c r="S2" s="87"/>
      <c r="T2" s="87"/>
      <c r="U2" s="87"/>
      <c r="V2" s="87"/>
      <c r="W2" s="120" t="s">
        <v>31</v>
      </c>
      <c r="X2" s="120" t="s">
        <v>31</v>
      </c>
      <c r="Y2"/>
      <c r="Z2" s="87"/>
      <c r="AA2" s="87"/>
      <c r="AE2" s="87"/>
      <c r="AG2" s="87"/>
      <c r="CV2" s="242"/>
      <c r="CW2" s="242"/>
      <c r="CY2"/>
      <c r="CZ2"/>
    </row>
    <row r="3" spans="1:198" ht="24" customHeight="1" thickBot="1">
      <c r="A3" s="864" t="s">
        <v>689</v>
      </c>
      <c r="B3" s="864"/>
      <c r="C3" s="864"/>
      <c r="D3" s="864"/>
      <c r="E3" s="864"/>
      <c r="F3" s="864"/>
      <c r="G3" s="864"/>
      <c r="H3" s="864"/>
      <c r="I3" s="723"/>
      <c r="J3" s="723"/>
      <c r="K3" s="723"/>
      <c r="L3" s="723"/>
      <c r="M3" s="723"/>
      <c r="N3" s="723"/>
      <c r="O3" s="723"/>
      <c r="P3" s="723"/>
      <c r="Q3" s="723"/>
      <c r="R3" s="723"/>
      <c r="S3" s="723"/>
      <c r="T3" s="723"/>
      <c r="Y3"/>
      <c r="Z3"/>
      <c r="AP3" s="38"/>
      <c r="CY3"/>
      <c r="CZ3"/>
    </row>
    <row r="4" spans="1:198" ht="50" customHeight="1" thickBot="1">
      <c r="A4" s="1226" t="s">
        <v>691</v>
      </c>
      <c r="B4" s="1227"/>
      <c r="C4" s="867" t="s">
        <v>495</v>
      </c>
      <c r="D4" s="868"/>
      <c r="E4" s="869" t="s">
        <v>688</v>
      </c>
      <c r="F4" s="870"/>
      <c r="G4" s="965" t="s">
        <v>367</v>
      </c>
      <c r="H4" s="966"/>
      <c r="I4" s="871" t="s">
        <v>687</v>
      </c>
      <c r="J4" s="1018"/>
      <c r="K4" s="628"/>
      <c r="Y4"/>
      <c r="Z4"/>
      <c r="CY4"/>
      <c r="CZ4"/>
    </row>
    <row r="5" spans="1:198" ht="50" customHeight="1" thickBot="1">
      <c r="A5" s="873" t="s">
        <v>231</v>
      </c>
      <c r="B5" s="873"/>
      <c r="C5" s="1228" t="s">
        <v>233</v>
      </c>
      <c r="D5" s="1228"/>
      <c r="E5" s="873" t="s">
        <v>234</v>
      </c>
      <c r="F5" s="873"/>
      <c r="G5" s="873" t="s">
        <v>235</v>
      </c>
      <c r="H5" s="873"/>
      <c r="Y5"/>
      <c r="Z5"/>
      <c r="CY5"/>
      <c r="CZ5"/>
    </row>
    <row r="6" spans="1:198" ht="50" customHeight="1" thickBot="1">
      <c r="A6" s="873" t="s">
        <v>279</v>
      </c>
      <c r="B6" s="873"/>
      <c r="C6" s="873" t="s">
        <v>280</v>
      </c>
      <c r="D6" s="873"/>
      <c r="E6" s="873" t="s">
        <v>281</v>
      </c>
      <c r="F6" s="873"/>
      <c r="G6" s="873" t="s">
        <v>282</v>
      </c>
      <c r="H6" s="873"/>
      <c r="Y6"/>
      <c r="Z6"/>
      <c r="CY6"/>
      <c r="CZ6"/>
    </row>
    <row r="7" spans="1:198" ht="50" customHeight="1" thickBot="1">
      <c r="A7" s="873" t="s">
        <v>283</v>
      </c>
      <c r="B7" s="873"/>
      <c r="C7" s="873" t="s">
        <v>284</v>
      </c>
      <c r="D7" s="873"/>
      <c r="E7" s="873" t="s">
        <v>285</v>
      </c>
      <c r="F7" s="873"/>
      <c r="G7" s="873" t="s">
        <v>286</v>
      </c>
      <c r="H7" s="873"/>
      <c r="Y7"/>
      <c r="Z7"/>
      <c r="CY7"/>
      <c r="CZ7"/>
    </row>
    <row r="8" spans="1:198" ht="17" thickBot="1">
      <c r="A8" s="1273" t="s">
        <v>306</v>
      </c>
      <c r="B8" s="1274"/>
      <c r="C8" s="1274"/>
      <c r="D8" s="1274"/>
      <c r="E8" s="1274"/>
      <c r="F8" s="1274"/>
      <c r="G8" s="1274"/>
      <c r="H8" s="1274"/>
      <c r="I8" s="1274"/>
      <c r="J8" s="1274"/>
      <c r="K8" s="1274"/>
      <c r="L8" s="1274"/>
      <c r="M8" s="1274"/>
      <c r="N8" s="1274"/>
      <c r="O8" s="1274"/>
      <c r="P8" s="1274"/>
      <c r="Q8" s="1274"/>
      <c r="R8" s="1274"/>
      <c r="S8" s="1274"/>
      <c r="T8" s="1274"/>
      <c r="U8" s="1274"/>
      <c r="V8" s="1274"/>
      <c r="W8" s="1274"/>
      <c r="X8" s="1275"/>
      <c r="Y8" s="87"/>
      <c r="Z8"/>
      <c r="AC8" s="87"/>
      <c r="AD8" s="87"/>
      <c r="AF8" s="87"/>
      <c r="CT8" s="242"/>
      <c r="CU8" s="242"/>
      <c r="CY8"/>
      <c r="CZ8"/>
      <c r="FI8" s="1179" t="s">
        <v>584</v>
      </c>
      <c r="FJ8" s="1180"/>
      <c r="FK8" s="1180"/>
      <c r="FL8" s="1180"/>
      <c r="FM8" s="1180"/>
      <c r="FN8" s="1180"/>
      <c r="FO8" s="1180"/>
      <c r="FP8" s="1180"/>
      <c r="FQ8" s="1180"/>
      <c r="FR8" s="1180"/>
      <c r="FS8" s="1180"/>
      <c r="FT8" s="1180"/>
      <c r="FU8" s="1180"/>
      <c r="FV8" s="1180"/>
      <c r="FW8" s="1180"/>
      <c r="FX8" s="1180"/>
      <c r="FY8" s="1180"/>
      <c r="FZ8" s="1180"/>
      <c r="GA8" s="1180"/>
      <c r="GB8" s="1180"/>
      <c r="GC8" s="1181"/>
    </row>
    <row r="9" spans="1:198" ht="254" customHeight="1" thickBot="1">
      <c r="A9" s="1066" t="s">
        <v>421</v>
      </c>
      <c r="B9" s="1067"/>
      <c r="C9" s="1067"/>
      <c r="D9" s="1067"/>
      <c r="E9" s="1068" t="s">
        <v>307</v>
      </c>
      <c r="F9" s="1068"/>
      <c r="G9" s="1068"/>
      <c r="H9" s="274" t="s">
        <v>404</v>
      </c>
      <c r="I9" s="425"/>
      <c r="J9" s="425"/>
      <c r="K9" s="1078" t="s">
        <v>496</v>
      </c>
      <c r="L9" s="1078"/>
      <c r="M9" s="471" t="s">
        <v>444</v>
      </c>
      <c r="N9" s="471" t="s">
        <v>422</v>
      </c>
      <c r="O9" s="471" t="s">
        <v>423</v>
      </c>
      <c r="P9" s="472" t="s">
        <v>445</v>
      </c>
      <c r="Q9" s="472" t="s">
        <v>305</v>
      </c>
      <c r="R9" s="472" t="s">
        <v>424</v>
      </c>
      <c r="S9" s="473" t="s">
        <v>451</v>
      </c>
      <c r="T9" s="473" t="s">
        <v>425</v>
      </c>
      <c r="U9" s="473" t="s">
        <v>426</v>
      </c>
      <c r="V9" s="474" t="s">
        <v>446</v>
      </c>
      <c r="W9" s="474" t="s">
        <v>393</v>
      </c>
      <c r="X9" s="475" t="s">
        <v>392</v>
      </c>
      <c r="Y9" s="240"/>
      <c r="Z9" s="87"/>
      <c r="AB9" s="87"/>
      <c r="AC9" s="87"/>
      <c r="AH9" s="87"/>
      <c r="AI9" s="87"/>
      <c r="CX9" s="242"/>
      <c r="CZ9"/>
      <c r="FI9" s="837" t="s">
        <v>582</v>
      </c>
      <c r="FJ9" s="837"/>
      <c r="FK9" s="837"/>
      <c r="FL9" s="837"/>
      <c r="FM9" t="s">
        <v>575</v>
      </c>
      <c r="FO9" s="837" t="s">
        <v>581</v>
      </c>
      <c r="FP9" s="837"/>
      <c r="FQ9" s="837"/>
      <c r="FR9" s="837"/>
    </row>
    <row r="10" spans="1:198" ht="26" customHeight="1" thickBot="1">
      <c r="A10" s="1194" t="str">
        <f>""&amp;A12&amp;" måneds kalender for: "&amp;Stamoplysninger!E13&amp;". Måneden vedr. normperioden: "&amp;Stamoplysninger!E16&amp;" - "&amp;Stamoplysninger!G16&amp;"."</f>
        <v>Juni måneds kalender for: Beate Simonsen. Måneden vedr. normperioden:  - .</v>
      </c>
      <c r="B10" s="1195"/>
      <c r="C10" s="1195"/>
      <c r="D10" s="1195"/>
      <c r="E10" s="1195"/>
      <c r="F10" s="1195"/>
      <c r="G10" s="1195"/>
      <c r="H10" s="1195"/>
      <c r="I10" s="1195"/>
      <c r="J10" s="1195"/>
      <c r="K10" s="1195"/>
      <c r="L10" s="1195"/>
      <c r="M10" s="1195"/>
      <c r="N10" s="1195"/>
      <c r="O10" s="1195"/>
      <c r="P10" s="1195"/>
      <c r="Q10" s="1195"/>
      <c r="R10" s="1196"/>
      <c r="S10" s="1073" t="s">
        <v>391</v>
      </c>
      <c r="T10" s="1074"/>
      <c r="U10" s="1074"/>
      <c r="V10" s="1074"/>
      <c r="W10" s="1074"/>
      <c r="X10" s="1075"/>
      <c r="Y10" s="240"/>
      <c r="Z10" s="87"/>
      <c r="AB10" s="87"/>
      <c r="AC10" s="87"/>
      <c r="AH10" s="87"/>
      <c r="AI10" s="87"/>
      <c r="CX10" s="242"/>
      <c r="CZ10"/>
      <c r="DV10" t="s">
        <v>665</v>
      </c>
      <c r="ED10" t="s">
        <v>665</v>
      </c>
      <c r="FC10" s="1208" t="s">
        <v>654</v>
      </c>
      <c r="FD10" s="1208"/>
      <c r="FE10" s="1208"/>
      <c r="FF10" s="1208"/>
      <c r="FG10" s="1208" t="s">
        <v>654</v>
      </c>
      <c r="FH10" s="1208"/>
      <c r="FI10" s="1208"/>
      <c r="FJ10" s="1208"/>
      <c r="FK10" s="1182" t="s">
        <v>569</v>
      </c>
      <c r="FL10" s="1182"/>
      <c r="FM10" s="1182"/>
      <c r="FN10" s="1182"/>
      <c r="FO10" s="1182"/>
      <c r="FP10" s="1182"/>
      <c r="FQ10" s="1182"/>
      <c r="FR10" s="1182"/>
      <c r="FS10" s="1182"/>
      <c r="FT10" s="1182"/>
      <c r="FU10" s="1182"/>
      <c r="FV10" s="1182"/>
      <c r="FW10" s="1182"/>
      <c r="FX10" s="1182"/>
      <c r="GA10" t="s">
        <v>583</v>
      </c>
      <c r="GB10" t="s">
        <v>576</v>
      </c>
      <c r="GD10" t="s">
        <v>577</v>
      </c>
      <c r="GF10" t="s">
        <v>578</v>
      </c>
      <c r="GH10" s="511" t="s">
        <v>579</v>
      </c>
    </row>
    <row r="11" spans="1:198" ht="47" customHeight="1">
      <c r="A11" s="320">
        <f>Januar!A11</f>
        <v>2027</v>
      </c>
      <c r="B11" s="236"/>
      <c r="C11" s="237"/>
      <c r="D11" s="238"/>
      <c r="E11" s="1199" t="s">
        <v>455</v>
      </c>
      <c r="F11" s="1200"/>
      <c r="G11" s="1201"/>
      <c r="H11" s="317" t="s">
        <v>674</v>
      </c>
      <c r="I11" s="1031" t="s">
        <v>452</v>
      </c>
      <c r="J11" s="1032" t="s">
        <v>470</v>
      </c>
      <c r="K11" s="1197" t="s">
        <v>299</v>
      </c>
      <c r="L11" s="1198"/>
      <c r="M11" s="318" t="s">
        <v>300</v>
      </c>
      <c r="N11" s="1047" t="s">
        <v>435</v>
      </c>
      <c r="O11" s="1047" t="s">
        <v>304</v>
      </c>
      <c r="P11" s="1047" t="s">
        <v>443</v>
      </c>
      <c r="Q11" s="1047" t="s">
        <v>381</v>
      </c>
      <c r="R11" s="1215" t="s">
        <v>497</v>
      </c>
      <c r="S11" s="1223" t="s">
        <v>301</v>
      </c>
      <c r="T11" s="1224"/>
      <c r="U11" s="1224"/>
      <c r="V11" s="1224"/>
      <c r="W11" s="1224"/>
      <c r="X11" s="1225"/>
      <c r="Y11" s="209"/>
      <c r="Z11" s="209"/>
      <c r="AA11" s="1049" t="s">
        <v>258</v>
      </c>
      <c r="AB11" s="1049"/>
      <c r="AC11" s="1049"/>
      <c r="AD11" s="1049"/>
      <c r="AE11" s="1049"/>
      <c r="AF11" s="206"/>
      <c r="AG11" s="1049" t="s">
        <v>219</v>
      </c>
      <c r="AH11" s="1049"/>
      <c r="AI11" s="1049"/>
      <c r="AJ11" s="1049"/>
      <c r="AK11" s="1049"/>
      <c r="AL11" s="1049" t="s">
        <v>220</v>
      </c>
      <c r="AM11" s="1049"/>
      <c r="AN11" s="1049"/>
      <c r="AO11" s="1049"/>
      <c r="AP11" s="1049"/>
      <c r="AQ11" s="1049" t="s">
        <v>221</v>
      </c>
      <c r="AR11" s="1049"/>
      <c r="AS11" s="1049"/>
      <c r="AT11" s="1049"/>
      <c r="AU11" s="1049"/>
      <c r="AV11" s="1049" t="s">
        <v>222</v>
      </c>
      <c r="AW11" s="1049"/>
      <c r="AX11" s="1049"/>
      <c r="AY11" s="1049"/>
      <c r="AZ11" s="1049"/>
      <c r="BA11" s="293"/>
      <c r="BB11" s="206"/>
      <c r="BC11" s="1049" t="s">
        <v>261</v>
      </c>
      <c r="BD11" s="1049"/>
      <c r="BE11" s="1049"/>
      <c r="BF11" s="1049"/>
      <c r="BG11" s="1049" t="s">
        <v>224</v>
      </c>
      <c r="BH11" s="1049"/>
      <c r="BI11" s="1049"/>
      <c r="BJ11" s="1049"/>
      <c r="BK11" s="1049"/>
      <c r="BL11" s="1049" t="s">
        <v>225</v>
      </c>
      <c r="BM11" s="1049"/>
      <c r="BN11" s="1049"/>
      <c r="BO11" s="1049"/>
      <c r="BP11" s="1049"/>
      <c r="BQ11" s="1049" t="s">
        <v>226</v>
      </c>
      <c r="BR11" s="1049"/>
      <c r="BS11" s="1049"/>
      <c r="BT11" s="1049"/>
      <c r="BU11" s="1049"/>
      <c r="BV11" s="1049" t="s">
        <v>227</v>
      </c>
      <c r="BW11" s="1049"/>
      <c r="BX11" s="1049"/>
      <c r="BY11" s="1049"/>
      <c r="BZ11" s="1049"/>
      <c r="CD11" s="1049" t="s">
        <v>262</v>
      </c>
      <c r="CE11" s="1049"/>
      <c r="CF11" s="1049"/>
      <c r="CG11" s="1049"/>
      <c r="CH11" s="1049"/>
      <c r="CI11" s="1049" t="s">
        <v>264</v>
      </c>
      <c r="CJ11" s="1049"/>
      <c r="CK11" s="1049"/>
      <c r="CL11" s="1049"/>
      <c r="CM11" s="1049"/>
      <c r="CN11" s="1049" t="s">
        <v>263</v>
      </c>
      <c r="CO11" s="1049"/>
      <c r="CP11" s="1049"/>
      <c r="CQ11" s="1049"/>
      <c r="CR11" s="1049"/>
      <c r="CS11" s="1049" t="s">
        <v>265</v>
      </c>
      <c r="CT11" s="1049"/>
      <c r="CU11" s="1049"/>
      <c r="CV11" s="1049"/>
      <c r="CW11" s="1049"/>
      <c r="CX11" s="242"/>
      <c r="CZ11"/>
      <c r="DA11" s="837" t="s">
        <v>209</v>
      </c>
      <c r="DB11" s="837"/>
      <c r="DC11" s="837"/>
      <c r="DD11" s="837"/>
      <c r="DE11" s="837"/>
      <c r="DO11" s="1217" t="s">
        <v>315</v>
      </c>
      <c r="DP11" s="1218"/>
      <c r="DQ11" s="1218"/>
      <c r="DR11" s="1218"/>
      <c r="DS11" s="1218"/>
      <c r="DT11" s="1218"/>
      <c r="DU11" s="1218"/>
      <c r="DV11" s="1219"/>
      <c r="DW11" s="1220" t="s">
        <v>370</v>
      </c>
      <c r="DX11" s="1221"/>
      <c r="DY11" s="1221"/>
      <c r="DZ11" s="1221"/>
      <c r="EA11" s="1221"/>
      <c r="EB11" s="1221"/>
      <c r="EC11" s="1221"/>
      <c r="ED11" s="1222"/>
      <c r="EE11" s="1212" t="s">
        <v>316</v>
      </c>
      <c r="EF11" s="1213"/>
      <c r="EG11" s="1213"/>
      <c r="EH11" s="1214"/>
      <c r="EI11" s="1209" t="s">
        <v>655</v>
      </c>
      <c r="EJ11" s="1210"/>
      <c r="EK11" s="1210"/>
      <c r="EL11" s="1211"/>
      <c r="EM11" s="1212" t="s">
        <v>319</v>
      </c>
      <c r="EN11" s="1213"/>
      <c r="EO11" s="1213"/>
      <c r="EP11" s="1214"/>
      <c r="EQ11" s="1212" t="s">
        <v>319</v>
      </c>
      <c r="ER11" s="1213"/>
      <c r="ES11" s="1213"/>
      <c r="ET11" s="1214"/>
      <c r="EU11" s="1042" t="s">
        <v>373</v>
      </c>
      <c r="EV11" s="1043"/>
      <c r="EW11" s="1043"/>
      <c r="EX11" s="1044"/>
      <c r="EY11" s="1042" t="s">
        <v>374</v>
      </c>
      <c r="EZ11" s="1043"/>
      <c r="FA11" s="1043"/>
      <c r="FB11" s="1044"/>
      <c r="FC11" s="1042" t="s">
        <v>375</v>
      </c>
      <c r="FD11" s="1043"/>
      <c r="FE11" s="1043"/>
      <c r="FF11" s="1044"/>
      <c r="FG11" s="1042" t="s">
        <v>376</v>
      </c>
      <c r="FH11" s="1043"/>
      <c r="FI11" s="1043"/>
      <c r="FJ11" s="1044"/>
      <c r="FK11" s="1172" t="s">
        <v>658</v>
      </c>
      <c r="FL11" s="1173"/>
      <c r="FM11" s="1173"/>
      <c r="FN11" s="1174"/>
      <c r="FO11" s="1027" t="s">
        <v>659</v>
      </c>
      <c r="FP11" s="1028"/>
      <c r="FQ11" s="1028"/>
      <c r="FR11" s="1029"/>
      <c r="FS11" s="1183" t="s">
        <v>375</v>
      </c>
      <c r="FT11" s="1183"/>
      <c r="FU11" s="1172" t="s">
        <v>580</v>
      </c>
      <c r="FV11" s="1173"/>
      <c r="FW11" s="1173"/>
      <c r="FX11" s="1184"/>
      <c r="FY11" s="1185" t="s">
        <v>571</v>
      </c>
      <c r="FZ11" s="1186"/>
      <c r="GA11" t="s">
        <v>573</v>
      </c>
      <c r="GB11" s="1183" t="s">
        <v>373</v>
      </c>
      <c r="GC11" s="1183"/>
      <c r="GD11" s="1183" t="s">
        <v>374</v>
      </c>
      <c r="GE11" s="1183"/>
      <c r="GF11" s="1183" t="s">
        <v>376</v>
      </c>
      <c r="GG11" s="1183"/>
      <c r="GH11" s="1183" t="s">
        <v>372</v>
      </c>
      <c r="GI11" s="1183"/>
      <c r="GP11" s="109" t="s">
        <v>663</v>
      </c>
    </row>
    <row r="12" spans="1:198" ht="196" customHeight="1">
      <c r="A12" s="1187" t="s">
        <v>285</v>
      </c>
      <c r="B12" s="1188"/>
      <c r="C12" s="1188"/>
      <c r="D12" s="1189"/>
      <c r="E12" s="1202"/>
      <c r="F12" s="1203"/>
      <c r="G12" s="1204"/>
      <c r="H12" s="1193" t="s">
        <v>668</v>
      </c>
      <c r="I12" s="1031"/>
      <c r="J12" s="1032"/>
      <c r="K12" s="319" t="s">
        <v>498</v>
      </c>
      <c r="L12" s="319" t="s">
        <v>499</v>
      </c>
      <c r="M12" s="319" t="s">
        <v>500</v>
      </c>
      <c r="N12" s="1048"/>
      <c r="O12" s="1048"/>
      <c r="P12" s="1048"/>
      <c r="Q12" s="1048"/>
      <c r="R12" s="1216"/>
      <c r="S12" s="477" t="s">
        <v>669</v>
      </c>
      <c r="T12" s="318" t="s">
        <v>303</v>
      </c>
      <c r="U12" s="318" t="s">
        <v>672</v>
      </c>
      <c r="V12" s="430" t="s">
        <v>428</v>
      </c>
      <c r="W12" s="430" t="s">
        <v>427</v>
      </c>
      <c r="X12" s="431" t="s">
        <v>673</v>
      </c>
      <c r="Y12" s="209" t="s">
        <v>276</v>
      </c>
      <c r="Z12" s="423" t="s">
        <v>277</v>
      </c>
      <c r="AA12" s="294" t="s">
        <v>208</v>
      </c>
      <c r="AB12" t="s">
        <v>134</v>
      </c>
      <c r="AC12" t="s">
        <v>137</v>
      </c>
      <c r="AD12" t="s">
        <v>136</v>
      </c>
      <c r="AE12" t="s">
        <v>135</v>
      </c>
      <c r="AF12" t="s">
        <v>406</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223</v>
      </c>
      <c r="BB12" s="223" t="s">
        <v>210</v>
      </c>
      <c r="BC12" t="s">
        <v>260</v>
      </c>
      <c r="BD12" t="s">
        <v>259</v>
      </c>
      <c r="BE12" t="s">
        <v>245</v>
      </c>
      <c r="BF12" t="s">
        <v>246</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228</v>
      </c>
      <c r="CB12" s="228" t="s">
        <v>248</v>
      </c>
      <c r="CC12" s="294" t="s">
        <v>249</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274</v>
      </c>
      <c r="CY12" s="242" t="s">
        <v>266</v>
      </c>
      <c r="CZ12" s="242" t="s">
        <v>267</v>
      </c>
      <c r="DA12" s="242" t="s">
        <v>268</v>
      </c>
      <c r="DB12" s="242" t="s">
        <v>269</v>
      </c>
      <c r="DC12" s="242" t="s">
        <v>270</v>
      </c>
      <c r="DD12" s="242" t="s">
        <v>271</v>
      </c>
      <c r="DE12" s="242" t="s">
        <v>272</v>
      </c>
      <c r="DF12" s="242" t="s">
        <v>273</v>
      </c>
      <c r="DG12" s="242"/>
      <c r="DO12" s="626" t="s">
        <v>642</v>
      </c>
      <c r="DP12" s="294" t="s">
        <v>643</v>
      </c>
      <c r="DQ12" s="677" t="s">
        <v>644</v>
      </c>
      <c r="DR12" s="677" t="s">
        <v>645</v>
      </c>
      <c r="DS12" s="627" t="s">
        <v>670</v>
      </c>
      <c r="DT12" s="627" t="str">
        <f>DP12</f>
        <v>Ulempetillæg på weekenddage - kræver der er sat kryds i weekendarbejde. KOLONNE I. Minus ved lejrskole.</v>
      </c>
      <c r="DU12" s="679" t="s">
        <v>600</v>
      </c>
      <c r="DV12" s="678" t="str">
        <f>DR12</f>
        <v>Ulempetillæg ændringer på weekenddage. Kræver der er sat kryds i ændring i timetal og at det er en weekeend. KOLONNE I OG S. Minus lejrskole</v>
      </c>
      <c r="DW12" s="680" t="s">
        <v>646</v>
      </c>
      <c r="DX12" s="677" t="s">
        <v>647</v>
      </c>
      <c r="DY12" s="677" t="s">
        <v>648</v>
      </c>
      <c r="DZ12" s="677" t="s">
        <v>649</v>
      </c>
      <c r="EA12" s="627" t="s">
        <v>599</v>
      </c>
      <c r="EB12" s="679" t="str">
        <f>DX12</f>
        <v>Ulempetillæg på weekenddage til afspadsering. Kræver der er sat kryds i weekendarb. KOLONNE I. Minus ved lejrskole.</v>
      </c>
      <c r="EC12" s="679" t="s">
        <v>600</v>
      </c>
      <c r="ED12" s="678" t="str">
        <f>DZ12</f>
        <v>Ulempetillæg ændringer på weekenddage. Kræver der er sat kryds i ændring i timetal og at det er en weekeend. KOLONNE I OG S. Minus lejrskole</v>
      </c>
      <c r="EE12" s="632" t="s">
        <v>650</v>
      </c>
      <c r="EF12" s="630" t="s">
        <v>601</v>
      </c>
      <c r="EG12" s="631" t="s">
        <v>604</v>
      </c>
      <c r="EH12" s="633" t="s">
        <v>603</v>
      </c>
      <c r="EI12" s="715" t="s">
        <v>656</v>
      </c>
      <c r="EJ12" s="719" t="s">
        <v>660</v>
      </c>
      <c r="EK12" s="631" t="s">
        <v>604</v>
      </c>
      <c r="EL12" s="633" t="s">
        <v>603</v>
      </c>
      <c r="EM12" s="632" t="s">
        <v>650</v>
      </c>
      <c r="EN12" s="630" t="s">
        <v>653</v>
      </c>
      <c r="EO12" s="631" t="s">
        <v>604</v>
      </c>
      <c r="EP12" s="633" t="s">
        <v>603</v>
      </c>
      <c r="EQ12" s="715" t="s">
        <v>657</v>
      </c>
      <c r="ER12" s="719" t="s">
        <v>661</v>
      </c>
      <c r="ES12" s="631" t="s">
        <v>604</v>
      </c>
      <c r="ET12" s="633" t="s">
        <v>603</v>
      </c>
      <c r="EU12" s="632" t="s">
        <v>651</v>
      </c>
      <c r="EV12" s="630" t="s">
        <v>652</v>
      </c>
      <c r="EW12" s="631" t="s">
        <v>602</v>
      </c>
      <c r="EX12" s="633" t="s">
        <v>606</v>
      </c>
      <c r="EY12" s="632" t="s">
        <v>651</v>
      </c>
      <c r="EZ12" s="630" t="s">
        <v>652</v>
      </c>
      <c r="FA12" s="631" t="s">
        <v>602</v>
      </c>
      <c r="FB12" s="633" t="s">
        <v>606</v>
      </c>
      <c r="FC12" s="632" t="s">
        <v>607</v>
      </c>
      <c r="FD12" s="630" t="s">
        <v>605</v>
      </c>
      <c r="FE12" s="631" t="s">
        <v>602</v>
      </c>
      <c r="FF12" s="633" t="s">
        <v>606</v>
      </c>
      <c r="FG12" s="632" t="str">
        <f>FC12</f>
        <v>Weekendtimer på weekenddage</v>
      </c>
      <c r="FH12" s="630" t="s">
        <v>605</v>
      </c>
      <c r="FI12" s="631" t="s">
        <v>602</v>
      </c>
      <c r="FJ12" s="633" t="s">
        <v>606</v>
      </c>
      <c r="FK12" s="658" t="s">
        <v>568</v>
      </c>
      <c r="FL12" s="630" t="s">
        <v>550</v>
      </c>
      <c r="FM12" s="658" t="s">
        <v>568</v>
      </c>
      <c r="FN12" s="633" t="s">
        <v>550</v>
      </c>
      <c r="FO12" s="715" t="s">
        <v>568</v>
      </c>
      <c r="FP12" s="630" t="s">
        <v>550</v>
      </c>
      <c r="FQ12" s="658" t="s">
        <v>568</v>
      </c>
      <c r="FR12" s="633" t="s">
        <v>550</v>
      </c>
      <c r="FS12" s="659" t="s">
        <v>563</v>
      </c>
      <c r="FT12" s="660" t="s">
        <v>564</v>
      </c>
      <c r="FU12" s="658" t="s">
        <v>549</v>
      </c>
      <c r="FV12" s="630" t="s">
        <v>550</v>
      </c>
      <c r="FW12" s="662" t="s">
        <v>549</v>
      </c>
      <c r="FX12" s="663" t="s">
        <v>550</v>
      </c>
      <c r="FY12" s="667" t="s">
        <v>570</v>
      </c>
      <c r="FZ12" s="660" t="s">
        <v>570</v>
      </c>
      <c r="GA12" s="294" t="s">
        <v>572</v>
      </c>
      <c r="GB12" s="659" t="s">
        <v>574</v>
      </c>
      <c r="GC12" s="659" t="s">
        <v>574</v>
      </c>
      <c r="GD12" s="659" t="s">
        <v>574</v>
      </c>
      <c r="GE12" s="659" t="s">
        <v>574</v>
      </c>
      <c r="GF12" s="659" t="s">
        <v>565</v>
      </c>
      <c r="GG12" s="660" t="s">
        <v>566</v>
      </c>
      <c r="GH12" s="659" t="s">
        <v>565</v>
      </c>
      <c r="GI12" s="660" t="s">
        <v>566</v>
      </c>
      <c r="GJ12" s="712" t="s">
        <v>635</v>
      </c>
      <c r="GK12" s="712" t="s">
        <v>636</v>
      </c>
      <c r="GL12" s="712" t="s">
        <v>637</v>
      </c>
      <c r="GM12" s="712" t="s">
        <v>638</v>
      </c>
      <c r="GN12" s="712" t="s">
        <v>640</v>
      </c>
      <c r="GO12" s="712" t="s">
        <v>639</v>
      </c>
      <c r="GP12" s="722" t="s">
        <v>662</v>
      </c>
    </row>
    <row r="13" spans="1:198" ht="20" customHeight="1">
      <c r="A13" s="1190"/>
      <c r="B13" s="1191"/>
      <c r="C13" s="1191"/>
      <c r="D13" s="1192"/>
      <c r="E13" s="1205"/>
      <c r="F13" s="1206"/>
      <c r="G13" s="1207"/>
      <c r="H13" s="1048"/>
      <c r="I13" s="1031"/>
      <c r="J13" s="1032"/>
      <c r="K13" s="1076" t="s">
        <v>320</v>
      </c>
      <c r="L13" s="1058"/>
      <c r="M13" s="1058"/>
      <c r="N13" s="1058"/>
      <c r="O13" s="1058"/>
      <c r="P13" s="1058"/>
      <c r="Q13" s="1058"/>
      <c r="R13" s="1077"/>
      <c r="S13" s="1057" t="s">
        <v>377</v>
      </c>
      <c r="T13" s="1058"/>
      <c r="U13" s="1059"/>
      <c r="V13" s="1076" t="s">
        <v>378</v>
      </c>
      <c r="W13" s="1058"/>
      <c r="X13" s="1077"/>
      <c r="Y13" s="209"/>
      <c r="Z13" s="423"/>
      <c r="AA13" s="294"/>
      <c r="BB13" s="223"/>
      <c r="CA13" s="109"/>
      <c r="CB13" s="228"/>
      <c r="CC13" s="294"/>
      <c r="CX13" s="242"/>
      <c r="DA13" s="242"/>
      <c r="DB13" s="242"/>
      <c r="DC13" s="242"/>
      <c r="DD13" s="242"/>
      <c r="DE13" s="242"/>
      <c r="DF13" s="242"/>
      <c r="DG13" s="242"/>
      <c r="DH13" t="s">
        <v>476</v>
      </c>
      <c r="DI13" t="s">
        <v>477</v>
      </c>
      <c r="DJ13" t="s">
        <v>478</v>
      </c>
      <c r="DO13" s="628"/>
      <c r="DP13" s="714" t="s">
        <v>641</v>
      </c>
      <c r="DS13" s="1176" t="s">
        <v>160</v>
      </c>
      <c r="DT13" s="1176"/>
      <c r="DU13" s="1176"/>
      <c r="DV13" s="1177"/>
      <c r="EA13" s="1178" t="s">
        <v>160</v>
      </c>
      <c r="EB13" s="1178"/>
      <c r="EC13" s="1178"/>
      <c r="ED13" s="629"/>
      <c r="EE13" s="277"/>
      <c r="EF13" s="245"/>
      <c r="EG13" s="1045" t="s">
        <v>160</v>
      </c>
      <c r="EH13" s="1046"/>
      <c r="EI13" s="277"/>
      <c r="EJ13" s="245"/>
      <c r="EK13" s="1045" t="s">
        <v>160</v>
      </c>
      <c r="EL13" s="1046"/>
      <c r="EM13" s="277"/>
      <c r="EN13" s="245"/>
      <c r="EO13" s="1045" t="s">
        <v>160</v>
      </c>
      <c r="EP13" s="1046"/>
      <c r="EQ13" s="277"/>
      <c r="ER13" s="245"/>
      <c r="ES13" s="1045" t="s">
        <v>160</v>
      </c>
      <c r="ET13" s="1046"/>
      <c r="EU13" s="277"/>
      <c r="EV13" s="245"/>
      <c r="EW13" s="1045" t="s">
        <v>160</v>
      </c>
      <c r="EX13" s="1046"/>
      <c r="EY13" s="277"/>
      <c r="EZ13" s="245"/>
      <c r="FA13" s="1045" t="s">
        <v>160</v>
      </c>
      <c r="FB13" s="1046"/>
      <c r="FC13" s="277"/>
      <c r="FD13" s="245"/>
      <c r="FE13" s="1045" t="s">
        <v>160</v>
      </c>
      <c r="FF13" s="1046"/>
      <c r="FG13" s="277"/>
      <c r="FH13" s="245"/>
      <c r="FI13" s="1045" t="s">
        <v>160</v>
      </c>
      <c r="FJ13" s="1046"/>
      <c r="FK13" s="277"/>
      <c r="FL13" s="245"/>
      <c r="FM13" s="1045" t="s">
        <v>160</v>
      </c>
      <c r="FN13" s="1046"/>
      <c r="FO13" s="277"/>
      <c r="FP13" s="245"/>
      <c r="FQ13" s="1045" t="s">
        <v>160</v>
      </c>
      <c r="FR13" s="1046"/>
      <c r="FT13" s="622" t="s">
        <v>158</v>
      </c>
      <c r="FU13" s="277"/>
      <c r="FV13" s="245"/>
      <c r="FW13" s="1045" t="s">
        <v>160</v>
      </c>
      <c r="FX13" s="1175"/>
      <c r="FY13" s="277"/>
      <c r="FZ13" s="668" t="s">
        <v>158</v>
      </c>
      <c r="GC13" s="622" t="s">
        <v>158</v>
      </c>
      <c r="GE13" s="622" t="s">
        <v>158</v>
      </c>
      <c r="GG13" s="622" t="s">
        <v>158</v>
      </c>
      <c r="GI13" s="622" t="s">
        <v>158</v>
      </c>
    </row>
    <row r="14" spans="1:198">
      <c r="A14" s="239">
        <f>IF(ISNUMBER(A12),A12+1,1)</f>
        <v>1</v>
      </c>
      <c r="B14" s="125" t="str">
        <f t="shared" ref="B14:B43" si="0">CHOOSE(MOD(WEEKDAY(DATE(A$11,A$2,A14)),7)+1,"lø","sø","ma","ti","on","to","fr",)</f>
        <v>ti</v>
      </c>
      <c r="C14" s="126" t="s">
        <v>203</v>
      </c>
      <c r="D14" s="127" t="str">
        <f t="shared" ref="D14:D43" si="1">IF(B14="ma",(DATE(A$11,A$2,A14)-DATE(A$11,1,1)+7)/7,"")</f>
        <v/>
      </c>
      <c r="E14" s="1060"/>
      <c r="F14" s="1061"/>
      <c r="G14" s="1062"/>
      <c r="H14" s="292"/>
      <c r="I14" s="745"/>
      <c r="J14" s="746" t="str">
        <f t="shared" ref="J14:J43" si="2">IF(C14="Lejrskole","X","")</f>
        <v/>
      </c>
      <c r="K14" s="368"/>
      <c r="L14" s="368"/>
      <c r="M14" s="368"/>
      <c r="N14" s="311">
        <f>BA14</f>
        <v>8.11</v>
      </c>
      <c r="O14" s="311">
        <f>CA14</f>
        <v>4.5</v>
      </c>
      <c r="P14" s="311">
        <f>IF(Stamoplysninger!$H$34="JA",Juni!DG14,CX14)</f>
        <v>1.9166666666666665</v>
      </c>
      <c r="Q14" s="311">
        <f>IF(OR(OR(C14="Lejrskole",C14="Ekskursion",C14="pæd.dag")),0,N14-O14-P14)</f>
        <v>1.6933333333333329</v>
      </c>
      <c r="R14" s="751"/>
      <c r="S14" s="315"/>
      <c r="T14" s="316"/>
      <c r="U14" s="316"/>
      <c r="V14" s="422"/>
      <c r="W14" s="422"/>
      <c r="X14" s="621"/>
      <c r="Y14">
        <f>IF($S$14="x",V14-N14,0)</f>
        <v>0</v>
      </c>
      <c r="Z14" s="424">
        <f>W14</f>
        <v>0</v>
      </c>
      <c r="AA14" s="1">
        <f t="shared" ref="AA14:AA43" si="3">IF(C14="emnedag",K14,0)</f>
        <v>0</v>
      </c>
      <c r="AB14" s="1">
        <f t="shared" ref="AB14:AB43" si="4">IF(C14="fagdag",K14,0)</f>
        <v>0</v>
      </c>
      <c r="AC14" s="1">
        <f t="shared" ref="AC14:AC43" si="5">IF(C14="Pæd.dag",K14,0)</f>
        <v>0</v>
      </c>
      <c r="AD14" s="1">
        <f t="shared" ref="AD14:AD43" si="6">IF(C14="Ekskursion",K14,0)</f>
        <v>0</v>
      </c>
      <c r="AE14" s="1">
        <f t="shared" ref="AE14:AE43" si="7">IF(C14="Lejrskole",K14,0)</f>
        <v>0</v>
      </c>
      <c r="AF14" s="1">
        <f>IF(C14="Orlov",7.4*Stamoplysninger!$E$20,0)</f>
        <v>0</v>
      </c>
      <c r="AG14" t="str">
        <f>IF(AND(C14="Skema 1",B14="ma"),Arbejdstidsoversigt!$E$77,"")</f>
        <v/>
      </c>
      <c r="AH14">
        <f>IF(AND(C14="Skema 1",B14="ti"),Arbejdstidsoversigt!$E$78,"")</f>
        <v>8.11</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8.11</v>
      </c>
      <c r="BB14" s="224">
        <f t="shared" ref="BB14:BB43" si="8">SUM(AG14:AK14)*24</f>
        <v>194.64</v>
      </c>
      <c r="BC14" s="1">
        <f>IF($C$14="Lejrskole",$L$14,0)</f>
        <v>0</v>
      </c>
      <c r="BD14" s="1">
        <f t="shared" ref="BD14:BD43" si="9">IF(C14="Ekskursion",L14,0)</f>
        <v>0</v>
      </c>
      <c r="BE14" s="1">
        <f t="shared" ref="BE14:BE43" si="10">IF(C14="fagdag",L14,0)</f>
        <v>0</v>
      </c>
      <c r="BF14" s="1">
        <f t="shared" ref="BF14:BF43" si="11">IF(C14="emnedag",L14,0)</f>
        <v>0</v>
      </c>
      <c r="BG14" s="207" t="str">
        <f>IF(AND(C14="Skema 1",B14="ma"),Skemaoplysninger!$E$46,"")</f>
        <v/>
      </c>
      <c r="BH14" s="207">
        <f>IF(AND(C14="Skema 1",B14="ti"),Skemaoplysninger!$G$46,"")</f>
        <v>0.1875</v>
      </c>
      <c r="BI14" s="207" t="str">
        <f>IF(AND(C14="Skema 1",B14="on"),Skemaoplysninger!$I$46,"")</f>
        <v/>
      </c>
      <c r="BJ14" s="207" t="str">
        <f>IF(AND(C14="Skema 1",B14="to"),Skemaoplysninger!$K$46,"")</f>
        <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4.5</v>
      </c>
      <c r="CB14" s="1">
        <f t="shared" ref="CB14:CB43" si="12">IF(C14="fagdag",M14,0)</f>
        <v>0</v>
      </c>
      <c r="CC14" s="1">
        <f t="shared" ref="CC14:CC43" si="13">IF(C14="emnedag",M14,0)</f>
        <v>0</v>
      </c>
      <c r="CD14" s="207" t="str">
        <f>IF(AND(C14="Skema 1",B14="ma"),Skemaoplysninger!$E$47,"")</f>
        <v/>
      </c>
      <c r="CE14" s="207">
        <f>IF(AND(C14="Skema 1",B14="ti"),Skemaoplysninger!$G$47,"")</f>
        <v>7.9861111111111105E-2</v>
      </c>
      <c r="CF14" s="207" t="str">
        <f>IF(AND(C14="Skema 1",B14="on"),Skemaoplysninger!$I$47,"")</f>
        <v/>
      </c>
      <c r="CG14" s="207" t="str">
        <f>IF(AND(C14="Skema 1",B14="to"),Skemaoplysninger!$K$47,"")</f>
        <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1.9166666666666665</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3" si="14">IF(DH14=0,"",DH14)</f>
        <v/>
      </c>
      <c r="DL14" t="str">
        <f>IF(DI14=0,"",DI14)</f>
        <v/>
      </c>
      <c r="DM14" t="str">
        <f>IF(DJ14=0,"",DJ14)</f>
        <v/>
      </c>
      <c r="DN14" t="str">
        <f>DK14&amp;""&amp;DL14&amp;""&amp;DM14</f>
        <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3" si="15">IF(AND(I14="X",S14="X"),V14,0)</f>
        <v>0</v>
      </c>
      <c r="FZ14" s="634">
        <f t="shared" ref="FZ14:FZ43" si="16">IF(AND(AND(C14="ikke relevant",I14="X",S14="X")),V14,0)</f>
        <v>0</v>
      </c>
      <c r="GA14">
        <f t="shared" ref="GA14:GA43" si="17">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3" si="18">IF(C14="emnedag","X",0)</f>
        <v>0</v>
      </c>
      <c r="GL14">
        <f t="shared" ref="GL14:GL43" si="19">IF(C14="ekskursion","X",0)</f>
        <v>0</v>
      </c>
      <c r="GM14">
        <f t="shared" ref="GM14:GM43" si="20">IF(C14="pæd.dag","X",0)</f>
        <v>0</v>
      </c>
      <c r="GN14" s="713">
        <f t="shared" ref="GN14:GN43" si="21">IF(C14="lejrskole","X",0)</f>
        <v>0</v>
      </c>
      <c r="GO14">
        <f>COUNTIF(GJ14:GN14,"X")</f>
        <v>0</v>
      </c>
      <c r="GP14" s="647">
        <f>IF(AND(I14="X",S14="X"),V14,0)</f>
        <v>0</v>
      </c>
    </row>
    <row r="15" spans="1:198">
      <c r="A15" s="239">
        <f t="shared" ref="A15:A43" si="22">IF(ISNUMBER(A14),A14+1,1)</f>
        <v>2</v>
      </c>
      <c r="B15" s="125" t="str">
        <f t="shared" si="0"/>
        <v>on</v>
      </c>
      <c r="C15" s="126" t="s">
        <v>203</v>
      </c>
      <c r="D15" s="127" t="str">
        <f t="shared" si="1"/>
        <v/>
      </c>
      <c r="E15" s="1060"/>
      <c r="F15" s="1061"/>
      <c r="G15" s="1062"/>
      <c r="H15" s="292"/>
      <c r="I15" s="745"/>
      <c r="J15" s="746" t="str">
        <f t="shared" si="2"/>
        <v/>
      </c>
      <c r="K15" s="368"/>
      <c r="L15" s="368"/>
      <c r="M15" s="368"/>
      <c r="N15" s="311">
        <f t="shared" ref="N15:N43" si="23">BA15</f>
        <v>8.11</v>
      </c>
      <c r="O15" s="311">
        <f t="shared" ref="O15:O43" si="24">CA15</f>
        <v>2.75</v>
      </c>
      <c r="P15" s="311">
        <f>IF(Stamoplysninger!$H$34="JA",Juni!DG15,CX15)</f>
        <v>1.25</v>
      </c>
      <c r="Q15" s="311">
        <f t="shared" ref="Q15:Q43" si="25">IF(OR(OR(C15="Lejrskole",C15="Ekskursion",C15="pæd.dag")),0,N15-O15-P15)</f>
        <v>4.1099999999999994</v>
      </c>
      <c r="R15" s="751"/>
      <c r="S15" s="315"/>
      <c r="T15" s="316"/>
      <c r="U15" s="316"/>
      <c r="V15" s="422"/>
      <c r="W15" s="422"/>
      <c r="X15" s="621"/>
      <c r="Y15">
        <f t="shared" ref="Y15:Y43" si="26">IF(S15="x",V15-N15,0)</f>
        <v>0</v>
      </c>
      <c r="Z15" s="424">
        <f t="shared" ref="Z15:Z43" si="27">W15</f>
        <v>0</v>
      </c>
      <c r="AA15" s="1">
        <f t="shared" si="3"/>
        <v>0</v>
      </c>
      <c r="AB15" s="1">
        <f t="shared" si="4"/>
        <v>0</v>
      </c>
      <c r="AC15" s="1">
        <f t="shared" si="5"/>
        <v>0</v>
      </c>
      <c r="AD15" s="1">
        <f t="shared" si="6"/>
        <v>0</v>
      </c>
      <c r="AE15" s="1">
        <f t="shared" si="7"/>
        <v>0</v>
      </c>
      <c r="AF15" s="1">
        <f>IF(C15="Orlov",7.4*Stamoplysninger!$E$20,0)</f>
        <v>0</v>
      </c>
      <c r="AG15" t="str">
        <f>IF(AND(C15="Skema 1",B15="ma"),Arbejdstidsoversigt!$E$77,"")</f>
        <v/>
      </c>
      <c r="AH15" t="str">
        <f>IF(AND(C15="Skema 1",B15="ti"),Arbejdstidsoversigt!$E$78,"")</f>
        <v/>
      </c>
      <c r="AI15">
        <f>IF(AND(C15="Skema 1",B15="on"),Arbejdstidsoversigt!$E$79,"")</f>
        <v>8.11</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3" si="28">SUM(AA15:AZ15)</f>
        <v>8.11</v>
      </c>
      <c r="BB15" s="224">
        <f t="shared" si="8"/>
        <v>194.64</v>
      </c>
      <c r="BC15" s="1">
        <f t="shared" ref="BC15:BC43" si="29">IF(C15="Lejrskole",L15,0)</f>
        <v>0</v>
      </c>
      <c r="BD15" s="1">
        <f t="shared" si="9"/>
        <v>0</v>
      </c>
      <c r="BE15" s="1">
        <f t="shared" si="10"/>
        <v>0</v>
      </c>
      <c r="BF15" s="1">
        <f t="shared" si="11"/>
        <v>0</v>
      </c>
      <c r="BG15" s="207" t="str">
        <f>IF(AND(C15="Skema 1",B15="ma"),Skemaoplysninger!$E$46,"")</f>
        <v/>
      </c>
      <c r="BH15" s="207" t="str">
        <f>IF(AND(C15="Skema 1",B15="ti"),Skemaoplysninger!$G$46,"")</f>
        <v/>
      </c>
      <c r="BI15" s="207">
        <f>IF(AND(C15="Skema 1",B15="on"),Skemaoplysninger!$I$46,"")</f>
        <v>0.11458333333333333</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43" si="30">SUM(BG15:BZ15)*24+SUM(BC15:BF15)</f>
        <v>2.75</v>
      </c>
      <c r="CB15" s="1">
        <f t="shared" si="12"/>
        <v>0</v>
      </c>
      <c r="CC15" s="1">
        <f t="shared" si="13"/>
        <v>0</v>
      </c>
      <c r="CD15" s="207" t="str">
        <f>IF(AND(C15="Skema 1",B15="ma"),Skemaoplysninger!$E$47,"")</f>
        <v/>
      </c>
      <c r="CE15" s="207" t="str">
        <f>IF(AND(C15="Skema 1",B15="ti"),Skemaoplysninger!$G$47,"")</f>
        <v/>
      </c>
      <c r="CF15" s="207">
        <f>IF(AND(C15="Skema 1",B15="on"),Skemaoplysninger!$I$47,"")</f>
        <v>5.2083333333333329E-2</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1.25</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3" si="31">SUM(CY15:DF15)</f>
        <v>0</v>
      </c>
      <c r="DH15" t="str">
        <f t="shared" ref="DH15:DH43" si="32">IF(AND(E15&gt;0,H15&gt;0),""&amp;E15&amp;" og "&amp;H15&amp;"","")</f>
        <v/>
      </c>
      <c r="DI15">
        <f t="shared" ref="DI15:DI43" si="33">IF(H15="",E15,"")</f>
        <v>0</v>
      </c>
      <c r="DJ15">
        <f t="shared" ref="DJ15:DJ43" si="34">IF(E15="",H15,"")</f>
        <v>0</v>
      </c>
      <c r="DK15" t="str">
        <f t="shared" si="14"/>
        <v/>
      </c>
      <c r="DL15" t="str">
        <f t="shared" si="14"/>
        <v/>
      </c>
      <c r="DM15" t="str">
        <f t="shared" si="14"/>
        <v/>
      </c>
      <c r="DN15" t="str">
        <f t="shared" ref="DN15:DN43" si="35">DK15&amp;""&amp;DL15&amp;""&amp;DM15</f>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5"/>
        <v>0</v>
      </c>
      <c r="FZ15" s="634">
        <f t="shared" si="16"/>
        <v>0</v>
      </c>
      <c r="GA15">
        <f t="shared" si="17"/>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3" si="36">IF(C15="fagdag","X",0)</f>
        <v>0</v>
      </c>
      <c r="GK15">
        <f t="shared" si="18"/>
        <v>0</v>
      </c>
      <c r="GL15">
        <f t="shared" si="19"/>
        <v>0</v>
      </c>
      <c r="GM15">
        <f t="shared" si="20"/>
        <v>0</v>
      </c>
      <c r="GN15" s="713">
        <f t="shared" si="21"/>
        <v>0</v>
      </c>
      <c r="GO15">
        <f t="shared" ref="GO15:GO43" si="37">COUNTIF(GJ15:GN15,"X")</f>
        <v>0</v>
      </c>
      <c r="GP15" s="647">
        <f t="shared" ref="GP15:GP43" si="38">IF(AND(I15="X",S15="X"),V15,0)</f>
        <v>0</v>
      </c>
    </row>
    <row r="16" spans="1:198">
      <c r="A16" s="239">
        <f t="shared" si="22"/>
        <v>3</v>
      </c>
      <c r="B16" s="125" t="str">
        <f t="shared" si="0"/>
        <v>to</v>
      </c>
      <c r="C16" s="126" t="s">
        <v>203</v>
      </c>
      <c r="D16" s="127" t="str">
        <f t="shared" si="1"/>
        <v/>
      </c>
      <c r="E16" s="1060"/>
      <c r="F16" s="1061"/>
      <c r="G16" s="1062"/>
      <c r="H16" s="292"/>
      <c r="I16" s="745"/>
      <c r="J16" s="746" t="str">
        <f t="shared" si="2"/>
        <v/>
      </c>
      <c r="K16" s="368"/>
      <c r="L16" s="368"/>
      <c r="M16" s="368"/>
      <c r="N16" s="311">
        <f t="shared" si="23"/>
        <v>9</v>
      </c>
      <c r="O16" s="311">
        <f t="shared" si="24"/>
        <v>3.75</v>
      </c>
      <c r="P16" s="311">
        <f>IF(Stamoplysninger!$H$34="JA",Juni!DG16,CX16)</f>
        <v>1</v>
      </c>
      <c r="Q16" s="311">
        <f t="shared" si="25"/>
        <v>4.25</v>
      </c>
      <c r="R16" s="751"/>
      <c r="S16" s="315"/>
      <c r="T16" s="316"/>
      <c r="U16" s="316"/>
      <c r="V16" s="422"/>
      <c r="W16" s="422"/>
      <c r="X16" s="621"/>
      <c r="Y16">
        <f t="shared" si="26"/>
        <v>0</v>
      </c>
      <c r="Z16" s="424">
        <f t="shared" si="27"/>
        <v>0</v>
      </c>
      <c r="AA16" s="1">
        <f t="shared" si="3"/>
        <v>0</v>
      </c>
      <c r="AB16" s="1">
        <f t="shared" si="4"/>
        <v>0</v>
      </c>
      <c r="AC16" s="1">
        <f t="shared" si="5"/>
        <v>0</v>
      </c>
      <c r="AD16" s="1">
        <f t="shared" si="6"/>
        <v>0</v>
      </c>
      <c r="AE16" s="1">
        <f t="shared" si="7"/>
        <v>0</v>
      </c>
      <c r="AF16" s="1">
        <f>IF(C16="Orlov",7.4*Stamoplysninger!$E$20,0)</f>
        <v>0</v>
      </c>
      <c r="AG16" t="str">
        <f>IF(AND(C16="Skema 1",B16="ma"),Arbejdstidsoversigt!$E$77,"")</f>
        <v/>
      </c>
      <c r="AH16" t="str">
        <f>IF(AND(C16="Skema 1",B16="ti"),Arbejdstidsoversigt!$E$78,"")</f>
        <v/>
      </c>
      <c r="AI16" t="str">
        <f>IF(AND(C16="Skema 1",B16="on"),Arbejdstidsoversigt!$E$79,"")</f>
        <v/>
      </c>
      <c r="AJ16">
        <f>IF(AND(C16="Skema 1",B16="to"),Arbejdstidsoversigt!$E$80,"")</f>
        <v>9</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9</v>
      </c>
      <c r="BB16" s="224">
        <f t="shared" si="8"/>
        <v>216</v>
      </c>
      <c r="BC16" s="1">
        <f t="shared" si="29"/>
        <v>0</v>
      </c>
      <c r="BD16" s="1">
        <f t="shared" si="9"/>
        <v>0</v>
      </c>
      <c r="BE16" s="1">
        <f t="shared" si="10"/>
        <v>0</v>
      </c>
      <c r="BF16" s="1">
        <f t="shared" si="11"/>
        <v>0</v>
      </c>
      <c r="BG16" s="207" t="str">
        <f>IF(AND(C16="Skema 1",B16="ma"),Skemaoplysninger!$E$46,"")</f>
        <v/>
      </c>
      <c r="BH16" s="207" t="str">
        <f>IF(AND(C16="Skema 1",B16="ti"),Skemaoplysninger!$G$46,"")</f>
        <v/>
      </c>
      <c r="BI16" s="207" t="str">
        <f>IF(AND(C16="Skema 1",B16="on"),Skemaoplysninger!$I$46,"")</f>
        <v/>
      </c>
      <c r="BJ16" s="207">
        <f>IF(AND(C16="Skema 1",B16="to"),Skemaoplysninger!$K$46,"")</f>
        <v>0.15625</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0"/>
        <v>3.75</v>
      </c>
      <c r="CB16" s="1">
        <f t="shared" si="12"/>
        <v>0</v>
      </c>
      <c r="CC16" s="1">
        <f t="shared" si="13"/>
        <v>0</v>
      </c>
      <c r="CD16" s="207" t="str">
        <f>IF(AND(C16="Skema 1",B16="ma"),Skemaoplysninger!$E$47,"")</f>
        <v/>
      </c>
      <c r="CE16" s="207" t="str">
        <f>IF(AND(C16="Skema 1",B16="ti"),Skemaoplysninger!$G$47,"")</f>
        <v/>
      </c>
      <c r="CF16" s="207" t="str">
        <f>IF(AND(C16="Skema 1",B16="on"),Skemaoplysninger!$I$47,"")</f>
        <v/>
      </c>
      <c r="CG16" s="207">
        <f>IF(AND(C16="Skema 1",B16="to"),Skemaoplysninger!$K$47,"")</f>
        <v>4.1666666666666664E-2</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1</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4"/>
        <v/>
      </c>
      <c r="DL16" t="str">
        <f t="shared" si="14"/>
        <v/>
      </c>
      <c r="DM16" t="str">
        <f t="shared" si="14"/>
        <v/>
      </c>
      <c r="DN16" t="str">
        <f t="shared" si="35"/>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5"/>
        <v>0</v>
      </c>
      <c r="FZ16" s="634">
        <f t="shared" si="16"/>
        <v>0</v>
      </c>
      <c r="GA16">
        <f t="shared" si="17"/>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8"/>
        <v>0</v>
      </c>
      <c r="GL16">
        <f t="shared" si="19"/>
        <v>0</v>
      </c>
      <c r="GM16">
        <f t="shared" si="20"/>
        <v>0</v>
      </c>
      <c r="GN16" s="713">
        <f t="shared" si="21"/>
        <v>0</v>
      </c>
      <c r="GO16">
        <f t="shared" si="37"/>
        <v>0</v>
      </c>
      <c r="GP16" s="647">
        <f t="shared" si="38"/>
        <v>0</v>
      </c>
    </row>
    <row r="17" spans="1:198">
      <c r="A17" s="239">
        <f t="shared" si="22"/>
        <v>4</v>
      </c>
      <c r="B17" s="125" t="str">
        <f t="shared" si="0"/>
        <v>fr</v>
      </c>
      <c r="C17" s="126" t="s">
        <v>203</v>
      </c>
      <c r="D17" s="127" t="str">
        <f t="shared" si="1"/>
        <v/>
      </c>
      <c r="E17" s="1060"/>
      <c r="F17" s="1061"/>
      <c r="G17" s="1062"/>
      <c r="H17" s="292"/>
      <c r="I17" s="745"/>
      <c r="J17" s="746" t="str">
        <f t="shared" si="2"/>
        <v/>
      </c>
      <c r="K17" s="368"/>
      <c r="L17" s="368"/>
      <c r="M17" s="368"/>
      <c r="N17" s="311">
        <f t="shared" si="23"/>
        <v>7.1</v>
      </c>
      <c r="O17" s="311">
        <f t="shared" si="24"/>
        <v>3.75</v>
      </c>
      <c r="P17" s="311">
        <f>IF(Stamoplysninger!$H$34="JA",Juni!DG17,CX17)</f>
        <v>1</v>
      </c>
      <c r="Q17" s="311">
        <f t="shared" si="25"/>
        <v>2.3499999999999996</v>
      </c>
      <c r="R17" s="751"/>
      <c r="S17" s="315"/>
      <c r="T17" s="316"/>
      <c r="U17" s="316"/>
      <c r="V17" s="422"/>
      <c r="W17" s="422"/>
      <c r="X17" s="621"/>
      <c r="Y17">
        <f t="shared" si="26"/>
        <v>0</v>
      </c>
      <c r="Z17" s="424">
        <f t="shared" si="27"/>
        <v>0</v>
      </c>
      <c r="AA17" s="1">
        <f t="shared" si="3"/>
        <v>0</v>
      </c>
      <c r="AB17" s="1">
        <f t="shared" si="4"/>
        <v>0</v>
      </c>
      <c r="AC17" s="1">
        <f t="shared" si="5"/>
        <v>0</v>
      </c>
      <c r="AD17" s="1">
        <f t="shared" si="6"/>
        <v>0</v>
      </c>
      <c r="AE17" s="1">
        <f t="shared" si="7"/>
        <v>0</v>
      </c>
      <c r="AF17" s="1">
        <f>IF(C17="Orlov",7.4*Stamoplysninger!$E$20,0)</f>
        <v>0</v>
      </c>
      <c r="AG17" t="str">
        <f>IF(AND(C17="Skema 1",B17="ma"),Arbejdstidsoversigt!$E$77,"")</f>
        <v/>
      </c>
      <c r="AH17" t="str">
        <f>IF(AND(C17="Skema 1",B17="ti"),Arbejdstidsoversigt!$E$78,"")</f>
        <v/>
      </c>
      <c r="AI17" t="str">
        <f>IF(AND(C17="Skema 1",B17="on"),Arbejdstidsoversigt!$E$79,"")</f>
        <v/>
      </c>
      <c r="AJ17" t="str">
        <f>IF(AND(C17="Skema 1",B17="to"),Arbejdstidsoversigt!$E$80,"")</f>
        <v/>
      </c>
      <c r="AK17">
        <f>IF(AND(C17="Skema 1",B17="fr"),Arbejdstidsoversigt!$E$81,"")</f>
        <v>7.1</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7.1</v>
      </c>
      <c r="BB17" s="224">
        <f t="shared" si="8"/>
        <v>170.39999999999998</v>
      </c>
      <c r="BC17" s="1">
        <f t="shared" si="29"/>
        <v>0</v>
      </c>
      <c r="BD17" s="1">
        <f t="shared" si="9"/>
        <v>0</v>
      </c>
      <c r="BE17" s="1">
        <f t="shared" si="10"/>
        <v>0</v>
      </c>
      <c r="BF17" s="1">
        <f t="shared" si="11"/>
        <v>0</v>
      </c>
      <c r="BG17" s="207" t="str">
        <f>IF(AND(C17="Skema 1",B17="ma"),Skemaoplysninger!$E$46,"")</f>
        <v/>
      </c>
      <c r="BH17" s="207" t="str">
        <f>IF(AND(C17="Skema 1",B17="ti"),Skemaoplysninger!$G$46,"")</f>
        <v/>
      </c>
      <c r="BI17" s="207" t="str">
        <f>IF(AND(C17="Skema 1",B17="on"),Skemaoplysninger!$I$46,"")</f>
        <v/>
      </c>
      <c r="BJ17" s="207" t="str">
        <f>IF(AND(C17="Skema 1",B17="to"),Skemaoplysninger!$K$46,"")</f>
        <v/>
      </c>
      <c r="BK17" s="207">
        <f>IF(AND(C17="Skema 1",B17="fr"),Skemaoplysninger!$M$46,"")</f>
        <v>0.15625</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3.75</v>
      </c>
      <c r="CB17" s="1">
        <f t="shared" si="12"/>
        <v>0</v>
      </c>
      <c r="CC17" s="1">
        <f t="shared" si="13"/>
        <v>0</v>
      </c>
      <c r="CD17" s="207" t="str">
        <f>IF(AND(C17="Skema 1",B17="ma"),Skemaoplysninger!$E$47,"")</f>
        <v/>
      </c>
      <c r="CE17" s="207" t="str">
        <f>IF(AND(C17="Skema 1",B17="ti"),Skemaoplysninger!$G$47,"")</f>
        <v/>
      </c>
      <c r="CF17" s="207" t="str">
        <f>IF(AND(C17="Skema 1",B17="on"),Skemaoplysninger!$I$47,"")</f>
        <v/>
      </c>
      <c r="CG17" s="207" t="str">
        <f>IF(AND(C17="Skema 1",B17="to"),Skemaoplysninger!$K$47,"")</f>
        <v/>
      </c>
      <c r="CH17" s="207">
        <f>IF(AND(C17="Skema 1",B17="fr"),Skemaoplysninger!$M$47,"")</f>
        <v>4.1666666666666664E-2</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1</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4"/>
        <v/>
      </c>
      <c r="DL17" t="str">
        <f t="shared" si="14"/>
        <v/>
      </c>
      <c r="DM17" t="str">
        <f t="shared" si="14"/>
        <v/>
      </c>
      <c r="DN17" t="str">
        <f t="shared" si="3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5"/>
        <v>0</v>
      </c>
      <c r="FZ17" s="634">
        <f t="shared" si="16"/>
        <v>0</v>
      </c>
      <c r="GA17">
        <f t="shared" si="17"/>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8"/>
        <v>0</v>
      </c>
      <c r="GL17">
        <f t="shared" si="19"/>
        <v>0</v>
      </c>
      <c r="GM17">
        <f t="shared" si="20"/>
        <v>0</v>
      </c>
      <c r="GN17" s="713">
        <f t="shared" si="21"/>
        <v>0</v>
      </c>
      <c r="GO17">
        <f t="shared" si="37"/>
        <v>0</v>
      </c>
      <c r="GP17" s="647">
        <f t="shared" si="38"/>
        <v>0</v>
      </c>
    </row>
    <row r="18" spans="1:198">
      <c r="A18" s="239">
        <f t="shared" si="22"/>
        <v>5</v>
      </c>
      <c r="B18" s="125" t="str">
        <f t="shared" si="0"/>
        <v>lø</v>
      </c>
      <c r="C18" s="126" t="s">
        <v>118</v>
      </c>
      <c r="D18" s="127" t="str">
        <f t="shared" si="1"/>
        <v/>
      </c>
      <c r="E18" s="1060"/>
      <c r="F18" s="1061"/>
      <c r="G18" s="1062"/>
      <c r="H18" s="292"/>
      <c r="I18" s="746" t="str">
        <f>IF(GO18=1,"X","")</f>
        <v/>
      </c>
      <c r="J18" s="746" t="str">
        <f t="shared" si="2"/>
        <v/>
      </c>
      <c r="K18" s="368"/>
      <c r="L18" s="368"/>
      <c r="M18" s="368"/>
      <c r="N18" s="311">
        <f t="shared" si="23"/>
        <v>0</v>
      </c>
      <c r="O18" s="311">
        <f t="shared" si="24"/>
        <v>0</v>
      </c>
      <c r="P18" s="311">
        <f>IF(Stamoplysninger!$H$34="JA",Juni!DG18,CX18)</f>
        <v>0</v>
      </c>
      <c r="Q18" s="311">
        <f t="shared" si="25"/>
        <v>0</v>
      </c>
      <c r="R18" s="751"/>
      <c r="S18" s="315"/>
      <c r="T18" s="316"/>
      <c r="U18" s="316"/>
      <c r="V18" s="422"/>
      <c r="W18" s="422"/>
      <c r="X18" s="621"/>
      <c r="Y18">
        <f t="shared" si="26"/>
        <v>0</v>
      </c>
      <c r="Z18" s="424">
        <f t="shared" si="27"/>
        <v>0</v>
      </c>
      <c r="AA18" s="1">
        <f t="shared" si="3"/>
        <v>0</v>
      </c>
      <c r="AB18" s="1">
        <f t="shared" si="4"/>
        <v>0</v>
      </c>
      <c r="AC18" s="1">
        <f t="shared" si="5"/>
        <v>0</v>
      </c>
      <c r="AD18" s="1">
        <f t="shared" si="6"/>
        <v>0</v>
      </c>
      <c r="AE18" s="1">
        <f t="shared" si="7"/>
        <v>0</v>
      </c>
      <c r="AF18" s="1">
        <f>IF(C18="Orlov",7.4*Stamoplysninger!$E$20,0)</f>
        <v>0</v>
      </c>
      <c r="AG18" t="str">
        <f>IF(AND(C18="Skema 1",B18="ma"),Arbejdstidsoversigt!$E$77,"")</f>
        <v/>
      </c>
      <c r="AH18" t="str">
        <f>IF(AND(C18="Skema 1",B18="ti"),Arbejdstidsoversigt!$E$78,"")</f>
        <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8"/>
        <v>0</v>
      </c>
      <c r="BC18" s="1">
        <f t="shared" si="29"/>
        <v>0</v>
      </c>
      <c r="BD18" s="1">
        <f t="shared" si="9"/>
        <v>0</v>
      </c>
      <c r="BE18" s="1">
        <f t="shared" si="10"/>
        <v>0</v>
      </c>
      <c r="BF18" s="1">
        <f t="shared" si="11"/>
        <v>0</v>
      </c>
      <c r="BG18" s="207" t="str">
        <f>IF(AND(C18="Skema 1",B18="ma"),Skemaoplysninger!$E$46,"")</f>
        <v/>
      </c>
      <c r="BH18" s="207" t="str">
        <f>IF(AND(C18="Skema 1",B18="ti"),Skemaoplysninger!$G$46,"")</f>
        <v/>
      </c>
      <c r="BI18" s="207" t="str">
        <f>IF(AND(C18="Skema 1",B18="on"),Skemaoplysninger!$I$46,"")</f>
        <v/>
      </c>
      <c r="BJ18" s="207" t="str">
        <f>IF(AND(C18="Skema 1",B18="to"),Skemaoplysninger!$K$46,"")</f>
        <v/>
      </c>
      <c r="BK18" s="207" t="str">
        <f>IF(AND(C18="Skema 1",B18="fr"),Skemaoplysninger!$M$46,"")</f>
        <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0</v>
      </c>
      <c r="CB18" s="1">
        <f t="shared" si="12"/>
        <v>0</v>
      </c>
      <c r="CC18" s="1">
        <f t="shared" si="13"/>
        <v>0</v>
      </c>
      <c r="CD18" s="207" t="str">
        <f>IF(AND(C18="Skema 1",B18="ma"),Skemaoplysninger!$E$47,"")</f>
        <v/>
      </c>
      <c r="CE18" s="207" t="str">
        <f>IF(AND(C18="Skema 1",B18="ti"),Skemaoplysninger!$G$47,"")</f>
        <v/>
      </c>
      <c r="CF18" s="207" t="str">
        <f>IF(AND(C18="Skema 1",B18="on"),Skemaoplysninger!$I$47,"")</f>
        <v/>
      </c>
      <c r="CG18" s="207" t="str">
        <f>IF(AND(C18="Skema 1",B18="to"),Skemaoplysninger!$K$47,"")</f>
        <v/>
      </c>
      <c r="CH18" s="207" t="str">
        <f>IF(AND(C18="Skema 1",B18="fr"),Skemaoplysninger!$M$47,"")</f>
        <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4"/>
        <v/>
      </c>
      <c r="DL18" t="str">
        <f t="shared" si="14"/>
        <v/>
      </c>
      <c r="DM18" t="str">
        <f t="shared" si="14"/>
        <v/>
      </c>
      <c r="DN18" t="str">
        <f t="shared" si="35"/>
        <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5"/>
        <v>0</v>
      </c>
      <c r="FZ18" s="634">
        <f t="shared" si="16"/>
        <v>0</v>
      </c>
      <c r="GA18">
        <f t="shared" si="17"/>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8"/>
        <v>0</v>
      </c>
      <c r="GL18">
        <f t="shared" si="19"/>
        <v>0</v>
      </c>
      <c r="GM18">
        <f t="shared" si="20"/>
        <v>0</v>
      </c>
      <c r="GN18" s="713">
        <f t="shared" si="21"/>
        <v>0</v>
      </c>
      <c r="GO18">
        <f t="shared" si="37"/>
        <v>0</v>
      </c>
      <c r="GP18" s="647">
        <f t="shared" si="38"/>
        <v>0</v>
      </c>
    </row>
    <row r="19" spans="1:198" ht="16" customHeight="1">
      <c r="A19" s="239">
        <f t="shared" si="22"/>
        <v>6</v>
      </c>
      <c r="B19" s="125" t="str">
        <f t="shared" si="0"/>
        <v>sø</v>
      </c>
      <c r="C19" s="126" t="s">
        <v>118</v>
      </c>
      <c r="D19" s="127" t="str">
        <f t="shared" si="1"/>
        <v/>
      </c>
      <c r="E19" s="1060"/>
      <c r="F19" s="1061"/>
      <c r="G19" s="1062"/>
      <c r="H19" s="292"/>
      <c r="I19" s="746" t="str">
        <f>IF(GO19=1,"X","")</f>
        <v/>
      </c>
      <c r="J19" s="746" t="str">
        <f t="shared" si="2"/>
        <v/>
      </c>
      <c r="K19" s="368"/>
      <c r="L19" s="368"/>
      <c r="M19" s="368"/>
      <c r="N19" s="311">
        <f t="shared" si="23"/>
        <v>0</v>
      </c>
      <c r="O19" s="311">
        <f t="shared" si="24"/>
        <v>0</v>
      </c>
      <c r="P19" s="311">
        <f>IF(Stamoplysninger!$H$34="JA",Juni!DG19,CX19)</f>
        <v>0</v>
      </c>
      <c r="Q19" s="311">
        <f t="shared" si="25"/>
        <v>0</v>
      </c>
      <c r="R19" s="751"/>
      <c r="S19" s="315"/>
      <c r="T19" s="316"/>
      <c r="U19" s="316"/>
      <c r="V19" s="422"/>
      <c r="W19" s="422"/>
      <c r="X19" s="621"/>
      <c r="Y19">
        <f t="shared" si="26"/>
        <v>0</v>
      </c>
      <c r="Z19" s="424">
        <f t="shared" si="27"/>
        <v>0</v>
      </c>
      <c r="AA19" s="1">
        <f t="shared" si="3"/>
        <v>0</v>
      </c>
      <c r="AB19" s="1">
        <f t="shared" si="4"/>
        <v>0</v>
      </c>
      <c r="AC19" s="1">
        <f t="shared" si="5"/>
        <v>0</v>
      </c>
      <c r="AD19" s="1">
        <f t="shared" si="6"/>
        <v>0</v>
      </c>
      <c r="AE19" s="1">
        <f t="shared" si="7"/>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8"/>
        <v>0</v>
      </c>
      <c r="BC19" s="1">
        <f t="shared" si="29"/>
        <v>0</v>
      </c>
      <c r="BD19" s="1">
        <f t="shared" si="9"/>
        <v>0</v>
      </c>
      <c r="BE19" s="1">
        <f t="shared" si="10"/>
        <v>0</v>
      </c>
      <c r="BF19" s="1">
        <f t="shared" si="11"/>
        <v>0</v>
      </c>
      <c r="BG19" s="207" t="str">
        <f>IF(AND(C19="Skema 1",B19="ma"),Skemaoplysninger!$E$46,"")</f>
        <v/>
      </c>
      <c r="BH19" s="207" t="str">
        <f>IF(AND(C19="Skema 1",B19="ti"),Skemaoplysninger!$G$46,"")</f>
        <v/>
      </c>
      <c r="BI19" s="207" t="str">
        <f>IF(AND(C19="Skema 1",B19="on"),Skemaoplysninger!$I$46,"")</f>
        <v/>
      </c>
      <c r="BJ19" s="207" t="str">
        <f>IF(AND(C19="Skema 1",B19="to"),Skemaoplysninger!$K$46,"")</f>
        <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0</v>
      </c>
      <c r="CB19" s="1">
        <f t="shared" si="12"/>
        <v>0</v>
      </c>
      <c r="CC19" s="1">
        <f t="shared" si="13"/>
        <v>0</v>
      </c>
      <c r="CD19" s="207" t="str">
        <f>IF(AND(C19="Skema 1",B19="ma"),Skemaoplysninger!$E$47,"")</f>
        <v/>
      </c>
      <c r="CE19" s="207" t="str">
        <f>IF(AND(C19="Skema 1",B19="ti"),Skemaoplysninger!$G$47,"")</f>
        <v/>
      </c>
      <c r="CF19" s="207" t="str">
        <f>IF(AND(C19="Skema 1",B19="on"),Skemaoplysninger!$I$47,"")</f>
        <v/>
      </c>
      <c r="CG19" s="207" t="str">
        <f>IF(AND(C19="Skema 1",B19="to"),Skemaoplysninger!$K$47,"")</f>
        <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4"/>
        <v/>
      </c>
      <c r="DL19" t="str">
        <f t="shared" si="14"/>
        <v/>
      </c>
      <c r="DM19" t="str">
        <f t="shared" si="14"/>
        <v/>
      </c>
      <c r="DN19" t="str">
        <f t="shared" si="35"/>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5"/>
        <v>0</v>
      </c>
      <c r="FZ19" s="634">
        <f t="shared" si="16"/>
        <v>0</v>
      </c>
      <c r="GA19">
        <f t="shared" si="17"/>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8"/>
        <v>0</v>
      </c>
      <c r="GL19">
        <f t="shared" si="19"/>
        <v>0</v>
      </c>
      <c r="GM19">
        <f t="shared" si="20"/>
        <v>0</v>
      </c>
      <c r="GN19" s="713">
        <f t="shared" si="21"/>
        <v>0</v>
      </c>
      <c r="GO19">
        <f t="shared" si="37"/>
        <v>0</v>
      </c>
      <c r="GP19" s="647">
        <f t="shared" si="38"/>
        <v>0</v>
      </c>
    </row>
    <row r="20" spans="1:198" ht="16" customHeight="1">
      <c r="A20" s="239">
        <f t="shared" si="22"/>
        <v>7</v>
      </c>
      <c r="B20" s="125" t="str">
        <f t="shared" si="0"/>
        <v>ma</v>
      </c>
      <c r="C20" s="126" t="s">
        <v>203</v>
      </c>
      <c r="D20" s="127">
        <f t="shared" si="1"/>
        <v>23.428571428571427</v>
      </c>
      <c r="E20" s="1060"/>
      <c r="F20" s="1061"/>
      <c r="G20" s="1062"/>
      <c r="H20" s="292"/>
      <c r="I20" s="745"/>
      <c r="J20" s="746" t="str">
        <f t="shared" si="2"/>
        <v/>
      </c>
      <c r="K20" s="368"/>
      <c r="L20" s="368"/>
      <c r="M20" s="368"/>
      <c r="N20" s="311">
        <f t="shared" si="23"/>
        <v>8.11</v>
      </c>
      <c r="O20" s="311">
        <f t="shared" si="24"/>
        <v>4.5</v>
      </c>
      <c r="P20" s="311">
        <f>IF(Stamoplysninger!$H$34="JA",Juni!DG20,CX20)</f>
        <v>1.9166666666666665</v>
      </c>
      <c r="Q20" s="311">
        <f t="shared" si="25"/>
        <v>1.6933333333333329</v>
      </c>
      <c r="R20" s="751"/>
      <c r="S20" s="315"/>
      <c r="T20" s="316"/>
      <c r="U20" s="316"/>
      <c r="V20" s="422"/>
      <c r="W20" s="422"/>
      <c r="X20" s="621"/>
      <c r="Y20">
        <f t="shared" si="26"/>
        <v>0</v>
      </c>
      <c r="Z20" s="424">
        <f t="shared" si="27"/>
        <v>0</v>
      </c>
      <c r="AA20" s="1">
        <f t="shared" si="3"/>
        <v>0</v>
      </c>
      <c r="AB20" s="1">
        <f t="shared" si="4"/>
        <v>0</v>
      </c>
      <c r="AC20" s="1">
        <f t="shared" si="5"/>
        <v>0</v>
      </c>
      <c r="AD20" s="1">
        <f t="shared" si="6"/>
        <v>0</v>
      </c>
      <c r="AE20" s="1">
        <f t="shared" si="7"/>
        <v>0</v>
      </c>
      <c r="AF20" s="1">
        <f>IF(C20="Orlov",7.4*Stamoplysninger!$E$20,0)</f>
        <v>0</v>
      </c>
      <c r="AG20">
        <f>IF(AND(C20="Skema 1",B20="ma"),Arbejdstidsoversigt!$E$77,"")</f>
        <v>8.11</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8.11</v>
      </c>
      <c r="BB20" s="224">
        <f t="shared" si="8"/>
        <v>194.64</v>
      </c>
      <c r="BC20" s="1">
        <f t="shared" si="29"/>
        <v>0</v>
      </c>
      <c r="BD20" s="1">
        <f t="shared" si="9"/>
        <v>0</v>
      </c>
      <c r="BE20" s="1">
        <f t="shared" si="10"/>
        <v>0</v>
      </c>
      <c r="BF20" s="1">
        <f t="shared" si="11"/>
        <v>0</v>
      </c>
      <c r="BG20" s="207">
        <f>IF(AND(C20="Skema 1",B20="ma"),Skemaoplysninger!$E$46,"")</f>
        <v>0.1875</v>
      </c>
      <c r="BH20" s="207" t="str">
        <f>IF(AND(C20="Skema 1",B20="ti"),Skemaoplysninger!$G$46,"")</f>
        <v/>
      </c>
      <c r="BI20" s="207" t="str">
        <f>IF(AND(C20="Skema 1",B20="on"),Skemaoplysninger!$I$46,"")</f>
        <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4.5</v>
      </c>
      <c r="CB20" s="1">
        <f t="shared" si="12"/>
        <v>0</v>
      </c>
      <c r="CC20" s="1">
        <f t="shared" si="13"/>
        <v>0</v>
      </c>
      <c r="CD20" s="207">
        <f>IF(AND(C20="Skema 1",B20="ma"),Skemaoplysninger!$E$47,"")</f>
        <v>7.9861111111111105E-2</v>
      </c>
      <c r="CE20" s="207" t="str">
        <f>IF(AND(C20="Skema 1",B20="ti"),Skemaoplysninger!$G$47,"")</f>
        <v/>
      </c>
      <c r="CF20" s="207" t="str">
        <f>IF(AND(C20="Skema 1",B20="on"),Skemaoplysninger!$I$47,"")</f>
        <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1.9166666666666665</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4"/>
        <v/>
      </c>
      <c r="DL20" t="str">
        <f t="shared" si="14"/>
        <v/>
      </c>
      <c r="DM20" t="str">
        <f t="shared" si="14"/>
        <v/>
      </c>
      <c r="DN20" t="str">
        <f t="shared" si="35"/>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5"/>
        <v>0</v>
      </c>
      <c r="FZ20" s="634">
        <f t="shared" si="16"/>
        <v>0</v>
      </c>
      <c r="GA20">
        <f t="shared" si="17"/>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8"/>
        <v>0</v>
      </c>
      <c r="GL20">
        <f t="shared" si="19"/>
        <v>0</v>
      </c>
      <c r="GM20">
        <f t="shared" si="20"/>
        <v>0</v>
      </c>
      <c r="GN20" s="713">
        <f t="shared" si="21"/>
        <v>0</v>
      </c>
      <c r="GO20">
        <f t="shared" si="37"/>
        <v>0</v>
      </c>
      <c r="GP20" s="647">
        <f t="shared" si="38"/>
        <v>0</v>
      </c>
    </row>
    <row r="21" spans="1:198">
      <c r="A21" s="239">
        <f t="shared" si="22"/>
        <v>8</v>
      </c>
      <c r="B21" s="125" t="str">
        <f t="shared" si="0"/>
        <v>ti</v>
      </c>
      <c r="C21" s="126" t="s">
        <v>203</v>
      </c>
      <c r="D21" s="127" t="str">
        <f t="shared" si="1"/>
        <v/>
      </c>
      <c r="E21" s="1060"/>
      <c r="F21" s="1061"/>
      <c r="G21" s="1062"/>
      <c r="H21" s="292"/>
      <c r="I21" s="745"/>
      <c r="J21" s="746" t="str">
        <f t="shared" si="2"/>
        <v/>
      </c>
      <c r="K21" s="368"/>
      <c r="L21" s="368"/>
      <c r="M21" s="368"/>
      <c r="N21" s="311">
        <f t="shared" si="23"/>
        <v>8.11</v>
      </c>
      <c r="O21" s="311">
        <f t="shared" si="24"/>
        <v>4.5</v>
      </c>
      <c r="P21" s="311">
        <f>IF(Stamoplysninger!$H$34="JA",Juni!DG21,CX21)</f>
        <v>1.9166666666666665</v>
      </c>
      <c r="Q21" s="311">
        <f t="shared" si="25"/>
        <v>1.6933333333333329</v>
      </c>
      <c r="R21" s="751"/>
      <c r="S21" s="315"/>
      <c r="T21" s="316"/>
      <c r="U21" s="316"/>
      <c r="V21" s="422"/>
      <c r="W21" s="422"/>
      <c r="X21" s="621"/>
      <c r="Y21">
        <f t="shared" si="26"/>
        <v>0</v>
      </c>
      <c r="Z21" s="424">
        <f t="shared" si="27"/>
        <v>0</v>
      </c>
      <c r="AA21" s="1">
        <f t="shared" si="3"/>
        <v>0</v>
      </c>
      <c r="AB21" s="1">
        <f t="shared" si="4"/>
        <v>0</v>
      </c>
      <c r="AC21" s="1">
        <f t="shared" si="5"/>
        <v>0</v>
      </c>
      <c r="AD21" s="1">
        <f t="shared" si="6"/>
        <v>0</v>
      </c>
      <c r="AE21" s="1">
        <f t="shared" si="7"/>
        <v>0</v>
      </c>
      <c r="AF21" s="1">
        <f>IF(C21="Orlov",7.4*Stamoplysninger!$E$20,0)</f>
        <v>0</v>
      </c>
      <c r="AG21" t="str">
        <f>IF(AND(C21="Skema 1",B21="ma"),Arbejdstidsoversigt!$E$77,"")</f>
        <v/>
      </c>
      <c r="AH21">
        <f>IF(AND(C21="Skema 1",B21="ti"),Arbejdstidsoversigt!$E$78,"")</f>
        <v>8.11</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8.11</v>
      </c>
      <c r="BB21" s="224">
        <f t="shared" si="8"/>
        <v>194.64</v>
      </c>
      <c r="BC21" s="1">
        <f t="shared" si="29"/>
        <v>0</v>
      </c>
      <c r="BD21" s="1">
        <f t="shared" si="9"/>
        <v>0</v>
      </c>
      <c r="BE21" s="1">
        <f t="shared" si="10"/>
        <v>0</v>
      </c>
      <c r="BF21" s="1">
        <f t="shared" si="11"/>
        <v>0</v>
      </c>
      <c r="BG21" s="207" t="str">
        <f>IF(AND(C21="Skema 1",B21="ma"),Skemaoplysninger!$E$46,"")</f>
        <v/>
      </c>
      <c r="BH21" s="207">
        <f>IF(AND(C21="Skema 1",B21="ti"),Skemaoplysninger!$G$46,"")</f>
        <v>0.1875</v>
      </c>
      <c r="BI21" s="207" t="str">
        <f>IF(AND(C21="Skema 1",B21="on"),Skemaoplysninger!$I$46,"")</f>
        <v/>
      </c>
      <c r="BJ21" s="207" t="str">
        <f>IF(AND(C21="Skema 1",B21="to"),Skemaoplysninger!$K$46,"")</f>
        <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4.5</v>
      </c>
      <c r="CB21" s="1">
        <f t="shared" si="12"/>
        <v>0</v>
      </c>
      <c r="CC21" s="1">
        <f t="shared" si="13"/>
        <v>0</v>
      </c>
      <c r="CD21" s="207" t="str">
        <f>IF(AND(C21="Skema 1",B21="ma"),Skemaoplysninger!$E$47,"")</f>
        <v/>
      </c>
      <c r="CE21" s="207">
        <f>IF(AND(C21="Skema 1",B21="ti"),Skemaoplysninger!$G$47,"")</f>
        <v>7.9861111111111105E-2</v>
      </c>
      <c r="CF21" s="207" t="str">
        <f>IF(AND(C21="Skema 1",B21="on"),Skemaoplysninger!$I$47,"")</f>
        <v/>
      </c>
      <c r="CG21" s="207" t="str">
        <f>IF(AND(C21="Skema 1",B21="to"),Skemaoplysninger!$K$47,"")</f>
        <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1.9166666666666665</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4"/>
        <v/>
      </c>
      <c r="DL21" t="str">
        <f t="shared" si="14"/>
        <v/>
      </c>
      <c r="DM21" t="str">
        <f t="shared" si="14"/>
        <v/>
      </c>
      <c r="DN21" t="str">
        <f t="shared" si="35"/>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5"/>
        <v>0</v>
      </c>
      <c r="FZ21" s="634">
        <f t="shared" si="16"/>
        <v>0</v>
      </c>
      <c r="GA21">
        <f t="shared" si="17"/>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8"/>
        <v>0</v>
      </c>
      <c r="GL21">
        <f t="shared" si="19"/>
        <v>0</v>
      </c>
      <c r="GM21">
        <f t="shared" si="20"/>
        <v>0</v>
      </c>
      <c r="GN21" s="713">
        <f t="shared" si="21"/>
        <v>0</v>
      </c>
      <c r="GO21">
        <f t="shared" si="37"/>
        <v>0</v>
      </c>
      <c r="GP21" s="647">
        <f t="shared" si="38"/>
        <v>0</v>
      </c>
    </row>
    <row r="22" spans="1:198">
      <c r="A22" s="239">
        <f t="shared" si="22"/>
        <v>9</v>
      </c>
      <c r="B22" s="125" t="str">
        <f t="shared" si="0"/>
        <v>on</v>
      </c>
      <c r="C22" s="126" t="s">
        <v>203</v>
      </c>
      <c r="D22" s="127" t="str">
        <f t="shared" si="1"/>
        <v/>
      </c>
      <c r="E22" s="1060"/>
      <c r="F22" s="1061"/>
      <c r="G22" s="1062"/>
      <c r="H22" s="292"/>
      <c r="I22" s="745"/>
      <c r="J22" s="746" t="str">
        <f t="shared" si="2"/>
        <v/>
      </c>
      <c r="K22" s="368"/>
      <c r="L22" s="368"/>
      <c r="M22" s="368"/>
      <c r="N22" s="311">
        <f t="shared" si="23"/>
        <v>8.11</v>
      </c>
      <c r="O22" s="311">
        <f t="shared" si="24"/>
        <v>2.75</v>
      </c>
      <c r="P22" s="311">
        <f>IF(Stamoplysninger!$H$34="JA",Juni!DG22,CX22)</f>
        <v>1.25</v>
      </c>
      <c r="Q22" s="311">
        <f t="shared" si="25"/>
        <v>4.1099999999999994</v>
      </c>
      <c r="R22" s="751"/>
      <c r="S22" s="315"/>
      <c r="T22" s="316"/>
      <c r="U22" s="316"/>
      <c r="V22" s="422"/>
      <c r="W22" s="422"/>
      <c r="X22" s="621"/>
      <c r="Y22">
        <f t="shared" si="26"/>
        <v>0</v>
      </c>
      <c r="Z22" s="424">
        <f t="shared" si="27"/>
        <v>0</v>
      </c>
      <c r="AA22" s="1">
        <f t="shared" si="3"/>
        <v>0</v>
      </c>
      <c r="AB22" s="1">
        <f t="shared" si="4"/>
        <v>0</v>
      </c>
      <c r="AC22" s="1">
        <f t="shared" si="5"/>
        <v>0</v>
      </c>
      <c r="AD22" s="1">
        <f t="shared" si="6"/>
        <v>0</v>
      </c>
      <c r="AE22" s="1">
        <f t="shared" si="7"/>
        <v>0</v>
      </c>
      <c r="AF22" s="1">
        <f>IF(C22="Orlov",7.4*Stamoplysninger!$E$20,0)</f>
        <v>0</v>
      </c>
      <c r="AG22" t="str">
        <f>IF(AND(C22="Skema 1",B22="ma"),Arbejdstidsoversigt!$E$77,"")</f>
        <v/>
      </c>
      <c r="AH22" t="str">
        <f>IF(AND(C22="Skema 1",B22="ti"),Arbejdstidsoversigt!$E$78,"")</f>
        <v/>
      </c>
      <c r="AI22">
        <f>IF(AND(C22="Skema 1",B22="on"),Arbejdstidsoversigt!$E$79,"")</f>
        <v>8.11</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8.11</v>
      </c>
      <c r="BB22" s="224">
        <f t="shared" si="8"/>
        <v>194.64</v>
      </c>
      <c r="BC22" s="1">
        <f t="shared" si="29"/>
        <v>0</v>
      </c>
      <c r="BD22" s="1">
        <f t="shared" si="9"/>
        <v>0</v>
      </c>
      <c r="BE22" s="1">
        <f t="shared" si="10"/>
        <v>0</v>
      </c>
      <c r="BF22" s="1">
        <f t="shared" si="11"/>
        <v>0</v>
      </c>
      <c r="BG22" s="207" t="str">
        <f>IF(AND(C22="Skema 1",B22="ma"),Skemaoplysninger!$E$46,"")</f>
        <v/>
      </c>
      <c r="BH22" s="207" t="str">
        <f>IF(AND(C22="Skema 1",B22="ti"),Skemaoplysninger!$G$46,"")</f>
        <v/>
      </c>
      <c r="BI22" s="207">
        <f>IF(AND(C22="Skema 1",B22="on"),Skemaoplysninger!$I$46,"")</f>
        <v>0.11458333333333333</v>
      </c>
      <c r="BJ22" s="207" t="str">
        <f>IF(AND(C22="Skema 1",B22="to"),Skemaoplysninger!$K$46,"")</f>
        <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2.75</v>
      </c>
      <c r="CB22" s="1">
        <f t="shared" si="12"/>
        <v>0</v>
      </c>
      <c r="CC22" s="1">
        <f t="shared" si="13"/>
        <v>0</v>
      </c>
      <c r="CD22" s="207" t="str">
        <f>IF(AND(C22="Skema 1",B22="ma"),Skemaoplysninger!$E$47,"")</f>
        <v/>
      </c>
      <c r="CE22" s="207" t="str">
        <f>IF(AND(C22="Skema 1",B22="ti"),Skemaoplysninger!$G$47,"")</f>
        <v/>
      </c>
      <c r="CF22" s="207">
        <f>IF(AND(C22="Skema 1",B22="on"),Skemaoplysninger!$I$47,"")</f>
        <v>5.2083333333333329E-2</v>
      </c>
      <c r="CG22" s="207" t="str">
        <f>IF(AND(C22="Skema 1",B22="to"),Skemaoplysninger!$K$47,"")</f>
        <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1.25</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4"/>
        <v/>
      </c>
      <c r="DL22" t="str">
        <f t="shared" si="14"/>
        <v/>
      </c>
      <c r="DM22" t="str">
        <f t="shared" si="14"/>
        <v/>
      </c>
      <c r="DN22" t="str">
        <f t="shared" si="35"/>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5"/>
        <v>0</v>
      </c>
      <c r="FZ22" s="634">
        <f t="shared" si="16"/>
        <v>0</v>
      </c>
      <c r="GA22">
        <f t="shared" si="17"/>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8"/>
        <v>0</v>
      </c>
      <c r="GL22">
        <f t="shared" si="19"/>
        <v>0</v>
      </c>
      <c r="GM22">
        <f t="shared" si="20"/>
        <v>0</v>
      </c>
      <c r="GN22" s="713">
        <f t="shared" si="21"/>
        <v>0</v>
      </c>
      <c r="GO22">
        <f t="shared" si="37"/>
        <v>0</v>
      </c>
      <c r="GP22" s="647">
        <f t="shared" si="38"/>
        <v>0</v>
      </c>
    </row>
    <row r="23" spans="1:198">
      <c r="A23" s="239">
        <f t="shared" si="22"/>
        <v>10</v>
      </c>
      <c r="B23" s="125" t="str">
        <f t="shared" si="0"/>
        <v>to</v>
      </c>
      <c r="C23" s="126" t="s">
        <v>203</v>
      </c>
      <c r="D23" s="127" t="str">
        <f t="shared" si="1"/>
        <v/>
      </c>
      <c r="E23" s="1060" t="s">
        <v>769</v>
      </c>
      <c r="F23" s="1061"/>
      <c r="G23" s="1062"/>
      <c r="H23" s="292"/>
      <c r="I23" s="745"/>
      <c r="J23" s="746" t="str">
        <f t="shared" si="2"/>
        <v/>
      </c>
      <c r="K23" s="368"/>
      <c r="L23" s="368"/>
      <c r="M23" s="368"/>
      <c r="N23" s="311">
        <f t="shared" si="23"/>
        <v>9</v>
      </c>
      <c r="O23" s="311">
        <f t="shared" si="24"/>
        <v>3.75</v>
      </c>
      <c r="P23" s="311">
        <f>IF(Stamoplysninger!$H$34="JA",Juni!DG23,CX23)</f>
        <v>1</v>
      </c>
      <c r="Q23" s="311">
        <f t="shared" si="25"/>
        <v>4.25</v>
      </c>
      <c r="R23" s="751"/>
      <c r="S23" s="315"/>
      <c r="T23" s="316"/>
      <c r="U23" s="316"/>
      <c r="V23" s="422"/>
      <c r="W23" s="422"/>
      <c r="X23" s="621"/>
      <c r="Y23">
        <f t="shared" si="26"/>
        <v>0</v>
      </c>
      <c r="Z23" s="424">
        <f t="shared" si="27"/>
        <v>0</v>
      </c>
      <c r="AA23" s="1">
        <f t="shared" si="3"/>
        <v>0</v>
      </c>
      <c r="AB23" s="1">
        <f t="shared" si="4"/>
        <v>0</v>
      </c>
      <c r="AC23" s="1">
        <f t="shared" si="5"/>
        <v>0</v>
      </c>
      <c r="AD23" s="1">
        <f t="shared" si="6"/>
        <v>0</v>
      </c>
      <c r="AE23" s="1">
        <f t="shared" si="7"/>
        <v>0</v>
      </c>
      <c r="AF23" s="1">
        <f>IF(C23="Orlov",7.4*Stamoplysninger!$E$20,0)</f>
        <v>0</v>
      </c>
      <c r="AG23" t="str">
        <f>IF(AND(C23="Skema 1",B23="ma"),Arbejdstidsoversigt!$E$77,"")</f>
        <v/>
      </c>
      <c r="AH23" t="str">
        <f>IF(AND(C23="Skema 1",B23="ti"),Arbejdstidsoversigt!$E$78,"")</f>
        <v/>
      </c>
      <c r="AI23" t="str">
        <f>IF(AND(C23="Skema 1",B23="on"),Arbejdstidsoversigt!$E$79,"")</f>
        <v/>
      </c>
      <c r="AJ23">
        <f>IF(AND(C23="Skema 1",B23="to"),Arbejdstidsoversigt!$E$80,"")</f>
        <v>9</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9</v>
      </c>
      <c r="BB23" s="224">
        <f t="shared" si="8"/>
        <v>216</v>
      </c>
      <c r="BC23" s="1">
        <f t="shared" si="29"/>
        <v>0</v>
      </c>
      <c r="BD23" s="1">
        <f t="shared" si="9"/>
        <v>0</v>
      </c>
      <c r="BE23" s="1">
        <f t="shared" si="10"/>
        <v>0</v>
      </c>
      <c r="BF23" s="1">
        <f t="shared" si="11"/>
        <v>0</v>
      </c>
      <c r="BG23" s="207" t="str">
        <f>IF(AND(C23="Skema 1",B23="ma"),Skemaoplysninger!$E$46,"")</f>
        <v/>
      </c>
      <c r="BH23" s="207" t="str">
        <f>IF(AND(C23="Skema 1",B23="ti"),Skemaoplysninger!$G$46,"")</f>
        <v/>
      </c>
      <c r="BI23" s="207" t="str">
        <f>IF(AND(C23="Skema 1",B23="on"),Skemaoplysninger!$I$46,"")</f>
        <v/>
      </c>
      <c r="BJ23" s="207">
        <f>IF(AND(C23="Skema 1",B23="to"),Skemaoplysninger!$K$46,"")</f>
        <v>0.15625</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3.75</v>
      </c>
      <c r="CB23" s="1">
        <f t="shared" si="12"/>
        <v>0</v>
      </c>
      <c r="CC23" s="1">
        <f t="shared" si="13"/>
        <v>0</v>
      </c>
      <c r="CD23" s="207" t="str">
        <f>IF(AND(C23="Skema 1",B23="ma"),Skemaoplysninger!$E$47,"")</f>
        <v/>
      </c>
      <c r="CE23" s="207" t="str">
        <f>IF(AND(C23="Skema 1",B23="ti"),Skemaoplysninger!$G$47,"")</f>
        <v/>
      </c>
      <c r="CF23" s="207" t="str">
        <f>IF(AND(C23="Skema 1",B23="on"),Skemaoplysninger!$I$47,"")</f>
        <v/>
      </c>
      <c r="CG23" s="207">
        <f>IF(AND(C23="Skema 1",B23="to"),Skemaoplysninger!$K$47,"")</f>
        <v>4.1666666666666664E-2</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1</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t="str">
        <f t="shared" si="33"/>
        <v>Lærermøde</v>
      </c>
      <c r="DJ23" t="str">
        <f t="shared" si="34"/>
        <v/>
      </c>
      <c r="DK23" t="str">
        <f t="shared" si="14"/>
        <v/>
      </c>
      <c r="DL23" t="str">
        <f t="shared" si="14"/>
        <v>Lærermøde</v>
      </c>
      <c r="DM23" t="str">
        <f t="shared" si="14"/>
        <v/>
      </c>
      <c r="DN23" t="str">
        <f t="shared" si="35"/>
        <v>Lærermøde</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5"/>
        <v>0</v>
      </c>
      <c r="FZ23" s="634">
        <f t="shared" si="16"/>
        <v>0</v>
      </c>
      <c r="GA23">
        <f t="shared" si="17"/>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8"/>
        <v>0</v>
      </c>
      <c r="GL23">
        <f t="shared" si="19"/>
        <v>0</v>
      </c>
      <c r="GM23">
        <f t="shared" si="20"/>
        <v>0</v>
      </c>
      <c r="GN23" s="713">
        <f t="shared" si="21"/>
        <v>0</v>
      </c>
      <c r="GO23">
        <f t="shared" si="37"/>
        <v>0</v>
      </c>
      <c r="GP23" s="647">
        <f t="shared" si="38"/>
        <v>0</v>
      </c>
    </row>
    <row r="24" spans="1:198">
      <c r="A24" s="239">
        <f t="shared" si="22"/>
        <v>11</v>
      </c>
      <c r="B24" s="125" t="str">
        <f t="shared" si="0"/>
        <v>fr</v>
      </c>
      <c r="C24" s="126" t="s">
        <v>203</v>
      </c>
      <c r="D24" s="127" t="str">
        <f t="shared" si="1"/>
        <v/>
      </c>
      <c r="E24" s="1060"/>
      <c r="F24" s="1061"/>
      <c r="G24" s="1062"/>
      <c r="H24" s="292"/>
      <c r="I24" s="745"/>
      <c r="J24" s="746" t="str">
        <f t="shared" si="2"/>
        <v/>
      </c>
      <c r="K24" s="368"/>
      <c r="L24" s="368"/>
      <c r="M24" s="368"/>
      <c r="N24" s="311">
        <f t="shared" si="23"/>
        <v>7.1</v>
      </c>
      <c r="O24" s="311">
        <f t="shared" si="24"/>
        <v>3.75</v>
      </c>
      <c r="P24" s="311">
        <f>IF(Stamoplysninger!$H$34="JA",Juni!DG24,CX24)</f>
        <v>1</v>
      </c>
      <c r="Q24" s="311">
        <f t="shared" si="25"/>
        <v>2.3499999999999996</v>
      </c>
      <c r="R24" s="751"/>
      <c r="S24" s="315"/>
      <c r="T24" s="316"/>
      <c r="U24" s="316"/>
      <c r="V24" s="422"/>
      <c r="W24" s="422"/>
      <c r="X24" s="621"/>
      <c r="Y24">
        <f t="shared" si="26"/>
        <v>0</v>
      </c>
      <c r="Z24" s="424">
        <f t="shared" si="27"/>
        <v>0</v>
      </c>
      <c r="AA24" s="1">
        <f t="shared" si="3"/>
        <v>0</v>
      </c>
      <c r="AB24" s="1">
        <f t="shared" si="4"/>
        <v>0</v>
      </c>
      <c r="AC24" s="1">
        <f t="shared" si="5"/>
        <v>0</v>
      </c>
      <c r="AD24" s="1">
        <f t="shared" si="6"/>
        <v>0</v>
      </c>
      <c r="AE24" s="1">
        <f t="shared" si="7"/>
        <v>0</v>
      </c>
      <c r="AF24" s="1">
        <f>IF(C24="Orlov",7.4*Stamoplysninger!$E$20,0)</f>
        <v>0</v>
      </c>
      <c r="AG24" t="str">
        <f>IF(AND(C24="Skema 1",B24="ma"),Arbejdstidsoversigt!$E$77,"")</f>
        <v/>
      </c>
      <c r="AH24" t="str">
        <f>IF(AND(C24="Skema 1",B24="ti"),Arbejdstidsoversigt!$E$78,"")</f>
        <v/>
      </c>
      <c r="AI24" t="str">
        <f>IF(AND(C24="Skema 1",B24="on"),Arbejdstidsoversigt!$E$79,"")</f>
        <v/>
      </c>
      <c r="AJ24" t="str">
        <f>IF(AND(C24="Skema 1",B24="to"),Arbejdstidsoversigt!$E$80,"")</f>
        <v/>
      </c>
      <c r="AK24">
        <f>IF(AND(C24="Skema 1",B24="fr"),Arbejdstidsoversigt!$E$81,"")</f>
        <v>7.1</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7.1</v>
      </c>
      <c r="BB24" s="224">
        <f t="shared" si="8"/>
        <v>170.39999999999998</v>
      </c>
      <c r="BC24" s="1">
        <f t="shared" si="29"/>
        <v>0</v>
      </c>
      <c r="BD24" s="1">
        <f t="shared" si="9"/>
        <v>0</v>
      </c>
      <c r="BE24" s="1">
        <f t="shared" si="10"/>
        <v>0</v>
      </c>
      <c r="BF24" s="1">
        <f t="shared" si="11"/>
        <v>0</v>
      </c>
      <c r="BG24" s="207" t="str">
        <f>IF(AND(C24="Skema 1",B24="ma"),Skemaoplysninger!$E$46,"")</f>
        <v/>
      </c>
      <c r="BH24" s="207" t="str">
        <f>IF(AND(C24="Skema 1",B24="ti"),Skemaoplysninger!$G$46,"")</f>
        <v/>
      </c>
      <c r="BI24" s="207" t="str">
        <f>IF(AND(C24="Skema 1",B24="on"),Skemaoplysninger!$I$46,"")</f>
        <v/>
      </c>
      <c r="BJ24" s="207" t="str">
        <f>IF(AND(C24="Skema 1",B24="to"),Skemaoplysninger!$K$46,"")</f>
        <v/>
      </c>
      <c r="BK24" s="207">
        <f>IF(AND(C24="Skema 1",B24="fr"),Skemaoplysninger!$M$46,"")</f>
        <v>0.15625</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3.75</v>
      </c>
      <c r="CB24" s="1">
        <f t="shared" si="12"/>
        <v>0</v>
      </c>
      <c r="CC24" s="1">
        <f t="shared" si="13"/>
        <v>0</v>
      </c>
      <c r="CD24" s="207" t="str">
        <f>IF(AND(C24="Skema 1",B24="ma"),Skemaoplysninger!$E$47,"")</f>
        <v/>
      </c>
      <c r="CE24" s="207" t="str">
        <f>IF(AND(C24="Skema 1",B24="ti"),Skemaoplysninger!$G$47,"")</f>
        <v/>
      </c>
      <c r="CF24" s="207" t="str">
        <f>IF(AND(C24="Skema 1",B24="on"),Skemaoplysninger!$I$47,"")</f>
        <v/>
      </c>
      <c r="CG24" s="207" t="str">
        <f>IF(AND(C24="Skema 1",B24="to"),Skemaoplysninger!$K$47,"")</f>
        <v/>
      </c>
      <c r="CH24" s="207">
        <f>IF(AND(C24="Skema 1",B24="fr"),Skemaoplysninger!$M$47,"")</f>
        <v>4.1666666666666664E-2</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1</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4"/>
        <v/>
      </c>
      <c r="DL24" t="str">
        <f t="shared" si="14"/>
        <v/>
      </c>
      <c r="DM24" t="str">
        <f t="shared" si="14"/>
        <v/>
      </c>
      <c r="DN24" t="str">
        <f t="shared" si="35"/>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5"/>
        <v>0</v>
      </c>
      <c r="FZ24" s="634">
        <f t="shared" si="16"/>
        <v>0</v>
      </c>
      <c r="GA24">
        <f t="shared" si="17"/>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8"/>
        <v>0</v>
      </c>
      <c r="GL24">
        <f t="shared" si="19"/>
        <v>0</v>
      </c>
      <c r="GM24">
        <f t="shared" si="20"/>
        <v>0</v>
      </c>
      <c r="GN24" s="713">
        <f t="shared" si="21"/>
        <v>0</v>
      </c>
      <c r="GO24">
        <f t="shared" si="37"/>
        <v>0</v>
      </c>
      <c r="GP24" s="647">
        <f t="shared" si="38"/>
        <v>0</v>
      </c>
    </row>
    <row r="25" spans="1:198">
      <c r="A25" s="239">
        <f>IF(ISNUMBER(A24),A24+1,1)</f>
        <v>12</v>
      </c>
      <c r="B25" s="125" t="str">
        <f t="shared" si="0"/>
        <v>lø</v>
      </c>
      <c r="C25" s="126" t="s">
        <v>118</v>
      </c>
      <c r="D25" s="127" t="str">
        <f t="shared" si="1"/>
        <v/>
      </c>
      <c r="E25" s="1060"/>
      <c r="F25" s="1061"/>
      <c r="G25" s="1062"/>
      <c r="H25" s="292"/>
      <c r="I25" s="746" t="str">
        <f>IF(GO25=1,"X","")</f>
        <v/>
      </c>
      <c r="J25" s="746" t="str">
        <f t="shared" si="2"/>
        <v/>
      </c>
      <c r="K25" s="368"/>
      <c r="L25" s="368"/>
      <c r="M25" s="368"/>
      <c r="N25" s="311">
        <f t="shared" si="23"/>
        <v>0</v>
      </c>
      <c r="O25" s="311">
        <f t="shared" si="24"/>
        <v>0</v>
      </c>
      <c r="P25" s="311">
        <f>IF(Stamoplysninger!$H$34="JA",Juni!DG25,CX25)</f>
        <v>0</v>
      </c>
      <c r="Q25" s="311">
        <f t="shared" si="25"/>
        <v>0</v>
      </c>
      <c r="R25" s="751"/>
      <c r="S25" s="315"/>
      <c r="T25" s="316"/>
      <c r="U25" s="316"/>
      <c r="V25" s="422"/>
      <c r="W25" s="422"/>
      <c r="X25" s="621"/>
      <c r="Y25">
        <f t="shared" si="26"/>
        <v>0</v>
      </c>
      <c r="Z25" s="424">
        <f t="shared" si="27"/>
        <v>0</v>
      </c>
      <c r="AA25" s="1">
        <f t="shared" si="3"/>
        <v>0</v>
      </c>
      <c r="AB25" s="1">
        <f t="shared" si="4"/>
        <v>0</v>
      </c>
      <c r="AC25" s="1">
        <f t="shared" si="5"/>
        <v>0</v>
      </c>
      <c r="AD25" s="1">
        <f t="shared" si="6"/>
        <v>0</v>
      </c>
      <c r="AE25" s="1">
        <f t="shared" si="7"/>
        <v>0</v>
      </c>
      <c r="AF25" s="1">
        <f>IF(C25="Orlov",7.4*Stamoplysninger!$E$20,0)</f>
        <v>0</v>
      </c>
      <c r="AG25" t="str">
        <f>IF(AND(C25="Skema 1",B25="ma"),Arbejdstidsoversigt!$E$77,"")</f>
        <v/>
      </c>
      <c r="AH25" t="str">
        <f>IF(AND(C25="Skema 1",B25="ti"),Arbejdstidsoversigt!$E$78,"")</f>
        <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8"/>
        <v>0</v>
      </c>
      <c r="BC25" s="1">
        <f t="shared" si="29"/>
        <v>0</v>
      </c>
      <c r="BD25" s="1">
        <f t="shared" si="9"/>
        <v>0</v>
      </c>
      <c r="BE25" s="1">
        <f t="shared" si="10"/>
        <v>0</v>
      </c>
      <c r="BF25" s="1">
        <f t="shared" si="11"/>
        <v>0</v>
      </c>
      <c r="BG25" s="207" t="str">
        <f>IF(AND(C25="Skema 1",B25="ma"),Skemaoplysninger!$E$46,"")</f>
        <v/>
      </c>
      <c r="BH25" s="207" t="str">
        <f>IF(AND(C25="Skema 1",B25="ti"),Skemaoplysninger!$G$46,"")</f>
        <v/>
      </c>
      <c r="BI25" s="207" t="str">
        <f>IF(AND(C25="Skema 1",B25="on"),Skemaoplysninger!$I$46,"")</f>
        <v/>
      </c>
      <c r="BJ25" s="207" t="str">
        <f>IF(AND(C25="Skema 1",B25="to"),Skemaoplysninger!$K$46,"")</f>
        <v/>
      </c>
      <c r="BK25" s="207" t="str">
        <f>IF(AND(C25="Skema 1",B25="fr"),Skemaoplysninger!$M$46,"")</f>
        <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0</v>
      </c>
      <c r="CB25" s="1">
        <f t="shared" si="12"/>
        <v>0</v>
      </c>
      <c r="CC25" s="1">
        <f t="shared" si="13"/>
        <v>0</v>
      </c>
      <c r="CD25" s="207" t="str">
        <f>IF(AND(C25="Skema 1",B25="ma"),Skemaoplysninger!$E$47,"")</f>
        <v/>
      </c>
      <c r="CE25" s="207" t="str">
        <f>IF(AND(C25="Skema 1",B25="ti"),Skemaoplysninger!$G$47,"")</f>
        <v/>
      </c>
      <c r="CF25" s="207" t="str">
        <f>IF(AND(C25="Skema 1",B25="on"),Skemaoplysninger!$I$47,"")</f>
        <v/>
      </c>
      <c r="CG25" s="207" t="str">
        <f>IF(AND(C25="Skema 1",B25="to"),Skemaoplysninger!$K$47,"")</f>
        <v/>
      </c>
      <c r="CH25" s="207" t="str">
        <f>IF(AND(C25="Skema 1",B25="fr"),Skemaoplysninger!$M$47,"")</f>
        <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4"/>
        <v/>
      </c>
      <c r="DL25" t="str">
        <f t="shared" si="14"/>
        <v/>
      </c>
      <c r="DM25" t="str">
        <f t="shared" si="14"/>
        <v/>
      </c>
      <c r="DN25" t="str">
        <f t="shared" si="35"/>
        <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5"/>
        <v>0</v>
      </c>
      <c r="FZ25" s="634">
        <f t="shared" si="16"/>
        <v>0</v>
      </c>
      <c r="GA25">
        <f t="shared" si="17"/>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8"/>
        <v>0</v>
      </c>
      <c r="GL25">
        <f t="shared" si="19"/>
        <v>0</v>
      </c>
      <c r="GM25">
        <f t="shared" si="20"/>
        <v>0</v>
      </c>
      <c r="GN25" s="713">
        <f t="shared" si="21"/>
        <v>0</v>
      </c>
      <c r="GO25">
        <f t="shared" si="37"/>
        <v>0</v>
      </c>
      <c r="GP25" s="647">
        <f t="shared" si="38"/>
        <v>0</v>
      </c>
    </row>
    <row r="26" spans="1:198">
      <c r="A26" s="239">
        <f>IF(ISNUMBER(A25),A25+1,1)</f>
        <v>13</v>
      </c>
      <c r="B26" s="125" t="str">
        <f t="shared" si="0"/>
        <v>sø</v>
      </c>
      <c r="C26" s="126" t="s">
        <v>118</v>
      </c>
      <c r="D26" s="127" t="str">
        <f t="shared" si="1"/>
        <v/>
      </c>
      <c r="E26" s="1123"/>
      <c r="F26" s="1124"/>
      <c r="G26" s="1125"/>
      <c r="H26" s="291"/>
      <c r="I26" s="746" t="str">
        <f>IF(GO26=1,"X","")</f>
        <v/>
      </c>
      <c r="J26" s="746" t="str">
        <f t="shared" si="2"/>
        <v/>
      </c>
      <c r="K26" s="368"/>
      <c r="L26" s="368"/>
      <c r="M26" s="368"/>
      <c r="N26" s="311">
        <f t="shared" si="23"/>
        <v>0</v>
      </c>
      <c r="O26" s="311">
        <f t="shared" si="24"/>
        <v>0</v>
      </c>
      <c r="P26" s="311">
        <f>IF(Stamoplysninger!$H$34="JA",Juni!DG26,CX26)</f>
        <v>0</v>
      </c>
      <c r="Q26" s="311">
        <f t="shared" si="25"/>
        <v>0</v>
      </c>
      <c r="R26" s="751"/>
      <c r="S26" s="315"/>
      <c r="T26" s="316"/>
      <c r="U26" s="316"/>
      <c r="V26" s="422"/>
      <c r="W26" s="422"/>
      <c r="X26" s="621"/>
      <c r="Y26">
        <f t="shared" si="26"/>
        <v>0</v>
      </c>
      <c r="Z26" s="424">
        <f t="shared" si="27"/>
        <v>0</v>
      </c>
      <c r="AA26" s="1">
        <f t="shared" si="3"/>
        <v>0</v>
      </c>
      <c r="AB26" s="1">
        <f t="shared" si="4"/>
        <v>0</v>
      </c>
      <c r="AC26" s="1">
        <f t="shared" si="5"/>
        <v>0</v>
      </c>
      <c r="AD26" s="1">
        <f t="shared" si="6"/>
        <v>0</v>
      </c>
      <c r="AE26" s="1">
        <f t="shared" si="7"/>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8"/>
        <v>0</v>
      </c>
      <c r="BC26" s="1">
        <f t="shared" si="29"/>
        <v>0</v>
      </c>
      <c r="BD26" s="1">
        <f t="shared" si="9"/>
        <v>0</v>
      </c>
      <c r="BE26" s="1">
        <f t="shared" si="10"/>
        <v>0</v>
      </c>
      <c r="BF26" s="1">
        <f t="shared" si="11"/>
        <v>0</v>
      </c>
      <c r="BG26" s="207" t="str">
        <f>IF(AND(C26="Skema 1",B26="ma"),Skemaoplysninger!$E$46,"")</f>
        <v/>
      </c>
      <c r="BH26" s="207" t="str">
        <f>IF(AND(C26="Skema 1",B26="ti"),Skemaoplysninger!$G$46,"")</f>
        <v/>
      </c>
      <c r="BI26" s="207" t="str">
        <f>IF(AND(C26="Skema 1",B26="on"),Skemaoplysninger!$I$46,"")</f>
        <v/>
      </c>
      <c r="BJ26" s="207" t="str">
        <f>IF(AND(C26="Skema 1",B26="to"),Skemaoplysninger!$K$46,"")</f>
        <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0</v>
      </c>
      <c r="CB26" s="1">
        <f t="shared" si="12"/>
        <v>0</v>
      </c>
      <c r="CC26" s="1">
        <f t="shared" si="13"/>
        <v>0</v>
      </c>
      <c r="CD26" s="207" t="str">
        <f>IF(AND(C26="Skema 1",B26="ma"),Skemaoplysninger!$E$47,"")</f>
        <v/>
      </c>
      <c r="CE26" s="207" t="str">
        <f>IF(AND(C26="Skema 1",B26="ti"),Skemaoplysninger!$G$47,"")</f>
        <v/>
      </c>
      <c r="CF26" s="207" t="str">
        <f>IF(AND(C26="Skema 1",B26="on"),Skemaoplysninger!$I$47,"")</f>
        <v/>
      </c>
      <c r="CG26" s="207" t="str">
        <f>IF(AND(C26="Skema 1",B26="to"),Skemaoplysninger!$K$47,"")</f>
        <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4"/>
        <v/>
      </c>
      <c r="DL26" t="str">
        <f t="shared" si="14"/>
        <v/>
      </c>
      <c r="DM26" t="str">
        <f t="shared" si="14"/>
        <v/>
      </c>
      <c r="DN26" t="str">
        <f t="shared" si="35"/>
        <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5"/>
        <v>0</v>
      </c>
      <c r="FZ26" s="634">
        <f t="shared" si="16"/>
        <v>0</v>
      </c>
      <c r="GA26">
        <f t="shared" si="17"/>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8"/>
        <v>0</v>
      </c>
      <c r="GL26">
        <f t="shared" si="19"/>
        <v>0</v>
      </c>
      <c r="GM26">
        <f t="shared" si="20"/>
        <v>0</v>
      </c>
      <c r="GN26" s="713">
        <f t="shared" si="21"/>
        <v>0</v>
      </c>
      <c r="GO26">
        <f t="shared" si="37"/>
        <v>0</v>
      </c>
      <c r="GP26" s="647">
        <f t="shared" si="38"/>
        <v>0</v>
      </c>
    </row>
    <row r="27" spans="1:198">
      <c r="A27" s="239">
        <f t="shared" si="22"/>
        <v>14</v>
      </c>
      <c r="B27" s="125" t="str">
        <f t="shared" si="0"/>
        <v>ma</v>
      </c>
      <c r="C27" s="126" t="s">
        <v>203</v>
      </c>
      <c r="D27" s="127">
        <f t="shared" si="1"/>
        <v>24.428571428571427</v>
      </c>
      <c r="E27" s="1123"/>
      <c r="F27" s="1124"/>
      <c r="G27" s="1125"/>
      <c r="H27" s="291"/>
      <c r="I27" s="745"/>
      <c r="J27" s="746" t="str">
        <f t="shared" si="2"/>
        <v/>
      </c>
      <c r="K27" s="368"/>
      <c r="L27" s="368"/>
      <c r="M27" s="368"/>
      <c r="N27" s="311">
        <f t="shared" si="23"/>
        <v>8.11</v>
      </c>
      <c r="O27" s="311">
        <f t="shared" si="24"/>
        <v>4.5</v>
      </c>
      <c r="P27" s="311">
        <f>IF(Stamoplysninger!$H$34="JA",Juni!DG27,CX27)</f>
        <v>1.9166666666666665</v>
      </c>
      <c r="Q27" s="311">
        <f t="shared" si="25"/>
        <v>1.6933333333333329</v>
      </c>
      <c r="R27" s="751"/>
      <c r="S27" s="315"/>
      <c r="T27" s="316"/>
      <c r="U27" s="316"/>
      <c r="V27" s="422"/>
      <c r="W27" s="422"/>
      <c r="X27" s="621"/>
      <c r="Y27">
        <f t="shared" si="26"/>
        <v>0</v>
      </c>
      <c r="Z27" s="424">
        <f t="shared" si="27"/>
        <v>0</v>
      </c>
      <c r="AA27" s="1">
        <f t="shared" si="3"/>
        <v>0</v>
      </c>
      <c r="AB27" s="1">
        <f t="shared" si="4"/>
        <v>0</v>
      </c>
      <c r="AC27" s="1">
        <f t="shared" si="5"/>
        <v>0</v>
      </c>
      <c r="AD27" s="1">
        <f t="shared" si="6"/>
        <v>0</v>
      </c>
      <c r="AE27" s="1">
        <f t="shared" si="7"/>
        <v>0</v>
      </c>
      <c r="AF27" s="1">
        <f>IF(C27="Orlov",7.4*Stamoplysninger!$E$20,0)</f>
        <v>0</v>
      </c>
      <c r="AG27">
        <f>IF(AND(C27="Skema 1",B27="ma"),Arbejdstidsoversigt!$E$77,"")</f>
        <v>8.11</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8.11</v>
      </c>
      <c r="BB27" s="224">
        <f t="shared" si="8"/>
        <v>194.64</v>
      </c>
      <c r="BC27" s="1">
        <f t="shared" si="29"/>
        <v>0</v>
      </c>
      <c r="BD27" s="1">
        <f t="shared" si="9"/>
        <v>0</v>
      </c>
      <c r="BE27" s="1">
        <f t="shared" si="10"/>
        <v>0</v>
      </c>
      <c r="BF27" s="1">
        <f t="shared" si="11"/>
        <v>0</v>
      </c>
      <c r="BG27" s="207">
        <f>IF(AND(C27="Skema 1",B27="ma"),Skemaoplysninger!$E$46,"")</f>
        <v>0.1875</v>
      </c>
      <c r="BH27" s="207" t="str">
        <f>IF(AND(C27="Skema 1",B27="ti"),Skemaoplysninger!$G$46,"")</f>
        <v/>
      </c>
      <c r="BI27" s="207" t="str">
        <f>IF(AND(C27="Skema 1",B27="on"),Skemaoplysninger!$I$46,"")</f>
        <v/>
      </c>
      <c r="BJ27" s="207" t="str">
        <f>IF(AND(C27="Skema 1",B27="to"),Skemaoplysninger!$K$46,"")</f>
        <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4.5</v>
      </c>
      <c r="CB27" s="1">
        <f t="shared" si="12"/>
        <v>0</v>
      </c>
      <c r="CC27" s="1">
        <f t="shared" si="13"/>
        <v>0</v>
      </c>
      <c r="CD27" s="207">
        <f>IF(AND(C27="Skema 1",B27="ma"),Skemaoplysninger!$E$47,"")</f>
        <v>7.9861111111111105E-2</v>
      </c>
      <c r="CE27" s="207" t="str">
        <f>IF(AND(C27="Skema 1",B27="ti"),Skemaoplysninger!$G$47,"")</f>
        <v/>
      </c>
      <c r="CF27" s="207" t="str">
        <f>IF(AND(C27="Skema 1",B27="on"),Skemaoplysninger!$I$47,"")</f>
        <v/>
      </c>
      <c r="CG27" s="207" t="str">
        <f>IF(AND(C27="Skema 1",B27="to"),Skemaoplysninger!$K$47,"")</f>
        <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1.9166666666666665</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f t="shared" si="33"/>
        <v>0</v>
      </c>
      <c r="DJ27">
        <f t="shared" si="34"/>
        <v>0</v>
      </c>
      <c r="DK27" t="str">
        <f t="shared" si="14"/>
        <v/>
      </c>
      <c r="DL27" t="str">
        <f t="shared" si="14"/>
        <v/>
      </c>
      <c r="DM27" t="str">
        <f t="shared" si="14"/>
        <v/>
      </c>
      <c r="DN27" t="str">
        <f t="shared" si="35"/>
        <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5"/>
        <v>0</v>
      </c>
      <c r="FZ27" s="634">
        <f t="shared" si="16"/>
        <v>0</v>
      </c>
      <c r="GA27">
        <f t="shared" si="17"/>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8"/>
        <v>0</v>
      </c>
      <c r="GL27">
        <f t="shared" si="19"/>
        <v>0</v>
      </c>
      <c r="GM27">
        <f t="shared" si="20"/>
        <v>0</v>
      </c>
      <c r="GN27" s="713">
        <f t="shared" si="21"/>
        <v>0</v>
      </c>
      <c r="GO27">
        <f t="shared" si="37"/>
        <v>0</v>
      </c>
      <c r="GP27" s="647">
        <f t="shared" si="38"/>
        <v>0</v>
      </c>
    </row>
    <row r="28" spans="1:198">
      <c r="A28" s="239">
        <f t="shared" si="22"/>
        <v>15</v>
      </c>
      <c r="B28" s="125" t="str">
        <f t="shared" si="0"/>
        <v>ti</v>
      </c>
      <c r="C28" s="126" t="s">
        <v>203</v>
      </c>
      <c r="D28" s="127" t="str">
        <f t="shared" si="1"/>
        <v/>
      </c>
      <c r="E28" s="1123"/>
      <c r="F28" s="1124"/>
      <c r="G28" s="1125"/>
      <c r="H28" s="291"/>
      <c r="I28" s="745"/>
      <c r="J28" s="746" t="str">
        <f t="shared" si="2"/>
        <v/>
      </c>
      <c r="K28" s="368"/>
      <c r="L28" s="368"/>
      <c r="M28" s="368"/>
      <c r="N28" s="311">
        <f t="shared" si="23"/>
        <v>8.11</v>
      </c>
      <c r="O28" s="311">
        <f t="shared" si="24"/>
        <v>4.5</v>
      </c>
      <c r="P28" s="311">
        <f>IF(Stamoplysninger!$H$34="JA",Juni!DG28,CX28)</f>
        <v>1.9166666666666665</v>
      </c>
      <c r="Q28" s="311">
        <f t="shared" si="25"/>
        <v>1.6933333333333329</v>
      </c>
      <c r="R28" s="751"/>
      <c r="S28" s="315"/>
      <c r="T28" s="316"/>
      <c r="U28" s="316"/>
      <c r="V28" s="422"/>
      <c r="W28" s="422"/>
      <c r="X28" s="621"/>
      <c r="Y28">
        <f t="shared" si="26"/>
        <v>0</v>
      </c>
      <c r="Z28" s="424">
        <f t="shared" si="27"/>
        <v>0</v>
      </c>
      <c r="AA28" s="1">
        <f t="shared" si="3"/>
        <v>0</v>
      </c>
      <c r="AB28" s="1">
        <f t="shared" si="4"/>
        <v>0</v>
      </c>
      <c r="AC28" s="1">
        <f t="shared" si="5"/>
        <v>0</v>
      </c>
      <c r="AD28" s="1">
        <f t="shared" si="6"/>
        <v>0</v>
      </c>
      <c r="AE28" s="1">
        <f t="shared" si="7"/>
        <v>0</v>
      </c>
      <c r="AF28" s="1">
        <f>IF(C28="Orlov",7.4*Stamoplysninger!$E$20,0)</f>
        <v>0</v>
      </c>
      <c r="AG28" t="str">
        <f>IF(AND(C28="Skema 1",B28="ma"),Arbejdstidsoversigt!$E$77,"")</f>
        <v/>
      </c>
      <c r="AH28">
        <f>IF(AND(C28="Skema 1",B28="ti"),Arbejdstidsoversigt!$E$78,"")</f>
        <v>8.11</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8.11</v>
      </c>
      <c r="BB28" s="224">
        <f t="shared" si="8"/>
        <v>194.64</v>
      </c>
      <c r="BC28" s="1">
        <f t="shared" si="29"/>
        <v>0</v>
      </c>
      <c r="BD28" s="1">
        <f t="shared" si="9"/>
        <v>0</v>
      </c>
      <c r="BE28" s="1">
        <f t="shared" si="10"/>
        <v>0</v>
      </c>
      <c r="BF28" s="1">
        <f t="shared" si="11"/>
        <v>0</v>
      </c>
      <c r="BG28" s="207" t="str">
        <f>IF(AND(C28="Skema 1",B28="ma"),Skemaoplysninger!$E$46,"")</f>
        <v/>
      </c>
      <c r="BH28" s="207">
        <f>IF(AND(C28="Skema 1",B28="ti"),Skemaoplysninger!$G$46,"")</f>
        <v>0.1875</v>
      </c>
      <c r="BI28" s="207" t="str">
        <f>IF(AND(C28="Skema 1",B28="on"),Skemaoplysninger!$I$46,"")</f>
        <v/>
      </c>
      <c r="BJ28" s="207" t="str">
        <f>IF(AND(C28="Skema 1",B28="to"),Skemaoplysninger!$K$46,"")</f>
        <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4.5</v>
      </c>
      <c r="CB28" s="1">
        <f t="shared" si="12"/>
        <v>0</v>
      </c>
      <c r="CC28" s="1">
        <f t="shared" si="13"/>
        <v>0</v>
      </c>
      <c r="CD28" s="207" t="str">
        <f>IF(AND(C28="Skema 1",B28="ma"),Skemaoplysninger!$E$47,"")</f>
        <v/>
      </c>
      <c r="CE28" s="207">
        <f>IF(AND(C28="Skema 1",B28="ti"),Skemaoplysninger!$G$47,"")</f>
        <v>7.9861111111111105E-2</v>
      </c>
      <c r="CF28" s="207" t="str">
        <f>IF(AND(C28="Skema 1",B28="on"),Skemaoplysninger!$I$47,"")</f>
        <v/>
      </c>
      <c r="CG28" s="207" t="str">
        <f>IF(AND(C28="Skema 1",B28="to"),Skemaoplysninger!$K$47,"")</f>
        <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1.9166666666666665</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4"/>
        <v/>
      </c>
      <c r="DL28" t="str">
        <f t="shared" si="14"/>
        <v/>
      </c>
      <c r="DM28" t="str">
        <f t="shared" si="14"/>
        <v/>
      </c>
      <c r="DN28" t="str">
        <f t="shared" si="35"/>
        <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5"/>
        <v>0</v>
      </c>
      <c r="FZ28" s="634">
        <f t="shared" si="16"/>
        <v>0</v>
      </c>
      <c r="GA28">
        <f t="shared" si="17"/>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8"/>
        <v>0</v>
      </c>
      <c r="GL28">
        <f t="shared" si="19"/>
        <v>0</v>
      </c>
      <c r="GM28">
        <f t="shared" si="20"/>
        <v>0</v>
      </c>
      <c r="GN28" s="713">
        <f t="shared" si="21"/>
        <v>0</v>
      </c>
      <c r="GO28">
        <f t="shared" si="37"/>
        <v>0</v>
      </c>
      <c r="GP28" s="647">
        <f t="shared" si="38"/>
        <v>0</v>
      </c>
    </row>
    <row r="29" spans="1:198">
      <c r="A29" s="239">
        <f>IF(ISNUMBER(A28),A28+1,1)</f>
        <v>16</v>
      </c>
      <c r="B29" s="125" t="str">
        <f t="shared" si="0"/>
        <v>on</v>
      </c>
      <c r="C29" s="126" t="s">
        <v>203</v>
      </c>
      <c r="D29" s="127" t="str">
        <f t="shared" si="1"/>
        <v/>
      </c>
      <c r="E29" s="1060"/>
      <c r="F29" s="1061"/>
      <c r="G29" s="1062"/>
      <c r="H29" s="292"/>
      <c r="I29" s="745"/>
      <c r="J29" s="746" t="str">
        <f t="shared" si="2"/>
        <v/>
      </c>
      <c r="K29" s="368"/>
      <c r="L29" s="368"/>
      <c r="M29" s="368"/>
      <c r="N29" s="311">
        <f t="shared" si="23"/>
        <v>8.11</v>
      </c>
      <c r="O29" s="311">
        <f t="shared" si="24"/>
        <v>2.75</v>
      </c>
      <c r="P29" s="311">
        <f>IF(Stamoplysninger!$H$34="JA",Juni!DG29,CX29)</f>
        <v>1.25</v>
      </c>
      <c r="Q29" s="311">
        <f t="shared" si="25"/>
        <v>4.1099999999999994</v>
      </c>
      <c r="R29" s="751"/>
      <c r="S29" s="315"/>
      <c r="T29" s="316"/>
      <c r="U29" s="316"/>
      <c r="V29" s="422"/>
      <c r="W29" s="422"/>
      <c r="X29" s="621"/>
      <c r="Y29">
        <f t="shared" si="26"/>
        <v>0</v>
      </c>
      <c r="Z29" s="424">
        <f t="shared" si="27"/>
        <v>0</v>
      </c>
      <c r="AA29" s="1">
        <f t="shared" si="3"/>
        <v>0</v>
      </c>
      <c r="AB29" s="1">
        <f t="shared" si="4"/>
        <v>0</v>
      </c>
      <c r="AC29" s="1">
        <f t="shared" si="5"/>
        <v>0</v>
      </c>
      <c r="AD29" s="1">
        <f t="shared" si="6"/>
        <v>0</v>
      </c>
      <c r="AE29" s="1">
        <f t="shared" si="7"/>
        <v>0</v>
      </c>
      <c r="AF29" s="1">
        <f>IF(C29="Orlov",7.4*Stamoplysninger!$E$20,0)</f>
        <v>0</v>
      </c>
      <c r="AG29" t="str">
        <f>IF(AND(C29="Skema 1",B29="ma"),Arbejdstidsoversigt!$E$77,"")</f>
        <v/>
      </c>
      <c r="AH29" t="str">
        <f>IF(AND(C29="Skema 1",B29="ti"),Arbejdstidsoversigt!$E$78,"")</f>
        <v/>
      </c>
      <c r="AI29">
        <f>IF(AND(C29="Skema 1",B29="on"),Arbejdstidsoversigt!$E$79,"")</f>
        <v>8.11</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8.11</v>
      </c>
      <c r="BB29" s="224">
        <f t="shared" si="8"/>
        <v>194.64</v>
      </c>
      <c r="BC29" s="1">
        <f t="shared" si="29"/>
        <v>0</v>
      </c>
      <c r="BD29" s="1">
        <f t="shared" si="9"/>
        <v>0</v>
      </c>
      <c r="BE29" s="1">
        <f t="shared" si="10"/>
        <v>0</v>
      </c>
      <c r="BF29" s="1">
        <f t="shared" si="11"/>
        <v>0</v>
      </c>
      <c r="BG29" s="207" t="str">
        <f>IF(AND(C29="Skema 1",B29="ma"),Skemaoplysninger!$E$46,"")</f>
        <v/>
      </c>
      <c r="BH29" s="207" t="str">
        <f>IF(AND(C29="Skema 1",B29="ti"),Skemaoplysninger!$G$46,"")</f>
        <v/>
      </c>
      <c r="BI29" s="207">
        <f>IF(AND(C29="Skema 1",B29="on"),Skemaoplysninger!$I$46,"")</f>
        <v>0.11458333333333333</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2.75</v>
      </c>
      <c r="CB29" s="1">
        <f t="shared" si="12"/>
        <v>0</v>
      </c>
      <c r="CC29" s="1">
        <f t="shared" si="13"/>
        <v>0</v>
      </c>
      <c r="CD29" s="207" t="str">
        <f>IF(AND(C29="Skema 1",B29="ma"),Skemaoplysninger!$E$47,"")</f>
        <v/>
      </c>
      <c r="CE29" s="207" t="str">
        <f>IF(AND(C29="Skema 1",B29="ti"),Skemaoplysninger!$G$47,"")</f>
        <v/>
      </c>
      <c r="CF29" s="207">
        <f>IF(AND(C29="Skema 1",B29="on"),Skemaoplysninger!$I$47,"")</f>
        <v>5.2083333333333329E-2</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1.25</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f t="shared" si="33"/>
        <v>0</v>
      </c>
      <c r="DJ29">
        <f t="shared" si="34"/>
        <v>0</v>
      </c>
      <c r="DK29" t="str">
        <f t="shared" si="14"/>
        <v/>
      </c>
      <c r="DL29" t="str">
        <f t="shared" si="14"/>
        <v/>
      </c>
      <c r="DM29" t="str">
        <f t="shared" si="14"/>
        <v/>
      </c>
      <c r="DN29" t="str">
        <f t="shared" si="35"/>
        <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5"/>
        <v>0</v>
      </c>
      <c r="FZ29" s="634">
        <f t="shared" si="16"/>
        <v>0</v>
      </c>
      <c r="GA29">
        <f t="shared" si="17"/>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8"/>
        <v>0</v>
      </c>
      <c r="GL29">
        <f t="shared" si="19"/>
        <v>0</v>
      </c>
      <c r="GM29">
        <f t="shared" si="20"/>
        <v>0</v>
      </c>
      <c r="GN29" s="713">
        <f t="shared" si="21"/>
        <v>0</v>
      </c>
      <c r="GO29">
        <f t="shared" si="37"/>
        <v>0</v>
      </c>
      <c r="GP29" s="647">
        <f t="shared" si="38"/>
        <v>0</v>
      </c>
    </row>
    <row r="30" spans="1:198">
      <c r="A30" s="239">
        <f t="shared" si="22"/>
        <v>17</v>
      </c>
      <c r="B30" s="125" t="str">
        <f t="shared" si="0"/>
        <v>to</v>
      </c>
      <c r="C30" s="126" t="s">
        <v>203</v>
      </c>
      <c r="D30" s="127" t="str">
        <f t="shared" si="1"/>
        <v/>
      </c>
      <c r="E30" s="1060"/>
      <c r="F30" s="1061"/>
      <c r="G30" s="1062"/>
      <c r="H30" s="292"/>
      <c r="I30" s="745"/>
      <c r="J30" s="746" t="str">
        <f t="shared" si="2"/>
        <v/>
      </c>
      <c r="K30" s="368"/>
      <c r="L30" s="368"/>
      <c r="M30" s="368"/>
      <c r="N30" s="311">
        <f t="shared" si="23"/>
        <v>9</v>
      </c>
      <c r="O30" s="311">
        <f t="shared" si="24"/>
        <v>3.75</v>
      </c>
      <c r="P30" s="311">
        <f>IF(Stamoplysninger!$H$34="JA",Juni!DG30,CX30)</f>
        <v>1</v>
      </c>
      <c r="Q30" s="311">
        <f t="shared" si="25"/>
        <v>4.25</v>
      </c>
      <c r="R30" s="751"/>
      <c r="S30" s="315"/>
      <c r="T30" s="316"/>
      <c r="U30" s="316"/>
      <c r="V30" s="422"/>
      <c r="W30" s="422"/>
      <c r="X30" s="621"/>
      <c r="Y30">
        <f t="shared" si="26"/>
        <v>0</v>
      </c>
      <c r="Z30" s="424">
        <f t="shared" si="27"/>
        <v>0</v>
      </c>
      <c r="AA30" s="1">
        <f t="shared" si="3"/>
        <v>0</v>
      </c>
      <c r="AB30" s="1">
        <f t="shared" si="4"/>
        <v>0</v>
      </c>
      <c r="AC30" s="1">
        <f t="shared" si="5"/>
        <v>0</v>
      </c>
      <c r="AD30" s="1">
        <f t="shared" si="6"/>
        <v>0</v>
      </c>
      <c r="AE30" s="1">
        <f t="shared" si="7"/>
        <v>0</v>
      </c>
      <c r="AF30" s="1">
        <f>IF(C30="Orlov",7.4*Stamoplysninger!$E$20,0)</f>
        <v>0</v>
      </c>
      <c r="AG30" t="str">
        <f>IF(AND(C30="Skema 1",B30="ma"),Arbejdstidsoversigt!$E$77,"")</f>
        <v/>
      </c>
      <c r="AH30" t="str">
        <f>IF(AND(C30="Skema 1",B30="ti"),Arbejdstidsoversigt!$E$78,"")</f>
        <v/>
      </c>
      <c r="AI30" t="str">
        <f>IF(AND(C30="Skema 1",B30="on"),Arbejdstidsoversigt!$E$79,"")</f>
        <v/>
      </c>
      <c r="AJ30">
        <f>IF(AND(C30="Skema 1",B30="to"),Arbejdstidsoversigt!$E$80,"")</f>
        <v>9</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9</v>
      </c>
      <c r="BB30" s="224">
        <f t="shared" si="8"/>
        <v>216</v>
      </c>
      <c r="BC30" s="1">
        <f t="shared" si="29"/>
        <v>0</v>
      </c>
      <c r="BD30" s="1">
        <f t="shared" si="9"/>
        <v>0</v>
      </c>
      <c r="BE30" s="1">
        <f t="shared" si="10"/>
        <v>0</v>
      </c>
      <c r="BF30" s="1">
        <f t="shared" si="11"/>
        <v>0</v>
      </c>
      <c r="BG30" s="207" t="str">
        <f>IF(AND(C30="Skema 1",B30="ma"),Skemaoplysninger!$E$46,"")</f>
        <v/>
      </c>
      <c r="BH30" s="207" t="str">
        <f>IF(AND(C30="Skema 1",B30="ti"),Skemaoplysninger!$G$46,"")</f>
        <v/>
      </c>
      <c r="BI30" s="207" t="str">
        <f>IF(AND(C30="Skema 1",B30="on"),Skemaoplysninger!$I$46,"")</f>
        <v/>
      </c>
      <c r="BJ30" s="207">
        <f>IF(AND(C30="Skema 1",B30="to"),Skemaoplysninger!$K$46,"")</f>
        <v>0.15625</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3.75</v>
      </c>
      <c r="CB30" s="1">
        <f t="shared" si="12"/>
        <v>0</v>
      </c>
      <c r="CC30" s="1">
        <f t="shared" si="13"/>
        <v>0</v>
      </c>
      <c r="CD30" s="207" t="str">
        <f>IF(AND(C30="Skema 1",B30="ma"),Skemaoplysninger!$E$47,"")</f>
        <v/>
      </c>
      <c r="CE30" s="207" t="str">
        <f>IF(AND(C30="Skema 1",B30="ti"),Skemaoplysninger!$G$47,"")</f>
        <v/>
      </c>
      <c r="CF30" s="207" t="str">
        <f>IF(AND(C30="Skema 1",B30="on"),Skemaoplysninger!$I$47,"")</f>
        <v/>
      </c>
      <c r="CG30" s="207">
        <f>IF(AND(C30="Skema 1",B30="to"),Skemaoplysninger!$K$47,"")</f>
        <v>4.1666666666666664E-2</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1</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4"/>
        <v/>
      </c>
      <c r="DL30" t="str">
        <f t="shared" si="14"/>
        <v/>
      </c>
      <c r="DM30" t="str">
        <f t="shared" si="14"/>
        <v/>
      </c>
      <c r="DN30" t="str">
        <f t="shared" si="35"/>
        <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5"/>
        <v>0</v>
      </c>
      <c r="FZ30" s="634">
        <f t="shared" si="16"/>
        <v>0</v>
      </c>
      <c r="GA30">
        <f t="shared" si="17"/>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8"/>
        <v>0</v>
      </c>
      <c r="GL30">
        <f t="shared" si="19"/>
        <v>0</v>
      </c>
      <c r="GM30">
        <f t="shared" si="20"/>
        <v>0</v>
      </c>
      <c r="GN30" s="713">
        <f t="shared" si="21"/>
        <v>0</v>
      </c>
      <c r="GO30">
        <f t="shared" si="37"/>
        <v>0</v>
      </c>
      <c r="GP30" s="647">
        <f t="shared" si="38"/>
        <v>0</v>
      </c>
    </row>
    <row r="31" spans="1:198">
      <c r="A31" s="239">
        <f t="shared" si="22"/>
        <v>18</v>
      </c>
      <c r="B31" s="125" t="str">
        <f t="shared" si="0"/>
        <v>fr</v>
      </c>
      <c r="C31" s="126" t="s">
        <v>203</v>
      </c>
      <c r="D31" s="127" t="str">
        <f t="shared" si="1"/>
        <v/>
      </c>
      <c r="E31" s="1060"/>
      <c r="F31" s="1061"/>
      <c r="G31" s="1062"/>
      <c r="H31" s="292"/>
      <c r="I31" s="745"/>
      <c r="J31" s="746" t="str">
        <f t="shared" si="2"/>
        <v/>
      </c>
      <c r="K31" s="368"/>
      <c r="L31" s="368"/>
      <c r="M31" s="368"/>
      <c r="N31" s="311">
        <f t="shared" si="23"/>
        <v>7.1</v>
      </c>
      <c r="O31" s="311">
        <f t="shared" si="24"/>
        <v>3.75</v>
      </c>
      <c r="P31" s="311">
        <f>IF(Stamoplysninger!$H$34="JA",Juni!DG31,CX31)</f>
        <v>1</v>
      </c>
      <c r="Q31" s="311">
        <f t="shared" si="25"/>
        <v>2.3499999999999996</v>
      </c>
      <c r="R31" s="751"/>
      <c r="S31" s="315"/>
      <c r="T31" s="316"/>
      <c r="U31" s="316"/>
      <c r="V31" s="422"/>
      <c r="W31" s="422"/>
      <c r="X31" s="621"/>
      <c r="Y31">
        <f t="shared" si="26"/>
        <v>0</v>
      </c>
      <c r="Z31" s="424">
        <f t="shared" si="27"/>
        <v>0</v>
      </c>
      <c r="AA31" s="1">
        <f t="shared" si="3"/>
        <v>0</v>
      </c>
      <c r="AB31" s="1">
        <f t="shared" si="4"/>
        <v>0</v>
      </c>
      <c r="AC31" s="1">
        <f t="shared" si="5"/>
        <v>0</v>
      </c>
      <c r="AD31" s="1">
        <f t="shared" si="6"/>
        <v>0</v>
      </c>
      <c r="AE31" s="1">
        <f t="shared" si="7"/>
        <v>0</v>
      </c>
      <c r="AF31" s="1">
        <f>IF(C31="Orlov",7.4*Stamoplysninger!$E$20,0)</f>
        <v>0</v>
      </c>
      <c r="AG31" t="str">
        <f>IF(AND(C31="Skema 1",B31="ma"),Arbejdstidsoversigt!$E$77,"")</f>
        <v/>
      </c>
      <c r="AH31" t="str">
        <f>IF(AND(C31="Skema 1",B31="ti"),Arbejdstidsoversigt!$E$78,"")</f>
        <v/>
      </c>
      <c r="AI31" t="str">
        <f>IF(AND(C31="Skema 1",B31="on"),Arbejdstidsoversigt!$E$79,"")</f>
        <v/>
      </c>
      <c r="AJ31" t="str">
        <f>IF(AND(C31="Skema 1",B31="to"),Arbejdstidsoversigt!$E$80,"")</f>
        <v/>
      </c>
      <c r="AK31">
        <f>IF(AND(C31="Skema 1",B31="fr"),Arbejdstidsoversigt!$E$81,"")</f>
        <v>7.1</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7.1</v>
      </c>
      <c r="BB31" s="224">
        <f t="shared" si="8"/>
        <v>170.39999999999998</v>
      </c>
      <c r="BC31" s="1">
        <f t="shared" si="29"/>
        <v>0</v>
      </c>
      <c r="BD31" s="1">
        <f t="shared" si="9"/>
        <v>0</v>
      </c>
      <c r="BE31" s="1">
        <f t="shared" si="10"/>
        <v>0</v>
      </c>
      <c r="BF31" s="1">
        <f t="shared" si="11"/>
        <v>0</v>
      </c>
      <c r="BG31" s="207" t="str">
        <f>IF(AND(C31="Skema 1",B31="ma"),Skemaoplysninger!$E$46,"")</f>
        <v/>
      </c>
      <c r="BH31" s="207" t="str">
        <f>IF(AND(C31="Skema 1",B31="ti"),Skemaoplysninger!$G$46,"")</f>
        <v/>
      </c>
      <c r="BI31" s="207" t="str">
        <f>IF(AND(C31="Skema 1",B31="on"),Skemaoplysninger!$I$46,"")</f>
        <v/>
      </c>
      <c r="BJ31" s="207" t="str">
        <f>IF(AND(C31="Skema 1",B31="to"),Skemaoplysninger!$K$46,"")</f>
        <v/>
      </c>
      <c r="BK31" s="207">
        <f>IF(AND(C31="Skema 1",B31="fr"),Skemaoplysninger!$M$46,"")</f>
        <v>0.15625</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3.75</v>
      </c>
      <c r="CB31" s="1">
        <f t="shared" si="12"/>
        <v>0</v>
      </c>
      <c r="CC31" s="1">
        <f t="shared" si="13"/>
        <v>0</v>
      </c>
      <c r="CD31" s="207" t="str">
        <f>IF(AND(C31="Skema 1",B31="ma"),Skemaoplysninger!$E$47,"")</f>
        <v/>
      </c>
      <c r="CE31" s="207" t="str">
        <f>IF(AND(C31="Skema 1",B31="ti"),Skemaoplysninger!$G$47,"")</f>
        <v/>
      </c>
      <c r="CF31" s="207" t="str">
        <f>IF(AND(C31="Skema 1",B31="on"),Skemaoplysninger!$I$47,"")</f>
        <v/>
      </c>
      <c r="CG31" s="207" t="str">
        <f>IF(AND(C31="Skema 1",B31="to"),Skemaoplysninger!$K$47,"")</f>
        <v/>
      </c>
      <c r="CH31" s="207">
        <f>IF(AND(C31="Skema 1",B31="fr"),Skemaoplysninger!$M$47,"")</f>
        <v>4.1666666666666664E-2</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1</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4"/>
        <v/>
      </c>
      <c r="DL31" t="str">
        <f t="shared" si="14"/>
        <v/>
      </c>
      <c r="DM31" t="str">
        <f t="shared" si="14"/>
        <v/>
      </c>
      <c r="DN31" t="str">
        <f t="shared" si="35"/>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5"/>
        <v>0</v>
      </c>
      <c r="FZ31" s="634">
        <f t="shared" si="16"/>
        <v>0</v>
      </c>
      <c r="GA31">
        <f t="shared" si="17"/>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8"/>
        <v>0</v>
      </c>
      <c r="GL31">
        <f t="shared" si="19"/>
        <v>0</v>
      </c>
      <c r="GM31">
        <f t="shared" si="20"/>
        <v>0</v>
      </c>
      <c r="GN31" s="713">
        <f t="shared" si="21"/>
        <v>0</v>
      </c>
      <c r="GO31">
        <f t="shared" si="37"/>
        <v>0</v>
      </c>
      <c r="GP31" s="647">
        <f t="shared" si="38"/>
        <v>0</v>
      </c>
    </row>
    <row r="32" spans="1:198">
      <c r="A32" s="239">
        <f t="shared" si="22"/>
        <v>19</v>
      </c>
      <c r="B32" s="125" t="str">
        <f t="shared" si="0"/>
        <v>lø</v>
      </c>
      <c r="C32" s="126" t="s">
        <v>118</v>
      </c>
      <c r="D32" s="127" t="str">
        <f t="shared" si="1"/>
        <v/>
      </c>
      <c r="E32" s="1060"/>
      <c r="F32" s="1061"/>
      <c r="G32" s="1062"/>
      <c r="H32" s="292"/>
      <c r="I32" s="746" t="str">
        <f>IF(GO32=1,"X","")</f>
        <v/>
      </c>
      <c r="J32" s="746" t="str">
        <f t="shared" si="2"/>
        <v/>
      </c>
      <c r="K32" s="368"/>
      <c r="L32" s="368"/>
      <c r="M32" s="368"/>
      <c r="N32" s="311">
        <f t="shared" si="23"/>
        <v>0</v>
      </c>
      <c r="O32" s="311">
        <f t="shared" si="24"/>
        <v>0</v>
      </c>
      <c r="P32" s="311">
        <f>IF(Stamoplysninger!$H$34="JA",Juni!DG32,CX32)</f>
        <v>0</v>
      </c>
      <c r="Q32" s="311">
        <f t="shared" si="25"/>
        <v>0</v>
      </c>
      <c r="R32" s="751"/>
      <c r="S32" s="315"/>
      <c r="T32" s="316"/>
      <c r="U32" s="316"/>
      <c r="V32" s="422"/>
      <c r="W32" s="422"/>
      <c r="X32" s="621"/>
      <c r="Y32">
        <f t="shared" si="26"/>
        <v>0</v>
      </c>
      <c r="Z32" s="424">
        <f t="shared" si="27"/>
        <v>0</v>
      </c>
      <c r="AA32" s="1">
        <f t="shared" si="3"/>
        <v>0</v>
      </c>
      <c r="AB32" s="1">
        <f t="shared" si="4"/>
        <v>0</v>
      </c>
      <c r="AC32" s="1">
        <f t="shared" si="5"/>
        <v>0</v>
      </c>
      <c r="AD32" s="1">
        <f t="shared" si="6"/>
        <v>0</v>
      </c>
      <c r="AE32" s="1">
        <f t="shared" si="7"/>
        <v>0</v>
      </c>
      <c r="AF32" s="1">
        <f>IF(C32="Orlov",7.4*Stamoplysninger!$E$20,0)</f>
        <v>0</v>
      </c>
      <c r="AG32" t="str">
        <f>IF(AND(C32="Skema 1",B32="ma"),Arbejdstidsoversigt!$E$77,"")</f>
        <v/>
      </c>
      <c r="AH32" t="str">
        <f>IF(AND(C32="Skema 1",B32="ti"),Arbejdstidsoversigt!$E$78,"")</f>
        <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8"/>
        <v>0</v>
      </c>
      <c r="BC32" s="1">
        <f t="shared" si="29"/>
        <v>0</v>
      </c>
      <c r="BD32" s="1">
        <f t="shared" si="9"/>
        <v>0</v>
      </c>
      <c r="BE32" s="1">
        <f t="shared" si="10"/>
        <v>0</v>
      </c>
      <c r="BF32" s="1">
        <f t="shared" si="11"/>
        <v>0</v>
      </c>
      <c r="BG32" s="207" t="str">
        <f>IF(AND(C32="Skema 1",B32="ma"),Skemaoplysninger!$E$46,"")</f>
        <v/>
      </c>
      <c r="BH32" s="207" t="str">
        <f>IF(AND(C32="Skema 1",B32="ti"),Skemaoplysninger!$G$46,"")</f>
        <v/>
      </c>
      <c r="BI32" s="207" t="str">
        <f>IF(AND(C32="Skema 1",B32="on"),Skemaoplysninger!$I$46,"")</f>
        <v/>
      </c>
      <c r="BJ32" s="207" t="str">
        <f>IF(AND(C32="Skema 1",B32="to"),Skemaoplysninger!$K$46,"")</f>
        <v/>
      </c>
      <c r="BK32" s="207" t="str">
        <f>IF(AND(C32="Skema 1",B32="fr"),Skemaoplysninger!$M$46,"")</f>
        <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0</v>
      </c>
      <c r="CB32" s="1">
        <f t="shared" si="12"/>
        <v>0</v>
      </c>
      <c r="CC32" s="1">
        <f t="shared" si="13"/>
        <v>0</v>
      </c>
      <c r="CD32" s="207" t="str">
        <f>IF(AND(C32="Skema 1",B32="ma"),Skemaoplysninger!$E$47,"")</f>
        <v/>
      </c>
      <c r="CE32" s="207" t="str">
        <f>IF(AND(C32="Skema 1",B32="ti"),Skemaoplysninger!$G$47,"")</f>
        <v/>
      </c>
      <c r="CF32" s="207" t="str">
        <f>IF(AND(C32="Skema 1",B32="on"),Skemaoplysninger!$I$47,"")</f>
        <v/>
      </c>
      <c r="CG32" s="207" t="str">
        <f>IF(AND(C32="Skema 1",B32="to"),Skemaoplysninger!$K$47,"")</f>
        <v/>
      </c>
      <c r="CH32" s="207" t="str">
        <f>IF(AND(C32="Skema 1",B32="fr"),Skemaoplysninger!$M$47,"")</f>
        <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4"/>
        <v/>
      </c>
      <c r="DL32" t="str">
        <f t="shared" si="14"/>
        <v/>
      </c>
      <c r="DM32" t="str">
        <f t="shared" si="14"/>
        <v/>
      </c>
      <c r="DN32" t="str">
        <f t="shared" si="35"/>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5"/>
        <v>0</v>
      </c>
      <c r="FZ32" s="634">
        <f t="shared" si="16"/>
        <v>0</v>
      </c>
      <c r="GA32">
        <f t="shared" si="17"/>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8"/>
        <v>0</v>
      </c>
      <c r="GL32">
        <f t="shared" si="19"/>
        <v>0</v>
      </c>
      <c r="GM32">
        <f t="shared" si="20"/>
        <v>0</v>
      </c>
      <c r="GN32" s="713">
        <f t="shared" si="21"/>
        <v>0</v>
      </c>
      <c r="GO32">
        <f t="shared" si="37"/>
        <v>0</v>
      </c>
      <c r="GP32" s="647">
        <f t="shared" si="38"/>
        <v>0</v>
      </c>
    </row>
    <row r="33" spans="1:198">
      <c r="A33" s="239">
        <f t="shared" si="22"/>
        <v>20</v>
      </c>
      <c r="B33" s="125" t="str">
        <f t="shared" si="0"/>
        <v>sø</v>
      </c>
      <c r="C33" s="126" t="s">
        <v>118</v>
      </c>
      <c r="D33" s="127" t="str">
        <f t="shared" si="1"/>
        <v/>
      </c>
      <c r="E33" s="1060"/>
      <c r="F33" s="1061"/>
      <c r="G33" s="1062"/>
      <c r="H33" s="292"/>
      <c r="I33" s="746" t="str">
        <f>IF(GO33=1,"X","")</f>
        <v/>
      </c>
      <c r="J33" s="746" t="str">
        <f t="shared" si="2"/>
        <v/>
      </c>
      <c r="K33" s="368"/>
      <c r="L33" s="368"/>
      <c r="M33" s="368"/>
      <c r="N33" s="311">
        <f t="shared" si="23"/>
        <v>0</v>
      </c>
      <c r="O33" s="311">
        <f t="shared" si="24"/>
        <v>0</v>
      </c>
      <c r="P33" s="311">
        <f>IF(Stamoplysninger!$H$34="JA",Juni!DG33,CX33)</f>
        <v>0</v>
      </c>
      <c r="Q33" s="311">
        <f t="shared" si="25"/>
        <v>0</v>
      </c>
      <c r="R33" s="751"/>
      <c r="S33" s="315"/>
      <c r="T33" s="316"/>
      <c r="U33" s="316"/>
      <c r="V33" s="422"/>
      <c r="W33" s="422"/>
      <c r="X33" s="621"/>
      <c r="Y33">
        <f t="shared" si="26"/>
        <v>0</v>
      </c>
      <c r="Z33" s="424">
        <f t="shared" si="27"/>
        <v>0</v>
      </c>
      <c r="AA33" s="1">
        <f t="shared" si="3"/>
        <v>0</v>
      </c>
      <c r="AB33" s="1">
        <f t="shared" si="4"/>
        <v>0</v>
      </c>
      <c r="AC33" s="1">
        <f t="shared" si="5"/>
        <v>0</v>
      </c>
      <c r="AD33" s="1">
        <f t="shared" si="6"/>
        <v>0</v>
      </c>
      <c r="AE33" s="1">
        <f t="shared" si="7"/>
        <v>0</v>
      </c>
      <c r="AF33" s="1">
        <f>IF(C33="Orlov",7.4*Stamoplysninger!$E$20,0)</f>
        <v>0</v>
      </c>
      <c r="AG33" t="str">
        <f>IF(AND(C33="Skema 1",B33="ma"),Arbejdstidsoversigt!$E$77,"")</f>
        <v/>
      </c>
      <c r="AH33" t="str">
        <f>IF(AND(C33="Skema 1",B33="ti"),Arbejdstidsoversigt!$E$78,"")</f>
        <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8"/>
        <v>0</v>
      </c>
      <c r="BC33" s="1">
        <f t="shared" si="29"/>
        <v>0</v>
      </c>
      <c r="BD33" s="1">
        <f t="shared" si="9"/>
        <v>0</v>
      </c>
      <c r="BE33" s="1">
        <f t="shared" si="10"/>
        <v>0</v>
      </c>
      <c r="BF33" s="1">
        <f t="shared" si="11"/>
        <v>0</v>
      </c>
      <c r="BG33" s="207" t="str">
        <f>IF(AND(C33="Skema 1",B33="ma"),Skemaoplysninger!$E$46,"")</f>
        <v/>
      </c>
      <c r="BH33" s="207" t="str">
        <f>IF(AND(C33="Skema 1",B33="ti"),Skemaoplysninger!$G$46,"")</f>
        <v/>
      </c>
      <c r="BI33" s="207" t="str">
        <f>IF(AND(C33="Skema 1",B33="on"),Skemaoplysninger!$I$46,"")</f>
        <v/>
      </c>
      <c r="BJ33" s="207" t="str">
        <f>IF(AND(C33="Skema 1",B33="to"),Skemaoplysninger!$K$46,"")</f>
        <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0</v>
      </c>
      <c r="CB33" s="1">
        <f t="shared" si="12"/>
        <v>0</v>
      </c>
      <c r="CC33" s="1">
        <f t="shared" si="13"/>
        <v>0</v>
      </c>
      <c r="CD33" s="207" t="str">
        <f>IF(AND(C33="Skema 1",B33="ma"),Skemaoplysninger!$E$47,"")</f>
        <v/>
      </c>
      <c r="CE33" s="207" t="str">
        <f>IF(AND(C33="Skema 1",B33="ti"),Skemaoplysninger!$G$47,"")</f>
        <v/>
      </c>
      <c r="CF33" s="207" t="str">
        <f>IF(AND(C33="Skema 1",B33="on"),Skemaoplysninger!$I$47,"")</f>
        <v/>
      </c>
      <c r="CG33" s="207" t="str">
        <f>IF(AND(C33="Skema 1",B33="to"),Skemaoplysninger!$K$47,"")</f>
        <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4"/>
        <v/>
      </c>
      <c r="DL33" t="str">
        <f t="shared" si="14"/>
        <v/>
      </c>
      <c r="DM33" t="str">
        <f t="shared" si="14"/>
        <v/>
      </c>
      <c r="DN33" t="str">
        <f t="shared" si="35"/>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5"/>
        <v>0</v>
      </c>
      <c r="FZ33" s="634">
        <f t="shared" si="16"/>
        <v>0</v>
      </c>
      <c r="GA33">
        <f t="shared" si="17"/>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8"/>
        <v>0</v>
      </c>
      <c r="GL33">
        <f t="shared" si="19"/>
        <v>0</v>
      </c>
      <c r="GM33">
        <f t="shared" si="20"/>
        <v>0</v>
      </c>
      <c r="GN33" s="713">
        <f t="shared" si="21"/>
        <v>0</v>
      </c>
      <c r="GO33">
        <f t="shared" si="37"/>
        <v>0</v>
      </c>
      <c r="GP33" s="647">
        <f t="shared" si="38"/>
        <v>0</v>
      </c>
    </row>
    <row r="34" spans="1:198">
      <c r="A34" s="239">
        <f t="shared" si="22"/>
        <v>21</v>
      </c>
      <c r="B34" s="125" t="str">
        <f t="shared" si="0"/>
        <v>ma</v>
      </c>
      <c r="C34" s="126" t="s">
        <v>203</v>
      </c>
      <c r="D34" s="127">
        <f t="shared" si="1"/>
        <v>25.428571428571427</v>
      </c>
      <c r="E34" s="1060"/>
      <c r="F34" s="1061"/>
      <c r="G34" s="1062"/>
      <c r="H34" s="292"/>
      <c r="I34" s="745"/>
      <c r="J34" s="746" t="str">
        <f t="shared" si="2"/>
        <v/>
      </c>
      <c r="K34" s="368"/>
      <c r="L34" s="368"/>
      <c r="M34" s="368"/>
      <c r="N34" s="311">
        <f t="shared" si="23"/>
        <v>8.11</v>
      </c>
      <c r="O34" s="311">
        <f t="shared" si="24"/>
        <v>4.5</v>
      </c>
      <c r="P34" s="311">
        <f>IF(Stamoplysninger!$H$34="JA",Juni!DG34,CX34)</f>
        <v>1.9166666666666665</v>
      </c>
      <c r="Q34" s="311">
        <f t="shared" si="25"/>
        <v>1.6933333333333329</v>
      </c>
      <c r="R34" s="751"/>
      <c r="S34" s="315"/>
      <c r="T34" s="316"/>
      <c r="U34" s="316"/>
      <c r="V34" s="422"/>
      <c r="W34" s="422"/>
      <c r="X34" s="621"/>
      <c r="Y34">
        <f t="shared" si="26"/>
        <v>0</v>
      </c>
      <c r="Z34" s="424">
        <f t="shared" si="27"/>
        <v>0</v>
      </c>
      <c r="AA34" s="1">
        <f t="shared" si="3"/>
        <v>0</v>
      </c>
      <c r="AB34" s="1">
        <f t="shared" si="4"/>
        <v>0</v>
      </c>
      <c r="AC34" s="1">
        <f t="shared" si="5"/>
        <v>0</v>
      </c>
      <c r="AD34" s="1">
        <f t="shared" si="6"/>
        <v>0</v>
      </c>
      <c r="AE34" s="1">
        <f t="shared" si="7"/>
        <v>0</v>
      </c>
      <c r="AF34" s="1">
        <f>IF(C34="Orlov",7.4*Stamoplysninger!$E$20,0)</f>
        <v>0</v>
      </c>
      <c r="AG34">
        <f>IF(AND(C34="Skema 1",B34="ma"),Arbejdstidsoversigt!$E$77,"")</f>
        <v>8.11</v>
      </c>
      <c r="AH34" t="str">
        <f>IF(AND(C34="Skema 1",B34="ti"),Arbejdstidsoversigt!$E$78,"")</f>
        <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8.11</v>
      </c>
      <c r="BB34" s="224">
        <f t="shared" si="8"/>
        <v>194.64</v>
      </c>
      <c r="BC34" s="1">
        <f t="shared" si="29"/>
        <v>0</v>
      </c>
      <c r="BD34" s="1">
        <f t="shared" si="9"/>
        <v>0</v>
      </c>
      <c r="BE34" s="1">
        <f t="shared" si="10"/>
        <v>0</v>
      </c>
      <c r="BF34" s="1">
        <f t="shared" si="11"/>
        <v>0</v>
      </c>
      <c r="BG34" s="207">
        <f>IF(AND(C34="Skema 1",B34="ma"),Skemaoplysninger!$E$46,"")</f>
        <v>0.1875</v>
      </c>
      <c r="BH34" s="207" t="str">
        <f>IF(AND(C34="Skema 1",B34="ti"),Skemaoplysninger!$G$46,"")</f>
        <v/>
      </c>
      <c r="BI34" s="207" t="str">
        <f>IF(AND(C34="Skema 1",B34="on"),Skemaoplysninger!$I$46,"")</f>
        <v/>
      </c>
      <c r="BJ34" s="207" t="str">
        <f>IF(AND(C34="Skema 1",B34="to"),Skemaoplysninger!$K$46,"")</f>
        <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4.5</v>
      </c>
      <c r="CB34" s="1">
        <f t="shared" si="12"/>
        <v>0</v>
      </c>
      <c r="CC34" s="1">
        <f t="shared" si="13"/>
        <v>0</v>
      </c>
      <c r="CD34" s="207">
        <f>IF(AND(C34="Skema 1",B34="ma"),Skemaoplysninger!$E$47,"")</f>
        <v>7.9861111111111105E-2</v>
      </c>
      <c r="CE34" s="207" t="str">
        <f>IF(AND(C34="Skema 1",B34="ti"),Skemaoplysninger!$G$47,"")</f>
        <v/>
      </c>
      <c r="CF34" s="207" t="str">
        <f>IF(AND(C34="Skema 1",B34="on"),Skemaoplysninger!$I$47,"")</f>
        <v/>
      </c>
      <c r="CG34" s="207" t="str">
        <f>IF(AND(C34="Skema 1",B34="to"),Skemaoplysninger!$K$47,"")</f>
        <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1.9166666666666665</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4"/>
        <v/>
      </c>
      <c r="DL34" t="str">
        <f t="shared" si="14"/>
        <v/>
      </c>
      <c r="DM34" t="str">
        <f t="shared" si="14"/>
        <v/>
      </c>
      <c r="DN34" t="str">
        <f t="shared" si="35"/>
        <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5"/>
        <v>0</v>
      </c>
      <c r="FZ34" s="634">
        <f t="shared" si="16"/>
        <v>0</v>
      </c>
      <c r="GA34">
        <f t="shared" si="17"/>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8"/>
        <v>0</v>
      </c>
      <c r="GL34">
        <f t="shared" si="19"/>
        <v>0</v>
      </c>
      <c r="GM34">
        <f t="shared" si="20"/>
        <v>0</v>
      </c>
      <c r="GN34" s="713">
        <f t="shared" si="21"/>
        <v>0</v>
      </c>
      <c r="GO34">
        <f t="shared" si="37"/>
        <v>0</v>
      </c>
      <c r="GP34" s="647">
        <f t="shared" si="38"/>
        <v>0</v>
      </c>
    </row>
    <row r="35" spans="1:198">
      <c r="A35" s="239">
        <f t="shared" si="22"/>
        <v>22</v>
      </c>
      <c r="B35" s="125" t="str">
        <f t="shared" si="0"/>
        <v>ti</v>
      </c>
      <c r="C35" s="126" t="s">
        <v>203</v>
      </c>
      <c r="D35" s="127" t="str">
        <f t="shared" si="1"/>
        <v/>
      </c>
      <c r="E35" s="1060"/>
      <c r="F35" s="1061"/>
      <c r="G35" s="1062"/>
      <c r="H35" s="292"/>
      <c r="I35" s="745"/>
      <c r="J35" s="746" t="str">
        <f t="shared" si="2"/>
        <v/>
      </c>
      <c r="K35" s="368"/>
      <c r="L35" s="368"/>
      <c r="M35" s="368"/>
      <c r="N35" s="311">
        <f t="shared" si="23"/>
        <v>8.11</v>
      </c>
      <c r="O35" s="311">
        <f t="shared" si="24"/>
        <v>4.5</v>
      </c>
      <c r="P35" s="311">
        <f>IF(Stamoplysninger!$H$34="JA",Juni!DG35,CX35)</f>
        <v>1.9166666666666665</v>
      </c>
      <c r="Q35" s="311">
        <f t="shared" si="25"/>
        <v>1.6933333333333329</v>
      </c>
      <c r="R35" s="751"/>
      <c r="S35" s="315"/>
      <c r="T35" s="316"/>
      <c r="U35" s="316"/>
      <c r="V35" s="422"/>
      <c r="W35" s="422"/>
      <c r="X35" s="621"/>
      <c r="Y35">
        <f t="shared" si="26"/>
        <v>0</v>
      </c>
      <c r="Z35" s="424">
        <f t="shared" si="27"/>
        <v>0</v>
      </c>
      <c r="AA35" s="1">
        <f t="shared" si="3"/>
        <v>0</v>
      </c>
      <c r="AB35" s="1">
        <f t="shared" si="4"/>
        <v>0</v>
      </c>
      <c r="AC35" s="1">
        <f t="shared" si="5"/>
        <v>0</v>
      </c>
      <c r="AD35" s="1">
        <f t="shared" si="6"/>
        <v>0</v>
      </c>
      <c r="AE35" s="1">
        <f t="shared" si="7"/>
        <v>0</v>
      </c>
      <c r="AF35" s="1">
        <f>IF(C35="Orlov",7.4*Stamoplysninger!$E$20,0)</f>
        <v>0</v>
      </c>
      <c r="AG35" t="str">
        <f>IF(AND(C35="Skema 1",B35="ma"),Arbejdstidsoversigt!$E$77,"")</f>
        <v/>
      </c>
      <c r="AH35">
        <f>IF(AND(C35="Skema 1",B35="ti"),Arbejdstidsoversigt!$E$78,"")</f>
        <v>8.11</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8.11</v>
      </c>
      <c r="BB35" s="224">
        <f t="shared" si="8"/>
        <v>194.64</v>
      </c>
      <c r="BC35" s="1">
        <f t="shared" si="29"/>
        <v>0</v>
      </c>
      <c r="BD35" s="1">
        <f t="shared" si="9"/>
        <v>0</v>
      </c>
      <c r="BE35" s="1">
        <f t="shared" si="10"/>
        <v>0</v>
      </c>
      <c r="BF35" s="1">
        <f t="shared" si="11"/>
        <v>0</v>
      </c>
      <c r="BG35" s="207" t="str">
        <f>IF(AND(C35="Skema 1",B35="ma"),Skemaoplysninger!$E$46,"")</f>
        <v/>
      </c>
      <c r="BH35" s="207">
        <f>IF(AND(C35="Skema 1",B35="ti"),Skemaoplysninger!$G$46,"")</f>
        <v>0.1875</v>
      </c>
      <c r="BI35" s="207" t="str">
        <f>IF(AND(C35="Skema 1",B35="on"),Skemaoplysninger!$I$46,"")</f>
        <v/>
      </c>
      <c r="BJ35" s="207" t="str">
        <f>IF(AND(C35="Skema 1",B35="to"),Skemaoplysninger!$K$46,"")</f>
        <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4.5</v>
      </c>
      <c r="CB35" s="1">
        <f t="shared" si="12"/>
        <v>0</v>
      </c>
      <c r="CC35" s="1">
        <f t="shared" si="13"/>
        <v>0</v>
      </c>
      <c r="CD35" s="207" t="str">
        <f>IF(AND(C35="Skema 1",B35="ma"),Skemaoplysninger!$E$47,"")</f>
        <v/>
      </c>
      <c r="CE35" s="207">
        <f>IF(AND(C35="Skema 1",B35="ti"),Skemaoplysninger!$G$47,"")</f>
        <v>7.9861111111111105E-2</v>
      </c>
      <c r="CF35" s="207" t="str">
        <f>IF(AND(C35="Skema 1",B35="on"),Skemaoplysninger!$I$47,"")</f>
        <v/>
      </c>
      <c r="CG35" s="207" t="str">
        <f>IF(AND(C35="Skema 1",B35="to"),Skemaoplysninger!$K$47,"")</f>
        <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1.9166666666666665</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4"/>
        <v/>
      </c>
      <c r="DL35" t="str">
        <f t="shared" si="14"/>
        <v/>
      </c>
      <c r="DM35" t="str">
        <f t="shared" si="14"/>
        <v/>
      </c>
      <c r="DN35" t="str">
        <f t="shared" si="35"/>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5"/>
        <v>0</v>
      </c>
      <c r="FZ35" s="634">
        <f t="shared" si="16"/>
        <v>0</v>
      </c>
      <c r="GA35">
        <f t="shared" si="17"/>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8"/>
        <v>0</v>
      </c>
      <c r="GL35">
        <f t="shared" si="19"/>
        <v>0</v>
      </c>
      <c r="GM35">
        <f t="shared" si="20"/>
        <v>0</v>
      </c>
      <c r="GN35" s="713">
        <f t="shared" si="21"/>
        <v>0</v>
      </c>
      <c r="GO35">
        <f t="shared" si="37"/>
        <v>0</v>
      </c>
      <c r="GP35" s="647">
        <f t="shared" si="38"/>
        <v>0</v>
      </c>
    </row>
    <row r="36" spans="1:198">
      <c r="A36" s="239">
        <f t="shared" si="22"/>
        <v>23</v>
      </c>
      <c r="B36" s="125" t="str">
        <f t="shared" si="0"/>
        <v>on</v>
      </c>
      <c r="C36" s="126" t="s">
        <v>203</v>
      </c>
      <c r="D36" s="127" t="str">
        <f t="shared" si="1"/>
        <v/>
      </c>
      <c r="E36" s="1060"/>
      <c r="F36" s="1061"/>
      <c r="G36" s="1062"/>
      <c r="H36" s="292"/>
      <c r="I36" s="745"/>
      <c r="J36" s="746" t="str">
        <f t="shared" si="2"/>
        <v/>
      </c>
      <c r="K36" s="368"/>
      <c r="L36" s="368"/>
      <c r="M36" s="368"/>
      <c r="N36" s="311">
        <f t="shared" si="23"/>
        <v>8.11</v>
      </c>
      <c r="O36" s="311">
        <f t="shared" si="24"/>
        <v>2.75</v>
      </c>
      <c r="P36" s="311">
        <f>IF(Stamoplysninger!$H$34="JA",Juni!DG36,CX36)</f>
        <v>1.25</v>
      </c>
      <c r="Q36" s="311">
        <f t="shared" si="25"/>
        <v>4.1099999999999994</v>
      </c>
      <c r="R36" s="751"/>
      <c r="S36" s="315"/>
      <c r="T36" s="316"/>
      <c r="U36" s="316"/>
      <c r="V36" s="422"/>
      <c r="W36" s="422"/>
      <c r="X36" s="621"/>
      <c r="Y36">
        <f t="shared" si="26"/>
        <v>0</v>
      </c>
      <c r="Z36" s="424">
        <f t="shared" si="27"/>
        <v>0</v>
      </c>
      <c r="AA36" s="1">
        <f t="shared" si="3"/>
        <v>0</v>
      </c>
      <c r="AB36" s="1">
        <f t="shared" si="4"/>
        <v>0</v>
      </c>
      <c r="AC36" s="1">
        <f t="shared" si="5"/>
        <v>0</v>
      </c>
      <c r="AD36" s="1">
        <f t="shared" si="6"/>
        <v>0</v>
      </c>
      <c r="AE36" s="1">
        <f t="shared" si="7"/>
        <v>0</v>
      </c>
      <c r="AF36" s="1">
        <f>IF(C36="Orlov",7.4*Stamoplysninger!$E$20,0)</f>
        <v>0</v>
      </c>
      <c r="AG36" t="str">
        <f>IF(AND(C36="Skema 1",B36="ma"),Arbejdstidsoversigt!$E$77,"")</f>
        <v/>
      </c>
      <c r="AH36" t="str">
        <f>IF(AND(C36="Skema 1",B36="ti"),Arbejdstidsoversigt!$E$78,"")</f>
        <v/>
      </c>
      <c r="AI36">
        <f>IF(AND(C36="Skema 1",B36="on"),Arbejdstidsoversigt!$E$79,"")</f>
        <v>8.11</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8.11</v>
      </c>
      <c r="BB36" s="224">
        <f t="shared" si="8"/>
        <v>194.64</v>
      </c>
      <c r="BC36" s="1">
        <f t="shared" si="29"/>
        <v>0</v>
      </c>
      <c r="BD36" s="1">
        <f t="shared" si="9"/>
        <v>0</v>
      </c>
      <c r="BE36" s="1">
        <f t="shared" si="10"/>
        <v>0</v>
      </c>
      <c r="BF36" s="1">
        <f t="shared" si="11"/>
        <v>0</v>
      </c>
      <c r="BG36" s="207" t="str">
        <f>IF(AND(C36="Skema 1",B36="ma"),Skemaoplysninger!$E$46,"")</f>
        <v/>
      </c>
      <c r="BH36" s="207" t="str">
        <f>IF(AND(C36="Skema 1",B36="ti"),Skemaoplysninger!$G$46,"")</f>
        <v/>
      </c>
      <c r="BI36" s="207">
        <f>IF(AND(C36="Skema 1",B36="on"),Skemaoplysninger!$I$46,"")</f>
        <v>0.11458333333333333</v>
      </c>
      <c r="BJ36" s="207" t="str">
        <f>IF(AND(C36="Skema 1",B36="to"),Skemaoplysninger!$K$46,"")</f>
        <v/>
      </c>
      <c r="BK36" s="207" t="str">
        <f>IF(AND(C36="Skema 1",B36="fr"),Skemaoplysninger!$M$46,"")</f>
        <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2.75</v>
      </c>
      <c r="CB36" s="1">
        <f t="shared" si="12"/>
        <v>0</v>
      </c>
      <c r="CC36" s="1">
        <f t="shared" si="13"/>
        <v>0</v>
      </c>
      <c r="CD36" s="207" t="str">
        <f>IF(AND(C36="Skema 1",B36="ma"),Skemaoplysninger!$E$47,"")</f>
        <v/>
      </c>
      <c r="CE36" s="207" t="str">
        <f>IF(AND(C36="Skema 1",B36="ti"),Skemaoplysninger!$G$47,"")</f>
        <v/>
      </c>
      <c r="CF36" s="207">
        <f>IF(AND(C36="Skema 1",B36="on"),Skemaoplysninger!$I$47,"")</f>
        <v>5.2083333333333329E-2</v>
      </c>
      <c r="CG36" s="207" t="str">
        <f>IF(AND(C36="Skema 1",B36="to"),Skemaoplysninger!$K$47,"")</f>
        <v/>
      </c>
      <c r="CH36" s="207" t="str">
        <f>IF(AND(C36="Skema 1",B36="fr"),Skemaoplysninger!$M$47,"")</f>
        <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1.25</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4"/>
        <v/>
      </c>
      <c r="DL36" t="str">
        <f t="shared" si="14"/>
        <v/>
      </c>
      <c r="DM36" t="str">
        <f t="shared" si="14"/>
        <v/>
      </c>
      <c r="DN36" t="str">
        <f t="shared" si="35"/>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5"/>
        <v>0</v>
      </c>
      <c r="FZ36" s="634">
        <f t="shared" si="16"/>
        <v>0</v>
      </c>
      <c r="GA36">
        <f t="shared" si="17"/>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8"/>
        <v>0</v>
      </c>
      <c r="GL36">
        <f t="shared" si="19"/>
        <v>0</v>
      </c>
      <c r="GM36">
        <f t="shared" si="20"/>
        <v>0</v>
      </c>
      <c r="GN36" s="713">
        <f t="shared" si="21"/>
        <v>0</v>
      </c>
      <c r="GO36">
        <f t="shared" si="37"/>
        <v>0</v>
      </c>
      <c r="GP36" s="647">
        <f t="shared" si="38"/>
        <v>0</v>
      </c>
    </row>
    <row r="37" spans="1:198">
      <c r="A37" s="239">
        <f t="shared" si="22"/>
        <v>24</v>
      </c>
      <c r="B37" s="125" t="str">
        <f t="shared" si="0"/>
        <v>to</v>
      </c>
      <c r="C37" s="126" t="s">
        <v>203</v>
      </c>
      <c r="D37" s="127" t="str">
        <f t="shared" si="1"/>
        <v/>
      </c>
      <c r="E37" s="1123"/>
      <c r="F37" s="1124"/>
      <c r="G37" s="1125"/>
      <c r="H37" s="292"/>
      <c r="I37" s="745"/>
      <c r="J37" s="746" t="str">
        <f t="shared" si="2"/>
        <v/>
      </c>
      <c r="K37" s="368"/>
      <c r="L37" s="368"/>
      <c r="M37" s="368"/>
      <c r="N37" s="311">
        <f t="shared" si="23"/>
        <v>9</v>
      </c>
      <c r="O37" s="311">
        <f t="shared" si="24"/>
        <v>3.75</v>
      </c>
      <c r="P37" s="311">
        <f>IF(Stamoplysninger!$H$34="JA",Juni!DG37,CX37)</f>
        <v>1</v>
      </c>
      <c r="Q37" s="311">
        <f t="shared" si="25"/>
        <v>4.25</v>
      </c>
      <c r="R37" s="751"/>
      <c r="S37" s="315"/>
      <c r="T37" s="316"/>
      <c r="U37" s="316"/>
      <c r="V37" s="422"/>
      <c r="W37" s="422"/>
      <c r="X37" s="621"/>
      <c r="Y37">
        <f t="shared" si="26"/>
        <v>0</v>
      </c>
      <c r="Z37" s="424">
        <f t="shared" si="27"/>
        <v>0</v>
      </c>
      <c r="AA37" s="1">
        <f t="shared" si="3"/>
        <v>0</v>
      </c>
      <c r="AB37" s="1">
        <f t="shared" si="4"/>
        <v>0</v>
      </c>
      <c r="AC37" s="1">
        <f t="shared" si="5"/>
        <v>0</v>
      </c>
      <c r="AD37" s="1">
        <f t="shared" si="6"/>
        <v>0</v>
      </c>
      <c r="AE37" s="1">
        <f t="shared" si="7"/>
        <v>0</v>
      </c>
      <c r="AF37" s="1">
        <f>IF(C37="Orlov",7.4*Stamoplysninger!$E$20,0)</f>
        <v>0</v>
      </c>
      <c r="AG37" t="str">
        <f>IF(AND(C37="Skema 1",B37="ma"),Arbejdstidsoversigt!$E$77,"")</f>
        <v/>
      </c>
      <c r="AH37" t="str">
        <f>IF(AND(C37="Skema 1",B37="ti"),Arbejdstidsoversigt!$E$78,"")</f>
        <v/>
      </c>
      <c r="AI37" t="str">
        <f>IF(AND(C37="Skema 1",B37="on"),Arbejdstidsoversigt!$E$79,"")</f>
        <v/>
      </c>
      <c r="AJ37">
        <f>IF(AND(C37="Skema 1",B37="to"),Arbejdstidsoversigt!$E$80,"")</f>
        <v>9</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9</v>
      </c>
      <c r="BB37" s="224">
        <f t="shared" si="8"/>
        <v>216</v>
      </c>
      <c r="BC37" s="1">
        <f t="shared" si="29"/>
        <v>0</v>
      </c>
      <c r="BD37" s="1">
        <f t="shared" si="9"/>
        <v>0</v>
      </c>
      <c r="BE37" s="1">
        <f t="shared" si="10"/>
        <v>0</v>
      </c>
      <c r="BF37" s="1">
        <f t="shared" si="11"/>
        <v>0</v>
      </c>
      <c r="BG37" s="207" t="str">
        <f>IF(AND(C37="Skema 1",B37="ma"),Skemaoplysninger!$E$46,"")</f>
        <v/>
      </c>
      <c r="BH37" s="207" t="str">
        <f>IF(AND(C37="Skema 1",B37="ti"),Skemaoplysninger!$G$46,"")</f>
        <v/>
      </c>
      <c r="BI37" s="207" t="str">
        <f>IF(AND(C37="Skema 1",B37="on"),Skemaoplysninger!$I$46,"")</f>
        <v/>
      </c>
      <c r="BJ37" s="207">
        <f>IF(AND(C37="Skema 1",B37="to"),Skemaoplysninger!$K$46,"")</f>
        <v>0.15625</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3.75</v>
      </c>
      <c r="CB37" s="1">
        <f t="shared" si="12"/>
        <v>0</v>
      </c>
      <c r="CC37" s="1">
        <f t="shared" si="13"/>
        <v>0</v>
      </c>
      <c r="CD37" s="207" t="str">
        <f>IF(AND(C37="Skema 1",B37="ma"),Skemaoplysninger!$E$47,"")</f>
        <v/>
      </c>
      <c r="CE37" s="207" t="str">
        <f>IF(AND(C37="Skema 1",B37="ti"),Skemaoplysninger!$G$47,"")</f>
        <v/>
      </c>
      <c r="CF37" s="207" t="str">
        <f>IF(AND(C37="Skema 1",B37="on"),Skemaoplysninger!$I$47,"")</f>
        <v/>
      </c>
      <c r="CG37" s="207">
        <f>IF(AND(C37="Skema 1",B37="to"),Skemaoplysninger!$K$47,"")</f>
        <v>4.1666666666666664E-2</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1</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4"/>
        <v/>
      </c>
      <c r="DL37" t="str">
        <f t="shared" si="14"/>
        <v/>
      </c>
      <c r="DM37" t="str">
        <f t="shared" si="14"/>
        <v/>
      </c>
      <c r="DN37" t="str">
        <f t="shared" si="35"/>
        <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5"/>
        <v>0</v>
      </c>
      <c r="FZ37" s="634">
        <f t="shared" si="16"/>
        <v>0</v>
      </c>
      <c r="GA37">
        <f t="shared" si="17"/>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8"/>
        <v>0</v>
      </c>
      <c r="GL37">
        <f t="shared" si="19"/>
        <v>0</v>
      </c>
      <c r="GM37">
        <f t="shared" si="20"/>
        <v>0</v>
      </c>
      <c r="GN37" s="713">
        <f t="shared" si="21"/>
        <v>0</v>
      </c>
      <c r="GO37">
        <f t="shared" si="37"/>
        <v>0</v>
      </c>
      <c r="GP37" s="647">
        <f t="shared" si="38"/>
        <v>0</v>
      </c>
    </row>
    <row r="38" spans="1:198">
      <c r="A38" s="239">
        <f t="shared" si="22"/>
        <v>25</v>
      </c>
      <c r="B38" s="125" t="str">
        <f t="shared" si="0"/>
        <v>fr</v>
      </c>
      <c r="C38" s="126" t="s">
        <v>208</v>
      </c>
      <c r="D38" s="127" t="str">
        <f t="shared" si="1"/>
        <v/>
      </c>
      <c r="E38" s="1060" t="s">
        <v>765</v>
      </c>
      <c r="F38" s="1061"/>
      <c r="G38" s="1062"/>
      <c r="H38" s="292" t="s">
        <v>766</v>
      </c>
      <c r="I38" s="745"/>
      <c r="J38" s="746" t="str">
        <f t="shared" si="2"/>
        <v/>
      </c>
      <c r="K38" s="368">
        <v>5</v>
      </c>
      <c r="L38" s="368">
        <v>3</v>
      </c>
      <c r="M38" s="368">
        <v>1</v>
      </c>
      <c r="N38" s="311">
        <f t="shared" si="23"/>
        <v>5</v>
      </c>
      <c r="O38" s="311">
        <f t="shared" si="24"/>
        <v>3</v>
      </c>
      <c r="P38" s="311">
        <f>IF(Stamoplysninger!$H$34="JA",Juni!DG38,CX38)</f>
        <v>1</v>
      </c>
      <c r="Q38" s="311">
        <f t="shared" si="25"/>
        <v>1</v>
      </c>
      <c r="R38" s="751">
        <v>5</v>
      </c>
      <c r="S38" s="315"/>
      <c r="T38" s="316"/>
      <c r="U38" s="316"/>
      <c r="V38" s="422"/>
      <c r="W38" s="422"/>
      <c r="X38" s="621"/>
      <c r="Y38">
        <f t="shared" si="26"/>
        <v>0</v>
      </c>
      <c r="Z38" s="424">
        <f t="shared" si="27"/>
        <v>0</v>
      </c>
      <c r="AA38" s="1">
        <f t="shared" si="3"/>
        <v>5</v>
      </c>
      <c r="AB38" s="1">
        <f t="shared" si="4"/>
        <v>0</v>
      </c>
      <c r="AC38" s="1">
        <f t="shared" si="5"/>
        <v>0</v>
      </c>
      <c r="AD38" s="1">
        <f t="shared" si="6"/>
        <v>0</v>
      </c>
      <c r="AE38" s="1">
        <f t="shared" si="7"/>
        <v>0</v>
      </c>
      <c r="AF38" s="1">
        <f>IF(C38="Orlov",7.4*Stamoplysninger!$E$20,0)</f>
        <v>0</v>
      </c>
      <c r="AG38" t="str">
        <f>IF(AND(C38="Skema 1",B38="ma"),Arbejdstidsoversigt!$E$77,"")</f>
        <v/>
      </c>
      <c r="AH38" t="str">
        <f>IF(AND(C38="Skema 1",B38="ti"),Arbejdstidsoversigt!$E$78,"")</f>
        <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5</v>
      </c>
      <c r="BB38" s="224">
        <f t="shared" si="8"/>
        <v>0</v>
      </c>
      <c r="BC38" s="1">
        <f t="shared" si="29"/>
        <v>0</v>
      </c>
      <c r="BD38" s="1">
        <f t="shared" si="9"/>
        <v>0</v>
      </c>
      <c r="BE38" s="1">
        <f t="shared" si="10"/>
        <v>0</v>
      </c>
      <c r="BF38" s="1">
        <f t="shared" si="11"/>
        <v>3</v>
      </c>
      <c r="BG38" s="207" t="str">
        <f>IF(AND(C38="Skema 1",B38="ma"),Skemaoplysninger!$E$46,"")</f>
        <v/>
      </c>
      <c r="BH38" s="207" t="str">
        <f>IF(AND(C38="Skema 1",B38="ti"),Skemaoplysninger!$G$46,"")</f>
        <v/>
      </c>
      <c r="BI38" s="207" t="str">
        <f>IF(AND(C38="Skema 1",B38="on"),Skemaoplysninger!$I$46,"")</f>
        <v/>
      </c>
      <c r="BJ38" s="207" t="str">
        <f>IF(AND(C38="Skema 1",B38="to"),Skemaoplysninger!$K$46,"")</f>
        <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3</v>
      </c>
      <c r="CB38" s="1">
        <f t="shared" si="12"/>
        <v>0</v>
      </c>
      <c r="CC38" s="1">
        <f t="shared" si="13"/>
        <v>1</v>
      </c>
      <c r="CD38" s="207" t="str">
        <f>IF(AND(C38="Skema 1",B38="ma"),Skemaoplysninger!$E$47,"")</f>
        <v/>
      </c>
      <c r="CE38" s="207" t="str">
        <f>IF(AND(C38="Skema 1",B38="ti"),Skemaoplysninger!$G$47,"")</f>
        <v/>
      </c>
      <c r="CF38" s="207" t="str">
        <f>IF(AND(C38="Skema 1",B38="on"),Skemaoplysninger!$I$47,"")</f>
        <v/>
      </c>
      <c r="CG38" s="207" t="str">
        <f>IF(AND(C38="Skema 1",B38="to"),Skemaoplysninger!$K$47,"")</f>
        <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1</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Sdiste skoledag og afslutning</v>
      </c>
      <c r="DI38" t="str">
        <f t="shared" si="33"/>
        <v/>
      </c>
      <c r="DJ38" t="str">
        <f t="shared" si="34"/>
        <v/>
      </c>
      <c r="DK38" t="str">
        <f t="shared" si="14"/>
        <v>Sdiste skoledag og afslutning</v>
      </c>
      <c r="DL38" t="str">
        <f t="shared" si="14"/>
        <v/>
      </c>
      <c r="DM38" t="str">
        <f t="shared" si="14"/>
        <v/>
      </c>
      <c r="DN38" t="str">
        <f t="shared" si="35"/>
        <v>Sdiste skoledag og afslutning</v>
      </c>
      <c r="DO38" s="628">
        <f>IF(AND(Stamoplysninger!$B$27="Ulempetillæg udbetales med 25% af nettotimelønnen.",H38&gt;0),(R38/4),0)</f>
        <v>1.25</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5"/>
        <v>0</v>
      </c>
      <c r="FZ38" s="634">
        <f t="shared" si="16"/>
        <v>0</v>
      </c>
      <c r="GA38">
        <f t="shared" si="17"/>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t="str">
        <f t="shared" si="18"/>
        <v>X</v>
      </c>
      <c r="GL38">
        <f t="shared" si="19"/>
        <v>0</v>
      </c>
      <c r="GM38">
        <f t="shared" si="20"/>
        <v>0</v>
      </c>
      <c r="GN38" s="713">
        <f t="shared" si="21"/>
        <v>0</v>
      </c>
      <c r="GO38">
        <f t="shared" si="37"/>
        <v>1</v>
      </c>
      <c r="GP38" s="647">
        <f t="shared" si="38"/>
        <v>0</v>
      </c>
    </row>
    <row r="39" spans="1:198">
      <c r="A39" s="239">
        <f t="shared" si="22"/>
        <v>26</v>
      </c>
      <c r="B39" s="125" t="str">
        <f t="shared" si="0"/>
        <v>lø</v>
      </c>
      <c r="C39" s="126" t="s">
        <v>118</v>
      </c>
      <c r="D39" s="127" t="str">
        <f t="shared" si="1"/>
        <v/>
      </c>
      <c r="E39" s="1060"/>
      <c r="F39" s="1061"/>
      <c r="G39" s="1062"/>
      <c r="H39" s="292"/>
      <c r="I39" s="746" t="str">
        <f>IF(GO39=1,"X","")</f>
        <v/>
      </c>
      <c r="J39" s="746" t="str">
        <f t="shared" si="2"/>
        <v/>
      </c>
      <c r="K39" s="368"/>
      <c r="L39" s="368"/>
      <c r="M39" s="368"/>
      <c r="N39" s="311">
        <f t="shared" si="23"/>
        <v>0</v>
      </c>
      <c r="O39" s="311">
        <f t="shared" si="24"/>
        <v>0</v>
      </c>
      <c r="P39" s="311">
        <f>IF(Stamoplysninger!$H$34="JA",Juni!DG39,CX39)</f>
        <v>0</v>
      </c>
      <c r="Q39" s="311">
        <f t="shared" si="25"/>
        <v>0</v>
      </c>
      <c r="R39" s="751"/>
      <c r="S39" s="315"/>
      <c r="T39" s="316"/>
      <c r="U39" s="316"/>
      <c r="V39" s="422"/>
      <c r="W39" s="422"/>
      <c r="X39" s="621"/>
      <c r="Y39">
        <f t="shared" si="26"/>
        <v>0</v>
      </c>
      <c r="Z39" s="424">
        <f t="shared" si="27"/>
        <v>0</v>
      </c>
      <c r="AA39" s="1">
        <f t="shared" si="3"/>
        <v>0</v>
      </c>
      <c r="AB39" s="1">
        <f t="shared" si="4"/>
        <v>0</v>
      </c>
      <c r="AC39" s="1">
        <f t="shared" si="5"/>
        <v>0</v>
      </c>
      <c r="AD39" s="1">
        <f t="shared" si="6"/>
        <v>0</v>
      </c>
      <c r="AE39" s="1">
        <f t="shared" si="7"/>
        <v>0</v>
      </c>
      <c r="AF39" s="1">
        <f>IF(C39="Orlov",7.4*Stamoplysninger!$E$20,0)</f>
        <v>0</v>
      </c>
      <c r="AG39" t="str">
        <f>IF(AND(C39="Skema 1",B39="ma"),Arbejdstidsoversigt!$E$77,"")</f>
        <v/>
      </c>
      <c r="AH39" t="str">
        <f>IF(AND(C39="Skema 1",B39="ti"),Arbejdstidsoversigt!$E$78,"")</f>
        <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8"/>
        <v>0</v>
      </c>
      <c r="BC39" s="1">
        <f t="shared" si="29"/>
        <v>0</v>
      </c>
      <c r="BD39" s="1">
        <f t="shared" si="9"/>
        <v>0</v>
      </c>
      <c r="BE39" s="1">
        <f t="shared" si="10"/>
        <v>0</v>
      </c>
      <c r="BF39" s="1">
        <f t="shared" si="11"/>
        <v>0</v>
      </c>
      <c r="BG39" s="207" t="str">
        <f>IF(AND(C39="Skema 1",B39="ma"),Skemaoplysninger!$E$46,"")</f>
        <v/>
      </c>
      <c r="BH39" s="207" t="str">
        <f>IF(AND(C39="Skema 1",B39="ti"),Skemaoplysninger!$G$46,"")</f>
        <v/>
      </c>
      <c r="BI39" s="207" t="str">
        <f>IF(AND(C39="Skema 1",B39="on"),Skemaoplysninger!$I$46,"")</f>
        <v/>
      </c>
      <c r="BJ39" s="207" t="str">
        <f>IF(AND(C39="Skema 1",B39="to"),Skemaoplysninger!$K$46,"")</f>
        <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0</v>
      </c>
      <c r="CB39" s="1">
        <f t="shared" si="12"/>
        <v>0</v>
      </c>
      <c r="CC39" s="1">
        <f t="shared" si="13"/>
        <v>0</v>
      </c>
      <c r="CD39" s="207" t="str">
        <f>IF(AND(C39="Skema 1",B39="ma"),Skemaoplysninger!$E$47,"")</f>
        <v/>
      </c>
      <c r="CE39" s="207" t="str">
        <f>IF(AND(C39="Skema 1",B39="ti"),Skemaoplysninger!$G$47,"")</f>
        <v/>
      </c>
      <c r="CF39" s="207" t="str">
        <f>IF(AND(C39="Skema 1",B39="on"),Skemaoplysninger!$I$47,"")</f>
        <v/>
      </c>
      <c r="CG39" s="207" t="str">
        <f>IF(AND(C39="Skema 1",B39="to"),Skemaoplysninger!$K$47,"")</f>
        <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4"/>
        <v/>
      </c>
      <c r="DL39" t="str">
        <f t="shared" si="14"/>
        <v/>
      </c>
      <c r="DM39" t="str">
        <f t="shared" si="14"/>
        <v/>
      </c>
      <c r="DN39" t="str">
        <f t="shared" si="35"/>
        <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5"/>
        <v>0</v>
      </c>
      <c r="FZ39" s="634">
        <f t="shared" si="16"/>
        <v>0</v>
      </c>
      <c r="GA39">
        <f t="shared" si="17"/>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8"/>
        <v>0</v>
      </c>
      <c r="GL39">
        <f t="shared" si="19"/>
        <v>0</v>
      </c>
      <c r="GM39">
        <f t="shared" si="20"/>
        <v>0</v>
      </c>
      <c r="GN39" s="713">
        <f t="shared" si="21"/>
        <v>0</v>
      </c>
      <c r="GO39">
        <f t="shared" si="37"/>
        <v>0</v>
      </c>
      <c r="GP39" s="647">
        <f t="shared" si="38"/>
        <v>0</v>
      </c>
    </row>
    <row r="40" spans="1:198">
      <c r="A40" s="239">
        <f t="shared" si="22"/>
        <v>27</v>
      </c>
      <c r="B40" s="125" t="str">
        <f t="shared" si="0"/>
        <v>sø</v>
      </c>
      <c r="C40" s="126" t="s">
        <v>118</v>
      </c>
      <c r="D40" s="127" t="str">
        <f t="shared" si="1"/>
        <v/>
      </c>
      <c r="E40" s="1060"/>
      <c r="F40" s="1061"/>
      <c r="G40" s="1062"/>
      <c r="H40" s="292"/>
      <c r="I40" s="746" t="str">
        <f>IF(GO40=1,"X","")</f>
        <v/>
      </c>
      <c r="J40" s="746" t="str">
        <f t="shared" si="2"/>
        <v/>
      </c>
      <c r="K40" s="368"/>
      <c r="L40" s="368"/>
      <c r="M40" s="368"/>
      <c r="N40" s="311">
        <f t="shared" si="23"/>
        <v>0</v>
      </c>
      <c r="O40" s="311">
        <f t="shared" si="24"/>
        <v>0</v>
      </c>
      <c r="P40" s="311">
        <f>IF(Stamoplysninger!$H$34="JA",Juni!DG40,CX40)</f>
        <v>0</v>
      </c>
      <c r="Q40" s="311">
        <f t="shared" si="25"/>
        <v>0</v>
      </c>
      <c r="R40" s="751"/>
      <c r="S40" s="315"/>
      <c r="T40" s="316"/>
      <c r="U40" s="316"/>
      <c r="V40" s="422"/>
      <c r="W40" s="422"/>
      <c r="X40" s="621"/>
      <c r="Y40">
        <f t="shared" si="26"/>
        <v>0</v>
      </c>
      <c r="Z40" s="424">
        <f t="shared" si="27"/>
        <v>0</v>
      </c>
      <c r="AA40" s="1">
        <f t="shared" si="3"/>
        <v>0</v>
      </c>
      <c r="AB40" s="1">
        <f t="shared" si="4"/>
        <v>0</v>
      </c>
      <c r="AC40" s="1">
        <f t="shared" si="5"/>
        <v>0</v>
      </c>
      <c r="AD40" s="1">
        <f t="shared" si="6"/>
        <v>0</v>
      </c>
      <c r="AE40" s="1">
        <f t="shared" si="7"/>
        <v>0</v>
      </c>
      <c r="AF40" s="1">
        <f>IF(C40="Orlov",7.4*Stamoplysninger!$E$20,0)</f>
        <v>0</v>
      </c>
      <c r="AG40" t="str">
        <f>IF(AND(C40="Skema 1",B40="ma"),Arbejdstidsoversigt!$E$77,"")</f>
        <v/>
      </c>
      <c r="AH40" t="str">
        <f>IF(AND(C40="Skema 1",B40="ti"),Arbejdstidsoversigt!$E$78,"")</f>
        <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0</v>
      </c>
      <c r="BB40" s="224">
        <f t="shared" si="8"/>
        <v>0</v>
      </c>
      <c r="BC40" s="1">
        <f t="shared" si="29"/>
        <v>0</v>
      </c>
      <c r="BD40" s="1">
        <f t="shared" si="9"/>
        <v>0</v>
      </c>
      <c r="BE40" s="1">
        <f t="shared" si="10"/>
        <v>0</v>
      </c>
      <c r="BF40" s="1">
        <f t="shared" si="11"/>
        <v>0</v>
      </c>
      <c r="BG40" s="207" t="str">
        <f>IF(AND(C40="Skema 1",B40="ma"),Skemaoplysninger!$E$46,"")</f>
        <v/>
      </c>
      <c r="BH40" s="207" t="str">
        <f>IF(AND(C40="Skema 1",B40="ti"),Skemaoplysninger!$G$46,"")</f>
        <v/>
      </c>
      <c r="BI40" s="207" t="str">
        <f>IF(AND(C40="Skema 1",B40="on"),Skemaoplysninger!$I$46,"")</f>
        <v/>
      </c>
      <c r="BJ40" s="207" t="str">
        <f>IF(AND(C40="Skema 1",B40="to"),Skemaoplysninger!$K$46,"")</f>
        <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0"/>
        <v>0</v>
      </c>
      <c r="CB40" s="1">
        <f t="shared" si="12"/>
        <v>0</v>
      </c>
      <c r="CC40" s="1">
        <f t="shared" si="13"/>
        <v>0</v>
      </c>
      <c r="CD40" s="207" t="str">
        <f>IF(AND(C40="Skema 1",B40="ma"),Skemaoplysninger!$E$47,"")</f>
        <v/>
      </c>
      <c r="CE40" s="207" t="str">
        <f>IF(AND(C40="Skema 1",B40="ti"),Skemaoplysninger!$G$47,"")</f>
        <v/>
      </c>
      <c r="CF40" s="207" t="str">
        <f>IF(AND(C40="Skema 1",B40="on"),Skemaoplysninger!$I$47,"")</f>
        <v/>
      </c>
      <c r="CG40" s="207" t="str">
        <f>IF(AND(C40="Skema 1",B40="to"),Skemaoplysninger!$K$47,"")</f>
        <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4"/>
        <v/>
      </c>
      <c r="DL40" t="str">
        <f t="shared" si="14"/>
        <v/>
      </c>
      <c r="DM40" t="str">
        <f t="shared" si="14"/>
        <v/>
      </c>
      <c r="DN40" t="str">
        <f t="shared" si="35"/>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5"/>
        <v>0</v>
      </c>
      <c r="FZ40" s="634">
        <f t="shared" si="16"/>
        <v>0</v>
      </c>
      <c r="GA40">
        <f t="shared" si="17"/>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8"/>
        <v>0</v>
      </c>
      <c r="GL40">
        <f t="shared" si="19"/>
        <v>0</v>
      </c>
      <c r="GM40">
        <f t="shared" si="20"/>
        <v>0</v>
      </c>
      <c r="GN40" s="713">
        <f t="shared" si="21"/>
        <v>0</v>
      </c>
      <c r="GO40">
        <f t="shared" si="37"/>
        <v>0</v>
      </c>
      <c r="GP40" s="647">
        <f t="shared" si="38"/>
        <v>0</v>
      </c>
    </row>
    <row r="41" spans="1:198">
      <c r="A41" s="239">
        <f t="shared" si="22"/>
        <v>28</v>
      </c>
      <c r="B41" s="125" t="str">
        <f t="shared" si="0"/>
        <v>ma</v>
      </c>
      <c r="C41" s="126" t="s">
        <v>137</v>
      </c>
      <c r="D41" s="127">
        <f t="shared" si="1"/>
        <v>26.428571428571427</v>
      </c>
      <c r="E41" s="1060" t="s">
        <v>767</v>
      </c>
      <c r="F41" s="1061"/>
      <c r="G41" s="1062"/>
      <c r="H41" s="292"/>
      <c r="I41" s="745"/>
      <c r="J41" s="746" t="str">
        <f t="shared" si="2"/>
        <v/>
      </c>
      <c r="K41" s="368">
        <v>8</v>
      </c>
      <c r="L41" s="368"/>
      <c r="M41" s="368"/>
      <c r="N41" s="311">
        <f t="shared" si="23"/>
        <v>8</v>
      </c>
      <c r="O41" s="311">
        <f t="shared" si="24"/>
        <v>0</v>
      </c>
      <c r="P41" s="311">
        <f>IF(Stamoplysninger!$H$34="JA",Juni!DG41,CX41)</f>
        <v>0</v>
      </c>
      <c r="Q41" s="311">
        <f t="shared" si="25"/>
        <v>0</v>
      </c>
      <c r="R41" s="751"/>
      <c r="S41" s="315"/>
      <c r="T41" s="316"/>
      <c r="U41" s="316"/>
      <c r="V41" s="422"/>
      <c r="W41" s="422"/>
      <c r="X41" s="621"/>
      <c r="Y41">
        <f t="shared" si="26"/>
        <v>0</v>
      </c>
      <c r="Z41" s="424">
        <f t="shared" si="27"/>
        <v>0</v>
      </c>
      <c r="AA41" s="1">
        <f t="shared" si="3"/>
        <v>0</v>
      </c>
      <c r="AB41" s="1">
        <f t="shared" si="4"/>
        <v>0</v>
      </c>
      <c r="AC41" s="1">
        <f t="shared" si="5"/>
        <v>8</v>
      </c>
      <c r="AD41" s="1">
        <f t="shared" si="6"/>
        <v>0</v>
      </c>
      <c r="AE41" s="1">
        <f t="shared" si="7"/>
        <v>0</v>
      </c>
      <c r="AF41" s="1">
        <f>IF(C41="Orlov",7.4*Stamoplysninger!$E$20,0)</f>
        <v>0</v>
      </c>
      <c r="AG41" t="str">
        <f>IF(AND(C41="Skema 1",B41="ma"),Arbejdstidsoversigt!$E$77,"")</f>
        <v/>
      </c>
      <c r="AH41" t="str">
        <f>IF(AND(C41="Skema 1",B41="ti"),Arbejdstidsoversigt!$E$78,"")</f>
        <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8</v>
      </c>
      <c r="BB41" s="224">
        <f t="shared" si="8"/>
        <v>0</v>
      </c>
      <c r="BC41" s="1">
        <f t="shared" si="29"/>
        <v>0</v>
      </c>
      <c r="BD41" s="1">
        <f t="shared" si="9"/>
        <v>0</v>
      </c>
      <c r="BE41" s="1">
        <f t="shared" si="10"/>
        <v>0</v>
      </c>
      <c r="BF41" s="1">
        <f t="shared" si="11"/>
        <v>0</v>
      </c>
      <c r="BG41" s="207" t="str">
        <f>IF(AND(C41="Skema 1",B41="ma"),Skemaoplysninger!$E$46,"")</f>
        <v/>
      </c>
      <c r="BH41" s="207" t="str">
        <f>IF(AND(C41="Skema 1",B41="ti"),Skemaoplysninger!$G$46,"")</f>
        <v/>
      </c>
      <c r="BI41" s="207" t="str">
        <f>IF(AND(C41="Skema 1",B41="on"),Skemaoplysninger!$I$46,"")</f>
        <v/>
      </c>
      <c r="BJ41" s="207" t="str">
        <f>IF(AND(C41="Skema 1",B41="to"),Skemaoplysninger!$K$46,"")</f>
        <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0"/>
        <v>0</v>
      </c>
      <c r="CB41" s="1">
        <f t="shared" si="12"/>
        <v>0</v>
      </c>
      <c r="CC41" s="1">
        <f t="shared" si="13"/>
        <v>0</v>
      </c>
      <c r="CD41" s="207" t="str">
        <f>IF(AND(C41="Skema 1",B41="ma"),Skemaoplysninger!$E$47,"")</f>
        <v/>
      </c>
      <c r="CE41" s="207" t="str">
        <f>IF(AND(C41="Skema 1",B41="ti"),Skemaoplysninger!$G$47,"")</f>
        <v/>
      </c>
      <c r="CF41" s="207" t="str">
        <f>IF(AND(C41="Skema 1",B41="on"),Skemaoplysninger!$I$47,"")</f>
        <v/>
      </c>
      <c r="CG41" s="207" t="str">
        <f>IF(AND(C41="Skema 1",B41="to"),Skemaoplysninger!$K$47,"")</f>
        <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t="str">
        <f t="shared" si="33"/>
        <v>Afslutning af året</v>
      </c>
      <c r="DJ41" t="str">
        <f t="shared" si="34"/>
        <v/>
      </c>
      <c r="DK41" t="str">
        <f t="shared" si="14"/>
        <v/>
      </c>
      <c r="DL41" t="str">
        <f t="shared" si="14"/>
        <v>Afslutning af året</v>
      </c>
      <c r="DM41" t="str">
        <f t="shared" si="14"/>
        <v/>
      </c>
      <c r="DN41" t="str">
        <f t="shared" si="35"/>
        <v>Afslutning af året</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5"/>
        <v>0</v>
      </c>
      <c r="FZ41" s="634">
        <f t="shared" si="16"/>
        <v>0</v>
      </c>
      <c r="GA41">
        <f t="shared" si="17"/>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8"/>
        <v>0</v>
      </c>
      <c r="GL41">
        <f t="shared" si="19"/>
        <v>0</v>
      </c>
      <c r="GM41" t="str">
        <f t="shared" si="20"/>
        <v>X</v>
      </c>
      <c r="GN41" s="713">
        <f t="shared" si="21"/>
        <v>0</v>
      </c>
      <c r="GO41">
        <f t="shared" si="37"/>
        <v>1</v>
      </c>
      <c r="GP41" s="647">
        <f t="shared" si="38"/>
        <v>0</v>
      </c>
    </row>
    <row r="42" spans="1:198">
      <c r="A42" s="239">
        <f>IF(ISNUMBER(A41),A41+1,1)</f>
        <v>29</v>
      </c>
      <c r="B42" s="125" t="str">
        <f t="shared" si="0"/>
        <v>ti</v>
      </c>
      <c r="C42" s="126" t="s">
        <v>137</v>
      </c>
      <c r="D42" s="127" t="str">
        <f t="shared" si="1"/>
        <v/>
      </c>
      <c r="E42" s="1060" t="s">
        <v>768</v>
      </c>
      <c r="F42" s="1061"/>
      <c r="G42" s="1062"/>
      <c r="H42" s="292"/>
      <c r="I42" s="745"/>
      <c r="J42" s="746" t="str">
        <f t="shared" si="2"/>
        <v/>
      </c>
      <c r="K42" s="368">
        <v>8</v>
      </c>
      <c r="L42" s="368"/>
      <c r="M42" s="368"/>
      <c r="N42" s="311">
        <f t="shared" si="23"/>
        <v>8</v>
      </c>
      <c r="O42" s="311">
        <f t="shared" si="24"/>
        <v>0</v>
      </c>
      <c r="P42" s="311">
        <f>IF(Stamoplysninger!$H$34="JA",Juni!DG42,CX42)</f>
        <v>0</v>
      </c>
      <c r="Q42" s="311">
        <f t="shared" si="25"/>
        <v>0</v>
      </c>
      <c r="R42" s="751"/>
      <c r="S42" s="315"/>
      <c r="T42" s="316"/>
      <c r="U42" s="316"/>
      <c r="V42" s="422"/>
      <c r="W42" s="422"/>
      <c r="X42" s="621"/>
      <c r="Y42">
        <f t="shared" si="26"/>
        <v>0</v>
      </c>
      <c r="Z42" s="424">
        <f t="shared" si="27"/>
        <v>0</v>
      </c>
      <c r="AA42" s="1">
        <f t="shared" si="3"/>
        <v>0</v>
      </c>
      <c r="AB42" s="1">
        <f t="shared" si="4"/>
        <v>0</v>
      </c>
      <c r="AC42" s="1">
        <f t="shared" si="5"/>
        <v>8</v>
      </c>
      <c r="AD42" s="1">
        <f t="shared" si="6"/>
        <v>0</v>
      </c>
      <c r="AE42" s="1">
        <f t="shared" si="7"/>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8</v>
      </c>
      <c r="BB42" s="224">
        <f t="shared" si="8"/>
        <v>0</v>
      </c>
      <c r="BC42" s="1">
        <f t="shared" si="29"/>
        <v>0</v>
      </c>
      <c r="BD42" s="1">
        <f t="shared" si="9"/>
        <v>0</v>
      </c>
      <c r="BE42" s="1">
        <f t="shared" si="10"/>
        <v>0</v>
      </c>
      <c r="BF42" s="1">
        <f t="shared" si="11"/>
        <v>0</v>
      </c>
      <c r="BG42" s="207" t="str">
        <f>IF(AND(C42="Skema 1",B42="ma"),Skemaoplysninger!$E$46,"")</f>
        <v/>
      </c>
      <c r="BH42" s="207" t="str">
        <f>IF(AND(C42="Skema 1",B42="ti"),Skemaoplysninger!$G$46,"")</f>
        <v/>
      </c>
      <c r="BI42" s="207" t="str">
        <f>IF(AND(C42="Skema 1",B42="on"),Skemaoplysninger!$I$46,"")</f>
        <v/>
      </c>
      <c r="BJ42" s="207" t="str">
        <f>IF(AND(C42="Skema 1",B42="to"),Skemaoplysninger!$K$46,"")</f>
        <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 t="shared" si="30"/>
        <v>0</v>
      </c>
      <c r="CB42" s="1">
        <f t="shared" si="12"/>
        <v>0</v>
      </c>
      <c r="CC42" s="1">
        <f t="shared" si="13"/>
        <v>0</v>
      </c>
      <c r="CD42" s="207" t="str">
        <f>IF(AND(C42="Skema 1",B42="ma"),Skemaoplysninger!$E$47,"")</f>
        <v/>
      </c>
      <c r="CE42" s="207" t="str">
        <f>IF(AND(C42="Skema 1",B42="ti"),Skemaoplysninger!$G$47,"")</f>
        <v/>
      </c>
      <c r="CF42" s="207" t="str">
        <f>IF(AND(C42="Skema 1",B42="on"),Skemaoplysninger!$I$47,"")</f>
        <v/>
      </c>
      <c r="CG42" s="207" t="str">
        <f>IF(AND(C42="Skema 1",B42="to"),Skemaoplysninger!$K$47,"")</f>
        <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t="str">
        <f t="shared" si="33"/>
        <v>Forberedleser til næste skoleår</v>
      </c>
      <c r="DJ42" t="str">
        <f t="shared" si="34"/>
        <v/>
      </c>
      <c r="DK42" t="str">
        <f t="shared" si="14"/>
        <v/>
      </c>
      <c r="DL42" t="str">
        <f t="shared" si="14"/>
        <v>Forberedleser til næste skoleår</v>
      </c>
      <c r="DM42" t="str">
        <f t="shared" si="14"/>
        <v/>
      </c>
      <c r="DN42" t="str">
        <f t="shared" si="35"/>
        <v>Forberedleser til næste skoleår</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5"/>
        <v>0</v>
      </c>
      <c r="FZ42" s="634">
        <f t="shared" si="16"/>
        <v>0</v>
      </c>
      <c r="GA42">
        <f t="shared" si="17"/>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8"/>
        <v>0</v>
      </c>
      <c r="GL42">
        <f t="shared" si="19"/>
        <v>0</v>
      </c>
      <c r="GM42" t="str">
        <f t="shared" si="20"/>
        <v>X</v>
      </c>
      <c r="GN42" s="713">
        <f t="shared" si="21"/>
        <v>0</v>
      </c>
      <c r="GO42">
        <f t="shared" si="37"/>
        <v>1</v>
      </c>
      <c r="GP42" s="647">
        <f t="shared" si="38"/>
        <v>0</v>
      </c>
    </row>
    <row r="43" spans="1:198" ht="17" thickBot="1">
      <c r="A43" s="239">
        <f t="shared" si="22"/>
        <v>30</v>
      </c>
      <c r="B43" s="125" t="str">
        <f t="shared" si="0"/>
        <v>on</v>
      </c>
      <c r="C43" s="126" t="s">
        <v>126</v>
      </c>
      <c r="D43" s="127" t="str">
        <f t="shared" si="1"/>
        <v/>
      </c>
      <c r="E43" s="1060"/>
      <c r="F43" s="1061"/>
      <c r="G43" s="1062"/>
      <c r="H43" s="292"/>
      <c r="I43" s="745"/>
      <c r="J43" s="746" t="str">
        <f t="shared" si="2"/>
        <v/>
      </c>
      <c r="K43" s="368"/>
      <c r="L43" s="368"/>
      <c r="M43" s="368"/>
      <c r="N43" s="311">
        <f t="shared" si="23"/>
        <v>0</v>
      </c>
      <c r="O43" s="311">
        <f t="shared" si="24"/>
        <v>0</v>
      </c>
      <c r="P43" s="311">
        <f>IF(Stamoplysninger!$H$34="JA",Juni!DG43,CX43)</f>
        <v>0</v>
      </c>
      <c r="Q43" s="311">
        <f t="shared" si="25"/>
        <v>0</v>
      </c>
      <c r="R43" s="751"/>
      <c r="S43" s="315"/>
      <c r="T43" s="316"/>
      <c r="U43" s="316"/>
      <c r="V43" s="422"/>
      <c r="W43" s="422"/>
      <c r="X43" s="621"/>
      <c r="Y43">
        <f t="shared" si="26"/>
        <v>0</v>
      </c>
      <c r="Z43" s="424">
        <f t="shared" si="27"/>
        <v>0</v>
      </c>
      <c r="AA43" s="1">
        <f t="shared" si="3"/>
        <v>0</v>
      </c>
      <c r="AB43" s="1">
        <f t="shared" si="4"/>
        <v>0</v>
      </c>
      <c r="AC43" s="1">
        <f t="shared" si="5"/>
        <v>0</v>
      </c>
      <c r="AD43" s="1">
        <f t="shared" si="6"/>
        <v>0</v>
      </c>
      <c r="AE43" s="1">
        <f t="shared" si="7"/>
        <v>0</v>
      </c>
      <c r="AF43" s="1">
        <f>IF(C43="Orlov",7.4*Stamoplysninger!$E$20,0)</f>
        <v>0</v>
      </c>
      <c r="AG43" t="str">
        <f>IF(AND(C43="Skema 1",B43="ma"),Arbejdstidsoversigt!$E$77,"")</f>
        <v/>
      </c>
      <c r="AH43" t="str">
        <f>IF(AND(C43="Skema 1",B43="ti"),Arbejdstidsoversigt!$E$78,"")</f>
        <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0</v>
      </c>
      <c r="BB43" s="224">
        <f t="shared" si="8"/>
        <v>0</v>
      </c>
      <c r="BC43" s="1">
        <f t="shared" si="29"/>
        <v>0</v>
      </c>
      <c r="BD43" s="1">
        <f t="shared" si="9"/>
        <v>0</v>
      </c>
      <c r="BE43" s="1">
        <f t="shared" si="10"/>
        <v>0</v>
      </c>
      <c r="BF43" s="1">
        <f t="shared" si="11"/>
        <v>0</v>
      </c>
      <c r="BG43" s="207" t="str">
        <f>IF(AND(C43="Skema 1",B43="ma"),Skemaoplysninger!$E$46,"")</f>
        <v/>
      </c>
      <c r="BH43" s="207" t="str">
        <f>IF(AND(C43="Skema 1",B43="ti"),Skemaoplysninger!$G$46,"")</f>
        <v/>
      </c>
      <c r="BI43" s="207" t="str">
        <f>IF(AND(C43="Skema 1",B43="on"),Skemaoplysninger!$I$46,"")</f>
        <v/>
      </c>
      <c r="BJ43" s="207" t="str">
        <f>IF(AND(C43="Skema 1",B43="to"),Skemaoplysninger!$K$46,"")</f>
        <v/>
      </c>
      <c r="BK43" s="207" t="str">
        <f>IF(AND(C43="Skema 1",B43="fr"),Skemaoplysninger!$M$46,"")</f>
        <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 t="shared" si="30"/>
        <v>0</v>
      </c>
      <c r="CB43" s="1">
        <f t="shared" si="12"/>
        <v>0</v>
      </c>
      <c r="CC43" s="1">
        <f t="shared" si="13"/>
        <v>0</v>
      </c>
      <c r="CD43" s="207" t="str">
        <f>IF(AND(C43="Skema 1",B43="ma"),Skemaoplysninger!$E$47,"")</f>
        <v/>
      </c>
      <c r="CE43" s="207" t="str">
        <f>IF(AND(C43="Skema 1",B43="ti"),Skemaoplysninger!$G$47,"")</f>
        <v/>
      </c>
      <c r="CF43" s="207" t="str">
        <f>IF(AND(C43="Skema 1",B43="on"),Skemaoplysninger!$I$47,"")</f>
        <v/>
      </c>
      <c r="CG43" s="207" t="str">
        <f>IF(AND(C43="Skema 1",B43="to"),Skemaoplysninger!$K$47,"")</f>
        <v/>
      </c>
      <c r="CH43" s="207" t="str">
        <f>IF(AND(C43="Skema 1",B43="fr"),Skemaoplysninger!$M$47,"")</f>
        <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f t="shared" si="33"/>
        <v>0</v>
      </c>
      <c r="DJ43">
        <f t="shared" si="34"/>
        <v>0</v>
      </c>
      <c r="DK43" t="str">
        <f t="shared" si="14"/>
        <v/>
      </c>
      <c r="DL43" t="str">
        <f t="shared" si="14"/>
        <v/>
      </c>
      <c r="DM43" t="str">
        <f t="shared" si="14"/>
        <v/>
      </c>
      <c r="DN43" t="str">
        <f t="shared" si="35"/>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5"/>
        <v>0</v>
      </c>
      <c r="FZ43" s="634">
        <f t="shared" si="16"/>
        <v>0</v>
      </c>
      <c r="GA43">
        <f t="shared" si="17"/>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8"/>
        <v>0</v>
      </c>
      <c r="GL43">
        <f t="shared" si="19"/>
        <v>0</v>
      </c>
      <c r="GM43">
        <f t="shared" si="20"/>
        <v>0</v>
      </c>
      <c r="GN43" s="713">
        <f t="shared" si="21"/>
        <v>0</v>
      </c>
      <c r="GO43">
        <f t="shared" si="37"/>
        <v>0</v>
      </c>
      <c r="GP43" s="647">
        <f t="shared" si="38"/>
        <v>0</v>
      </c>
    </row>
    <row r="44" spans="1:198" ht="17" thickBot="1">
      <c r="A44" s="1100" t="s">
        <v>257</v>
      </c>
      <c r="B44" s="1101"/>
      <c r="C44" s="1101"/>
      <c r="D44" s="1101"/>
      <c r="E44" s="1101"/>
      <c r="F44" s="1101"/>
      <c r="G44" s="1101"/>
      <c r="H44" s="1101"/>
      <c r="I44" s="1102"/>
      <c r="J44" s="306"/>
      <c r="K44" s="313"/>
      <c r="L44" s="313"/>
      <c r="M44" s="313"/>
      <c r="N44" s="314">
        <f>SUM(N14:N43)</f>
        <v>167.51</v>
      </c>
      <c r="O44" s="314">
        <f>SUM(O14:O43)</f>
        <v>71.75</v>
      </c>
      <c r="P44" s="314">
        <f>SUM(P14:P43)</f>
        <v>26.416666666666668</v>
      </c>
      <c r="Q44" s="314">
        <f>SUM(Q14:Q43)</f>
        <v>53.343333333333334</v>
      </c>
      <c r="R44" s="752">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f>
        <v>5</v>
      </c>
      <c r="S44" s="419"/>
      <c r="T44" s="420"/>
      <c r="U44" s="420"/>
      <c r="V44"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f>
        <v>0</v>
      </c>
      <c r="W44" s="420">
        <f>IF(T13="x",W13,0)+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f>
        <v>0</v>
      </c>
      <c r="X44" s="421">
        <f>IF(U13="x",X13,0)+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f>
        <v>0</v>
      </c>
      <c r="Y44" s="208">
        <f>SUM(Y14:Y43)</f>
        <v>0</v>
      </c>
      <c r="Z44" s="386">
        <f>Z14+Z15+Z16+Z17+Z18+Z19+Z20+Z21+Z22+Z23+Z24+Z25+Z26+Z27+Z28+Z29+Z30+Z31+Z32+Z33+Z34+Z35+Z36+Z37+Z38+Z39+Z40+Z41+Z42+Z43</f>
        <v>0</v>
      </c>
      <c r="AA44" s="229">
        <f t="shared" ref="AA44:AF44" si="39">SUM(AA14:AA43)</f>
        <v>5</v>
      </c>
      <c r="AB44" s="229">
        <f t="shared" si="39"/>
        <v>0</v>
      </c>
      <c r="AC44" s="229">
        <f>SUM(AC14:AC43)</f>
        <v>16</v>
      </c>
      <c r="AD44" s="229">
        <f t="shared" si="39"/>
        <v>0</v>
      </c>
      <c r="AE44" s="229">
        <f t="shared" si="39"/>
        <v>0</v>
      </c>
      <c r="AF44" s="229">
        <f t="shared" si="39"/>
        <v>0</v>
      </c>
      <c r="BA44" s="1">
        <f>SUM(BA14:BA43)</f>
        <v>167.51</v>
      </c>
      <c r="BB44" s="109"/>
      <c r="BC44" s="229">
        <f>SUM(BC14:BC43)</f>
        <v>0</v>
      </c>
      <c r="BD44" s="229">
        <f>SUM(BD14:BD43)</f>
        <v>0</v>
      </c>
      <c r="BE44" s="229">
        <f>SUM(BE14:BE43)</f>
        <v>0</v>
      </c>
      <c r="BF44" s="229">
        <f>SUM(BF14:BF43)</f>
        <v>3</v>
      </c>
      <c r="CA44" s="229">
        <f>SUM(CA14:CA43)</f>
        <v>71.75</v>
      </c>
      <c r="CB44" s="229">
        <f>SUM(CB14:CB43)</f>
        <v>0</v>
      </c>
      <c r="CC44" s="229">
        <f>SUM(CC14:CC43)</f>
        <v>1</v>
      </c>
      <c r="CX44" s="243"/>
      <c r="CY44" s="243">
        <f t="shared" ref="CY44:DG44" si="40">SUM(CY14:CY43)</f>
        <v>0</v>
      </c>
      <c r="CZ44" s="243">
        <f t="shared" si="40"/>
        <v>0</v>
      </c>
      <c r="DA44" s="243">
        <f t="shared" si="40"/>
        <v>0</v>
      </c>
      <c r="DB44" s="243">
        <f t="shared" si="40"/>
        <v>0</v>
      </c>
      <c r="DC44" s="243">
        <f t="shared" si="40"/>
        <v>0</v>
      </c>
      <c r="DD44" s="243">
        <f t="shared" si="40"/>
        <v>0</v>
      </c>
      <c r="DE44" s="243">
        <f t="shared" si="40"/>
        <v>0</v>
      </c>
      <c r="DF44" s="243">
        <f t="shared" si="40"/>
        <v>0</v>
      </c>
      <c r="DG44" s="243">
        <f t="shared" si="40"/>
        <v>0</v>
      </c>
      <c r="DO44" s="645">
        <f t="shared" ref="DO44:ET44" si="41">SUM(DO14:DO43)</f>
        <v>1.25</v>
      </c>
      <c r="DP44" s="646">
        <f t="shared" si="41"/>
        <v>0</v>
      </c>
      <c r="DQ44" s="646">
        <f t="shared" si="41"/>
        <v>0</v>
      </c>
      <c r="DR44" s="646">
        <f t="shared" si="41"/>
        <v>0</v>
      </c>
      <c r="DS44" s="649">
        <f t="shared" si="41"/>
        <v>0</v>
      </c>
      <c r="DT44" s="649">
        <f t="shared" si="41"/>
        <v>0</v>
      </c>
      <c r="DU44" s="646">
        <f t="shared" si="41"/>
        <v>0</v>
      </c>
      <c r="DV44" s="649">
        <f t="shared" si="41"/>
        <v>0</v>
      </c>
      <c r="DW44" s="646">
        <f t="shared" si="41"/>
        <v>0</v>
      </c>
      <c r="DX44" s="646">
        <f t="shared" si="41"/>
        <v>0</v>
      </c>
      <c r="DY44" s="646">
        <f t="shared" si="41"/>
        <v>0</v>
      </c>
      <c r="DZ44" s="646">
        <f t="shared" si="41"/>
        <v>0</v>
      </c>
      <c r="EA44" s="649">
        <f t="shared" si="41"/>
        <v>0</v>
      </c>
      <c r="EB44" s="649">
        <f t="shared" si="41"/>
        <v>0</v>
      </c>
      <c r="EC44" s="649">
        <f t="shared" si="41"/>
        <v>0</v>
      </c>
      <c r="ED44" s="649">
        <f t="shared" si="41"/>
        <v>0</v>
      </c>
      <c r="EE44" s="646">
        <f t="shared" si="41"/>
        <v>0</v>
      </c>
      <c r="EF44" s="646">
        <f t="shared" si="41"/>
        <v>0</v>
      </c>
      <c r="EG44" s="649">
        <f t="shared" si="41"/>
        <v>0</v>
      </c>
      <c r="EH44" s="649">
        <f t="shared" si="41"/>
        <v>0</v>
      </c>
      <c r="EI44" s="646">
        <f t="shared" si="41"/>
        <v>0</v>
      </c>
      <c r="EJ44" s="646">
        <f t="shared" si="41"/>
        <v>0</v>
      </c>
      <c r="EK44" s="649">
        <f t="shared" si="41"/>
        <v>0</v>
      </c>
      <c r="EL44" s="649">
        <f t="shared" si="41"/>
        <v>0</v>
      </c>
      <c r="EM44" s="646">
        <f t="shared" si="41"/>
        <v>0</v>
      </c>
      <c r="EN44" s="646">
        <f t="shared" si="41"/>
        <v>0</v>
      </c>
      <c r="EO44" s="649">
        <f t="shared" si="41"/>
        <v>0</v>
      </c>
      <c r="EP44" s="652">
        <f t="shared" si="41"/>
        <v>0</v>
      </c>
      <c r="EQ44" s="646">
        <f t="shared" si="41"/>
        <v>0</v>
      </c>
      <c r="ER44" s="646">
        <f t="shared" si="41"/>
        <v>0</v>
      </c>
      <c r="ES44" s="649">
        <f t="shared" si="41"/>
        <v>0</v>
      </c>
      <c r="ET44" s="652">
        <f t="shared" si="41"/>
        <v>0</v>
      </c>
      <c r="EU44" s="646">
        <f t="shared" ref="EU44:FZ44" si="42">SUM(EU14:EU43)</f>
        <v>0</v>
      </c>
      <c r="EV44" s="646">
        <f t="shared" si="42"/>
        <v>0</v>
      </c>
      <c r="EW44" s="649">
        <f t="shared" si="42"/>
        <v>0</v>
      </c>
      <c r="EX44" s="652">
        <f t="shared" si="42"/>
        <v>0</v>
      </c>
      <c r="EY44" s="646">
        <f t="shared" si="42"/>
        <v>0</v>
      </c>
      <c r="EZ44" s="646">
        <f t="shared" si="42"/>
        <v>0</v>
      </c>
      <c r="FA44" s="649">
        <f t="shared" si="42"/>
        <v>0</v>
      </c>
      <c r="FB44" s="652">
        <f t="shared" si="42"/>
        <v>0</v>
      </c>
      <c r="FC44" s="646">
        <f t="shared" si="42"/>
        <v>0</v>
      </c>
      <c r="FD44" s="646">
        <f t="shared" si="42"/>
        <v>0</v>
      </c>
      <c r="FE44" s="649">
        <f t="shared" si="42"/>
        <v>0</v>
      </c>
      <c r="FF44" s="652">
        <f t="shared" si="42"/>
        <v>0</v>
      </c>
      <c r="FG44" s="646">
        <f t="shared" si="42"/>
        <v>0</v>
      </c>
      <c r="FH44" s="646">
        <f t="shared" si="42"/>
        <v>0</v>
      </c>
      <c r="FI44" s="649">
        <f t="shared" si="42"/>
        <v>0</v>
      </c>
      <c r="FJ44" s="652">
        <f t="shared" si="42"/>
        <v>0</v>
      </c>
      <c r="FK44" s="661">
        <f t="shared" si="42"/>
        <v>0</v>
      </c>
      <c r="FL44" s="646">
        <f t="shared" si="42"/>
        <v>0</v>
      </c>
      <c r="FM44" s="661">
        <f t="shared" si="42"/>
        <v>0</v>
      </c>
      <c r="FN44" s="649">
        <f t="shared" si="42"/>
        <v>0</v>
      </c>
      <c r="FO44" s="661">
        <f t="shared" si="42"/>
        <v>0</v>
      </c>
      <c r="FP44" s="646">
        <f t="shared" si="42"/>
        <v>0</v>
      </c>
      <c r="FQ44" s="661">
        <f t="shared" si="42"/>
        <v>0</v>
      </c>
      <c r="FR44" s="649">
        <f t="shared" si="42"/>
        <v>0</v>
      </c>
      <c r="FS44" s="661">
        <f t="shared" si="42"/>
        <v>0</v>
      </c>
      <c r="FT44" s="661">
        <f t="shared" si="42"/>
        <v>0</v>
      </c>
      <c r="FU44" s="661">
        <f t="shared" si="42"/>
        <v>0</v>
      </c>
      <c r="FV44" s="646">
        <f t="shared" si="42"/>
        <v>0</v>
      </c>
      <c r="FW44" s="661">
        <f t="shared" si="42"/>
        <v>0</v>
      </c>
      <c r="FX44" s="652">
        <f t="shared" si="42"/>
        <v>0</v>
      </c>
      <c r="FY44" s="665">
        <f t="shared" si="42"/>
        <v>0</v>
      </c>
      <c r="FZ44" s="666">
        <f t="shared" si="42"/>
        <v>0</v>
      </c>
      <c r="GA44" s="666">
        <f t="shared" ref="GA44:GI44" si="43">SUM(GA14:GA43)</f>
        <v>0</v>
      </c>
      <c r="GB44" s="665">
        <f t="shared" si="43"/>
        <v>0</v>
      </c>
      <c r="GC44" s="666">
        <f t="shared" si="43"/>
        <v>0</v>
      </c>
      <c r="GD44" s="665">
        <f t="shared" si="43"/>
        <v>0</v>
      </c>
      <c r="GE44" s="666">
        <f t="shared" si="43"/>
        <v>0</v>
      </c>
      <c r="GF44" s="661">
        <f t="shared" si="43"/>
        <v>0</v>
      </c>
      <c r="GG44" s="661">
        <f t="shared" si="43"/>
        <v>0</v>
      </c>
      <c r="GH44" s="661">
        <f t="shared" si="43"/>
        <v>0</v>
      </c>
      <c r="GI44" s="661">
        <f t="shared" si="43"/>
        <v>0</v>
      </c>
      <c r="GP44" s="647">
        <f>SUM(GP14:GP43)</f>
        <v>0</v>
      </c>
    </row>
    <row r="45" spans="1:198" ht="17" thickBot="1">
      <c r="A45" s="227"/>
      <c r="B45" s="227"/>
      <c r="C45" s="227"/>
      <c r="D45" s="227"/>
      <c r="E45" s="227"/>
      <c r="F45" s="227"/>
      <c r="G45" s="227"/>
      <c r="H45" s="227"/>
      <c r="I45" s="227"/>
      <c r="J45" s="227"/>
      <c r="K45" s="233"/>
      <c r="L45" s="233"/>
      <c r="M45" s="233"/>
      <c r="N45" s="233"/>
      <c r="O45" s="233"/>
      <c r="P45" s="233"/>
      <c r="Q45" s="233"/>
      <c r="R45" s="233"/>
      <c r="S45" s="233"/>
      <c r="T45" s="233"/>
      <c r="U45" s="233"/>
      <c r="V45" s="233"/>
      <c r="W45" s="233"/>
      <c r="X45" s="233"/>
      <c r="Y45" s="241"/>
      <c r="Z45" s="208"/>
      <c r="AA45" s="229"/>
      <c r="AB45" s="208"/>
      <c r="AC45" s="208"/>
      <c r="AD45" s="229"/>
      <c r="AE45" s="229"/>
      <c r="AF45" s="229"/>
      <c r="AG45" s="229"/>
      <c r="BC45" s="229"/>
      <c r="BD45" s="229"/>
      <c r="BE45" s="229"/>
      <c r="BF45" s="229"/>
      <c r="BG45" s="109"/>
      <c r="CB45" s="229"/>
      <c r="CC45" s="229"/>
      <c r="CD45" s="109"/>
      <c r="CX45" s="242"/>
      <c r="CZ45"/>
      <c r="DO45" s="728"/>
      <c r="DP45" s="728"/>
      <c r="DQ45" s="728"/>
      <c r="DR45" s="728"/>
      <c r="DS45" s="728"/>
      <c r="DT45" s="728"/>
      <c r="DU45" s="728"/>
      <c r="DV45" s="728"/>
      <c r="DW45" s="729"/>
      <c r="DX45" s="729"/>
      <c r="DY45" s="729"/>
      <c r="DZ45" s="729"/>
      <c r="EA45" s="729"/>
      <c r="EB45" s="729"/>
      <c r="EC45" s="729"/>
      <c r="ED45" s="729"/>
      <c r="EE45" s="732"/>
      <c r="EF45" s="732"/>
      <c r="EG45" s="732"/>
      <c r="EH45" s="732"/>
      <c r="EI45" s="732"/>
      <c r="EJ45" s="732"/>
      <c r="EM45" s="734"/>
      <c r="EN45" s="734"/>
      <c r="EO45" s="734"/>
      <c r="EP45" s="734"/>
      <c r="EQ45" s="734"/>
      <c r="ER45" s="734"/>
      <c r="EU45" s="736"/>
      <c r="EV45" s="736"/>
      <c r="EW45" s="736"/>
      <c r="EX45" s="736"/>
      <c r="EY45" s="738"/>
      <c r="EZ45" s="738"/>
      <c r="FA45" s="738"/>
      <c r="FB45" s="738"/>
      <c r="FC45" s="740"/>
      <c r="FD45" s="740"/>
      <c r="FE45" s="740"/>
      <c r="FF45" s="740"/>
      <c r="FG45" s="742"/>
      <c r="FH45" s="742"/>
      <c r="FI45" s="742"/>
      <c r="FJ45" s="742"/>
      <c r="FK45" s="726"/>
      <c r="FM45" s="744"/>
      <c r="FO45" s="726"/>
      <c r="FS45" s="726"/>
      <c r="FT45" s="744"/>
      <c r="FU45" s="726"/>
      <c r="FW45" s="744"/>
      <c r="GA45" s="744"/>
      <c r="GB45" s="726"/>
      <c r="GC45" s="744"/>
      <c r="GD45" s="726"/>
      <c r="GE45" s="744"/>
      <c r="GF45" s="726"/>
      <c r="GG45" s="744"/>
      <c r="GH45" s="726"/>
      <c r="GI45" s="744"/>
      <c r="GP45" s="743" t="s">
        <v>663</v>
      </c>
    </row>
    <row r="46" spans="1:198" ht="70" customHeight="1">
      <c r="A46" s="1086" t="str">
        <f>"Arbejdstid for "&amp;A12&amp;" måned:"</f>
        <v>Arbejdstid for Juni måned:</v>
      </c>
      <c r="B46" s="1087"/>
      <c r="C46" s="1087"/>
      <c r="D46" s="1087"/>
      <c r="E46" s="1087"/>
      <c r="F46" s="1087"/>
      <c r="G46" s="1087"/>
      <c r="H46" s="321" t="s">
        <v>252</v>
      </c>
      <c r="I46" s="1087" t="s">
        <v>218</v>
      </c>
      <c r="J46" s="1088"/>
      <c r="K46" s="1089"/>
      <c r="L46" s="256"/>
      <c r="M46" s="1134" t="str">
        <f>"Ulempetimer og weekendtimer i "&amp;A10&amp;""</f>
        <v>Ulempetimer og weekendtimer i Juni måneds kalender for: Beate Simonsen. Måneden vedr. normperioden:  - .</v>
      </c>
      <c r="N46" s="1117"/>
      <c r="O46" s="1117"/>
      <c r="P46" s="1117"/>
      <c r="Q46" s="1117"/>
      <c r="R46" s="1117"/>
      <c r="S46" s="1117"/>
      <c r="T46" s="1117"/>
      <c r="U46" s="1117"/>
      <c r="V46" s="1117"/>
      <c r="W46" s="1117"/>
      <c r="X46" s="1118"/>
      <c r="Y46" s="233"/>
      <c r="Z46" s="233"/>
      <c r="AD46" s="87"/>
      <c r="AE46" s="87"/>
      <c r="BM46" s="1"/>
      <c r="CJ46" s="1"/>
      <c r="CU46" s="242"/>
      <c r="CV46" s="242"/>
      <c r="CY46"/>
      <c r="CZ46"/>
    </row>
    <row r="47" spans="1:198">
      <c r="A47" s="1090" t="str">
        <f>August!A49</f>
        <v>Arbejdstid eks. lørdage og søndage</v>
      </c>
      <c r="B47" s="1091"/>
      <c r="C47" s="1091"/>
      <c r="D47" s="1091"/>
      <c r="E47" s="1091"/>
      <c r="F47" s="1091"/>
      <c r="G47" s="1091"/>
      <c r="H47" s="250">
        <f>D82</f>
        <v>22</v>
      </c>
      <c r="I47" s="1103">
        <f>IF(Stamoplysninger!$E$17="Ja",1924/Arbejdstidsoversigt!$K$14*Stamoplysninger!$E$20*H47,H47*7.4*Stamoplysninger!$E$20)</f>
        <v>162.80000000000001</v>
      </c>
      <c r="J47" s="1104"/>
      <c r="K47" s="1105"/>
      <c r="L47" s="252"/>
      <c r="M47" s="1135" t="s">
        <v>480</v>
      </c>
      <c r="N47" s="1136"/>
      <c r="O47" s="1136"/>
      <c r="P47" s="1136"/>
      <c r="Q47" s="1136"/>
      <c r="R47" s="1136"/>
      <c r="S47" s="1136"/>
      <c r="T47" s="1136"/>
      <c r="U47" s="1137"/>
      <c r="V47" s="1138">
        <f>P69+P73+P76+P78</f>
        <v>1.25</v>
      </c>
      <c r="W47" s="1139"/>
      <c r="X47" s="1140"/>
      <c r="Y47" s="233"/>
      <c r="Z47" s="233"/>
      <c r="AD47" s="87"/>
      <c r="AE47" s="87"/>
      <c r="BM47" s="1"/>
      <c r="CJ47" s="1"/>
      <c r="CU47" s="242"/>
      <c r="CV47" s="242"/>
      <c r="CY47"/>
      <c r="CZ47"/>
    </row>
    <row r="48" spans="1:198">
      <c r="A48" s="1090" t="str">
        <f>"Ferie "&amp;A12&amp;" måned"</f>
        <v>Ferie Juni måned</v>
      </c>
      <c r="B48" s="1091"/>
      <c r="C48" s="1091"/>
      <c r="D48" s="1091"/>
      <c r="E48" s="1091"/>
      <c r="F48" s="1091"/>
      <c r="G48" s="1091"/>
      <c r="H48" s="251" t="str">
        <f>IF(D77&gt;0,$D$77,"0")</f>
        <v>0</v>
      </c>
      <c r="I48" s="1092">
        <f>H48*7.4*Stamoplysninger!$E$20</f>
        <v>0</v>
      </c>
      <c r="J48" s="1093"/>
      <c r="K48" s="1094"/>
      <c r="L48" s="252"/>
      <c r="M48" s="1141" t="s">
        <v>256</v>
      </c>
      <c r="N48" s="1142"/>
      <c r="O48" s="1142"/>
      <c r="P48" s="1142"/>
      <c r="Q48" s="1142"/>
      <c r="R48" s="1142"/>
      <c r="S48" s="1142"/>
      <c r="T48" s="1142"/>
      <c r="U48" s="1143"/>
      <c r="V48" s="1144">
        <f>Q70+Q72+Q75+Q77</f>
        <v>0</v>
      </c>
      <c r="W48" s="1145"/>
      <c r="X48" s="1146"/>
      <c r="Y48" s="233"/>
      <c r="Z48" s="233"/>
      <c r="AD48" s="87"/>
      <c r="AE48" s="87"/>
      <c r="BM48" s="1"/>
      <c r="CJ48" s="1"/>
      <c r="CU48" s="242"/>
      <c r="CV48" s="242"/>
      <c r="CY48"/>
      <c r="CZ48"/>
    </row>
    <row r="49" spans="1:110">
      <c r="A49" s="1090" t="str">
        <f>"Søgnehelligdage i "&amp;A12&amp;" måned"</f>
        <v>Søgnehelligdage i Juni måned</v>
      </c>
      <c r="B49" s="1091"/>
      <c r="C49" s="1091"/>
      <c r="D49" s="1091"/>
      <c r="E49" s="1091"/>
      <c r="F49" s="1091"/>
      <c r="G49" s="1091"/>
      <c r="H49" s="251">
        <f>IF(D76&gt;0,D76,0)</f>
        <v>0</v>
      </c>
      <c r="I49" s="1092">
        <f>H49*7.4*Stamoplysninger!$E$20</f>
        <v>0</v>
      </c>
      <c r="J49" s="1093"/>
      <c r="K49" s="1094"/>
      <c r="L49" s="253"/>
      <c r="M49" s="1286" t="s">
        <v>292</v>
      </c>
      <c r="N49" s="1287"/>
      <c r="O49" s="1287"/>
      <c r="P49" s="1287"/>
      <c r="Q49" s="1287"/>
      <c r="R49" s="1287"/>
      <c r="S49" s="1287"/>
      <c r="T49" s="1287"/>
      <c r="U49" s="1288"/>
      <c r="V49" s="1291">
        <f>Maj!V58</f>
        <v>1.5</v>
      </c>
      <c r="W49" s="1292"/>
      <c r="X49" s="1295"/>
      <c r="Y49" s="233"/>
      <c r="Z49" s="233"/>
      <c r="AD49" s="87"/>
      <c r="AE49" s="87"/>
      <c r="BM49" s="1"/>
      <c r="CJ49" s="1"/>
      <c r="CU49" s="242"/>
      <c r="CV49" s="242"/>
      <c r="CY49"/>
      <c r="CZ49"/>
    </row>
    <row r="50" spans="1:110">
      <c r="A50" s="1090" t="str">
        <f>"Nettoarbejdstid ialt i "&amp;A12&amp;" måned"</f>
        <v>Nettoarbejdstid ialt i Juni måned</v>
      </c>
      <c r="B50" s="1091"/>
      <c r="C50" s="1091"/>
      <c r="D50" s="1091"/>
      <c r="E50" s="1091"/>
      <c r="F50" s="1091"/>
      <c r="G50" s="1091"/>
      <c r="H50" s="254">
        <f>H47-H48-H49</f>
        <v>22</v>
      </c>
      <c r="I50" s="1092">
        <f>I47-I48-I49</f>
        <v>162.80000000000001</v>
      </c>
      <c r="J50" s="1093"/>
      <c r="K50" s="1094"/>
      <c r="L50" s="375"/>
      <c r="M50" s="1149" t="s">
        <v>298</v>
      </c>
      <c r="N50" s="1150"/>
      <c r="O50" s="1150"/>
      <c r="P50" s="1150"/>
      <c r="Q50" s="1150"/>
      <c r="R50" s="1150"/>
      <c r="S50" s="1150"/>
      <c r="T50" s="1150"/>
      <c r="U50" s="1151"/>
      <c r="V50" s="1152">
        <f>SUM(V48:X49)</f>
        <v>1.5</v>
      </c>
      <c r="W50" s="1153"/>
      <c r="X50" s="1154"/>
      <c r="Y50" s="233"/>
      <c r="Z50" s="233"/>
      <c r="AD50" s="87"/>
      <c r="AE50" s="87"/>
      <c r="BM50" s="1"/>
      <c r="CJ50" s="1"/>
      <c r="CU50" s="242"/>
      <c r="CV50" s="242"/>
      <c r="CY50"/>
      <c r="CZ50"/>
    </row>
    <row r="51" spans="1:110">
      <c r="A51" s="1106" t="str">
        <f>"Planlagt arbejdstid efter ovennstående "&amp;A12&amp;" måned kalender"</f>
        <v>Planlagt arbejdstid efter ovennstående Juni måned kalender</v>
      </c>
      <c r="B51" s="1107"/>
      <c r="C51" s="1107"/>
      <c r="D51" s="1107"/>
      <c r="E51" s="1107"/>
      <c r="F51" s="1107"/>
      <c r="G51" s="1107"/>
      <c r="H51" s="461">
        <f>D68+D69+D70+D71+D72+D73+D74</f>
        <v>21</v>
      </c>
      <c r="I51" s="1108">
        <f>N44+R44+V109</f>
        <v>172.51</v>
      </c>
      <c r="J51" s="1109"/>
      <c r="K51" s="1110"/>
      <c r="L51" s="375"/>
      <c r="M51" s="1161" t="s">
        <v>290</v>
      </c>
      <c r="N51" s="1162"/>
      <c r="O51" s="1162"/>
      <c r="P51" s="1162"/>
      <c r="Q51" s="1162"/>
      <c r="R51" s="1162"/>
      <c r="S51" s="1162"/>
      <c r="T51" s="1162"/>
      <c r="U51" s="1162"/>
      <c r="V51" s="1162"/>
      <c r="W51" s="1162"/>
      <c r="X51" s="1163"/>
      <c r="Y51" s="233"/>
      <c r="Z51" s="233"/>
      <c r="AD51" s="87"/>
      <c r="AE51" s="87"/>
      <c r="BM51" s="1"/>
      <c r="CJ51" s="1"/>
      <c r="CU51" s="242"/>
      <c r="CV51" s="242"/>
      <c r="CY51"/>
      <c r="CZ51"/>
    </row>
    <row r="52" spans="1:110">
      <c r="A52" s="1268" t="str">
        <f>August!A54</f>
        <v>Heraf planlagte weekendtimer til afspadsering, udb. eller indgået lokalaftale - Ovf. til afsp/udb.(box til højre) eller jv. lokalaftale</v>
      </c>
      <c r="B52" s="1269"/>
      <c r="C52" s="1269"/>
      <c r="D52" s="1269"/>
      <c r="E52" s="1269"/>
      <c r="F52" s="1269"/>
      <c r="G52" s="1269"/>
      <c r="H52" s="1270"/>
      <c r="I52" s="1111">
        <f>(FK44+FO44+FS44+FU44+GB44+GD44+GF44+GH44)*-1+FM44+FT44+FW44+GC44+GE44+GG44+GI44+GA44</f>
        <v>0</v>
      </c>
      <c r="J52" s="1112"/>
      <c r="K52" s="1113"/>
      <c r="L52" s="376"/>
      <c r="M52" s="1164" t="s">
        <v>450</v>
      </c>
      <c r="N52" s="1165"/>
      <c r="O52" s="1165"/>
      <c r="P52" s="1165"/>
      <c r="Q52" s="1165"/>
      <c r="R52" s="1165"/>
      <c r="S52" s="1165"/>
      <c r="T52" s="1165"/>
      <c r="U52" s="1166"/>
      <c r="V52" s="1167" t="s">
        <v>218</v>
      </c>
      <c r="W52" s="1168"/>
      <c r="X52" s="1169"/>
      <c r="Y52" s="233"/>
      <c r="Z52" s="233"/>
      <c r="AD52" s="87"/>
      <c r="AE52" s="87"/>
      <c r="BM52" s="1"/>
      <c r="CJ52" s="1"/>
      <c r="CU52" s="242"/>
      <c r="CV52" s="242"/>
      <c r="CY52"/>
      <c r="CZ52"/>
    </row>
    <row r="53" spans="1:110">
      <c r="A53" s="1128" t="str">
        <f>"Arbejde særligt planlagt for "&amp;A12&amp;" måned efter fanen skemaoplysninger"</f>
        <v>Arbejde særligt planlagt for Juni måned efter fanen skemaoplysninger</v>
      </c>
      <c r="B53" s="1129"/>
      <c r="C53" s="1129"/>
      <c r="D53" s="1129"/>
      <c r="E53" s="1129"/>
      <c r="F53" s="1129"/>
      <c r="G53" s="1129"/>
      <c r="H53" s="1130"/>
      <c r="I53" s="1109">
        <f>IF(I51&gt;0,Skemaoplysninger!U107,0)</f>
        <v>0</v>
      </c>
      <c r="J53" s="1126"/>
      <c r="K53" s="1127"/>
      <c r="L53" s="377"/>
      <c r="M53" s="1036"/>
      <c r="N53" s="1037"/>
      <c r="O53" s="1037"/>
      <c r="P53" s="1037"/>
      <c r="Q53" s="1037"/>
      <c r="R53" s="1037"/>
      <c r="S53" s="1037"/>
      <c r="T53" s="1037"/>
      <c r="U53" s="1038"/>
      <c r="V53" s="1170"/>
      <c r="W53" s="1170"/>
      <c r="X53" s="1171"/>
      <c r="Y53"/>
      <c r="Z53" s="233"/>
      <c r="AA53" s="233"/>
      <c r="AG53" s="87"/>
      <c r="AH53" s="87"/>
      <c r="BA53" s="233"/>
      <c r="BO53" s="1"/>
      <c r="CL53" s="1"/>
      <c r="CV53" s="242"/>
      <c r="CW53" s="242"/>
      <c r="CY53"/>
      <c r="CZ53"/>
    </row>
    <row r="54" spans="1:110">
      <c r="A54" s="1095" t="s">
        <v>288</v>
      </c>
      <c r="B54" s="1096"/>
      <c r="C54" s="1096"/>
      <c r="D54" s="1096"/>
      <c r="E54" s="1096"/>
      <c r="F54" s="1096"/>
      <c r="G54" s="1096"/>
      <c r="H54" s="1096"/>
      <c r="I54" s="1097">
        <f>V44+X44+R109-GP44+T109</f>
        <v>0</v>
      </c>
      <c r="J54" s="1098"/>
      <c r="K54" s="1099"/>
      <c r="L54" s="235"/>
      <c r="M54" s="1036"/>
      <c r="N54" s="1037"/>
      <c r="O54" s="1037"/>
      <c r="P54" s="1037"/>
      <c r="Q54" s="1037"/>
      <c r="R54" s="1037"/>
      <c r="S54" s="1037"/>
      <c r="T54" s="1037"/>
      <c r="U54" s="1038"/>
      <c r="V54" s="1039"/>
      <c r="W54" s="1040"/>
      <c r="X54" s="1041"/>
      <c r="Y54"/>
      <c r="Z54" s="233"/>
      <c r="AA54" s="233"/>
      <c r="AE54" s="87"/>
      <c r="AG54" s="87"/>
      <c r="BN54" s="1"/>
      <c r="CK54" s="1"/>
      <c r="CV54" s="242"/>
      <c r="CW54" s="242"/>
      <c r="CY54"/>
      <c r="CZ54"/>
    </row>
    <row r="55" spans="1:110" ht="17" thickBot="1">
      <c r="A55" s="255" t="str">
        <f>"Faktisk arbejdstid ialt i "&amp;A12&amp;" måned"</f>
        <v>Faktisk arbejdstid ialt i Juni måned</v>
      </c>
      <c r="B55" s="307"/>
      <c r="C55" s="308"/>
      <c r="D55" s="308"/>
      <c r="E55" s="308"/>
      <c r="F55" s="308"/>
      <c r="G55" s="308"/>
      <c r="H55" s="309"/>
      <c r="I55" s="1131">
        <f>I51+I54+I53+I52</f>
        <v>172.51</v>
      </c>
      <c r="J55" s="1132"/>
      <c r="K55" s="1133"/>
      <c r="L55" s="235"/>
      <c r="M55" s="1036"/>
      <c r="N55" s="1037"/>
      <c r="O55" s="1037"/>
      <c r="P55" s="1037"/>
      <c r="Q55" s="1037"/>
      <c r="R55" s="1037"/>
      <c r="S55" s="1037"/>
      <c r="T55" s="1037"/>
      <c r="U55" s="1038"/>
      <c r="V55" s="1039"/>
      <c r="W55" s="1040"/>
      <c r="X55" s="1041"/>
      <c r="Y55" s="233"/>
      <c r="Z55" s="233"/>
      <c r="AA55" s="211"/>
      <c r="AB55" s="241"/>
      <c r="AC55" s="241"/>
      <c r="AD55" s="241"/>
      <c r="AE55" s="233"/>
      <c r="AF55" s="241"/>
      <c r="AH55" s="233"/>
      <c r="AI55" s="233"/>
      <c r="AM55" s="87"/>
      <c r="AN55" s="87"/>
      <c r="BU55" s="1"/>
      <c r="CR55" s="1"/>
      <c r="CY55"/>
      <c r="CZ55"/>
      <c r="DC55" s="242"/>
      <c r="DD55" s="242"/>
    </row>
    <row r="56" spans="1:110" ht="17" thickBot="1">
      <c r="A56" s="249"/>
      <c r="B56" s="249"/>
      <c r="C56" s="249"/>
      <c r="D56" s="249"/>
      <c r="E56" s="249"/>
      <c r="F56" s="249"/>
      <c r="G56" s="249"/>
      <c r="H56" s="249"/>
      <c r="I56" s="507"/>
      <c r="J56" s="507"/>
      <c r="K56" s="507"/>
      <c r="L56" s="485"/>
      <c r="M56" s="1036"/>
      <c r="N56" s="1037"/>
      <c r="O56" s="1037"/>
      <c r="P56" s="1037"/>
      <c r="Q56" s="1037"/>
      <c r="R56" s="1037"/>
      <c r="S56" s="1037"/>
      <c r="T56" s="1037"/>
      <c r="U56" s="1038"/>
      <c r="V56" s="1039"/>
      <c r="W56" s="1040"/>
      <c r="X56" s="1041"/>
      <c r="Y56" s="233"/>
      <c r="Z56" s="233"/>
      <c r="AA56" s="233"/>
      <c r="AB56" s="233"/>
      <c r="AC56" s="211"/>
      <c r="AD56" s="241"/>
      <c r="AE56" s="241"/>
      <c r="AF56" s="241"/>
      <c r="AG56" s="241"/>
      <c r="AH56" s="233"/>
      <c r="AJ56" s="233"/>
      <c r="AK56" s="233"/>
      <c r="AO56" s="87"/>
      <c r="AP56" s="87"/>
      <c r="BW56" s="1"/>
      <c r="CT56" s="1"/>
      <c r="CY56"/>
      <c r="CZ56"/>
      <c r="DE56" s="242"/>
      <c r="DF56" s="242"/>
    </row>
    <row r="57" spans="1:110" ht="26" thickBot="1">
      <c r="A57" s="1086" t="s">
        <v>463</v>
      </c>
      <c r="B57" s="1087"/>
      <c r="C57" s="1087"/>
      <c r="D57" s="1087"/>
      <c r="E57" s="1087"/>
      <c r="F57" s="1087"/>
      <c r="G57" s="1087"/>
      <c r="H57" s="681" t="s">
        <v>608</v>
      </c>
      <c r="I57" s="1087" t="s">
        <v>462</v>
      </c>
      <c r="J57" s="1087"/>
      <c r="K57" s="1089"/>
      <c r="L57" s="485"/>
      <c r="M57" s="1155" t="s">
        <v>291</v>
      </c>
      <c r="N57" s="1156"/>
      <c r="O57" s="1156"/>
      <c r="P57" s="1156"/>
      <c r="Q57" s="1156"/>
      <c r="R57" s="1156"/>
      <c r="S57" s="1156"/>
      <c r="T57" s="1156"/>
      <c r="U57" s="1157"/>
      <c r="V57" s="1247">
        <f>V50-SUM(V53:X56)</f>
        <v>1.5</v>
      </c>
      <c r="W57" s="1248"/>
      <c r="X57" s="1249"/>
      <c r="Y57" s="233"/>
      <c r="Z57" s="233"/>
      <c r="AA57" s="233"/>
      <c r="AB57" s="233"/>
      <c r="AC57" s="211"/>
      <c r="AD57" s="241"/>
      <c r="AE57" s="241"/>
      <c r="AF57" s="241"/>
      <c r="AG57" s="241"/>
      <c r="AH57" s="233"/>
      <c r="AJ57" s="233"/>
      <c r="AK57" s="233"/>
      <c r="AO57" s="87"/>
      <c r="AP57" s="87"/>
      <c r="BW57" s="1"/>
      <c r="CT57" s="1"/>
      <c r="CY57"/>
      <c r="CZ57"/>
      <c r="DE57" s="242"/>
      <c r="DF57" s="242"/>
    </row>
    <row r="58" spans="1:110" ht="16" customHeight="1">
      <c r="A58" s="1121"/>
      <c r="B58" s="1122"/>
      <c r="C58" s="1122"/>
      <c r="D58" s="1122"/>
      <c r="E58" s="1122"/>
      <c r="F58" s="1122"/>
      <c r="G58" s="1122"/>
      <c r="H58" s="589">
        <f>Maj!H67</f>
        <v>0</v>
      </c>
      <c r="I58" s="1250">
        <f>Maj!I67</f>
        <v>0</v>
      </c>
      <c r="J58" s="1250"/>
      <c r="K58" s="1251"/>
      <c r="L58" s="485"/>
      <c r="M58" s="508"/>
      <c r="N58" s="508"/>
      <c r="O58" s="508"/>
      <c r="P58" s="508"/>
      <c r="Q58" s="509"/>
      <c r="R58" s="510"/>
      <c r="S58" s="510"/>
      <c r="T58" s="510"/>
      <c r="U58" s="510"/>
      <c r="V58" s="508"/>
      <c r="W58" s="511"/>
      <c r="X58" s="508"/>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235" t="s">
        <v>466</v>
      </c>
      <c r="B59" s="1236"/>
      <c r="C59" s="1236"/>
      <c r="D59" s="1236"/>
      <c r="E59" s="1236"/>
      <c r="F59" s="1236"/>
      <c r="G59" s="1237"/>
      <c r="H59" s="587"/>
      <c r="I59" s="1238"/>
      <c r="J59" s="1239"/>
      <c r="K59" s="1240"/>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37" customHeight="1">
      <c r="A60" s="1033" t="s">
        <v>609</v>
      </c>
      <c r="B60" s="1034"/>
      <c r="C60" s="1034"/>
      <c r="D60" s="1034"/>
      <c r="E60" s="1034"/>
      <c r="F60" s="1034"/>
      <c r="G60" s="1034"/>
      <c r="H60" s="1034"/>
      <c r="I60" s="1034"/>
      <c r="J60" s="1034"/>
      <c r="K60" s="1035"/>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5" customHeight="1">
      <c r="A61" s="1079" t="s">
        <v>610</v>
      </c>
      <c r="B61" s="1080"/>
      <c r="C61" s="1052" t="s">
        <v>492</v>
      </c>
      <c r="D61" s="1053"/>
      <c r="E61" s="1081" t="s">
        <v>493</v>
      </c>
      <c r="F61" s="1034"/>
      <c r="G61" s="1082"/>
      <c r="H61" s="1083" t="s">
        <v>464</v>
      </c>
      <c r="I61" s="1083"/>
      <c r="J61" s="1083"/>
      <c r="K61" s="1084"/>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c r="A62" s="1050"/>
      <c r="B62" s="1051"/>
      <c r="C62" s="1026"/>
      <c r="D62" s="1025"/>
      <c r="E62" s="1021"/>
      <c r="F62" s="1022"/>
      <c r="G62" s="1023"/>
      <c r="H62" s="588"/>
      <c r="I62" s="1019"/>
      <c r="J62" s="1019"/>
      <c r="K62" s="1020"/>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024"/>
      <c r="B63" s="1025"/>
      <c r="C63" s="1026"/>
      <c r="D63" s="1025"/>
      <c r="E63" s="1021"/>
      <c r="F63" s="1022"/>
      <c r="G63" s="1023"/>
      <c r="H63" s="588"/>
      <c r="I63" s="1019"/>
      <c r="J63" s="1019"/>
      <c r="K63" s="1020"/>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1024"/>
      <c r="B64" s="1025"/>
      <c r="C64" s="1026"/>
      <c r="D64" s="1025"/>
      <c r="E64" s="1021"/>
      <c r="F64" s="1022"/>
      <c r="G64" s="1023"/>
      <c r="H64" s="588"/>
      <c r="I64" s="1019"/>
      <c r="J64" s="1019"/>
      <c r="K64" s="1020"/>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c r="A65" s="1024"/>
      <c r="B65" s="1025"/>
      <c r="C65" s="1026"/>
      <c r="D65" s="1025"/>
      <c r="E65" s="1021"/>
      <c r="F65" s="1022"/>
      <c r="G65" s="1023"/>
      <c r="H65" s="588"/>
      <c r="I65" s="1019"/>
      <c r="J65" s="1019"/>
      <c r="K65" s="1020"/>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ht="17" thickBot="1">
      <c r="A66" s="1054" t="s">
        <v>465</v>
      </c>
      <c r="B66" s="1055"/>
      <c r="C66" s="1056"/>
      <c r="D66" s="1056"/>
      <c r="E66" s="1056"/>
      <c r="F66" s="1056"/>
      <c r="G66" s="1056"/>
      <c r="H66" s="590">
        <f>H59+H58-SUM(H62:H65)</f>
        <v>0</v>
      </c>
      <c r="I66" s="1063">
        <f>I58+I59-SUM(I62:K65)</f>
        <v>0</v>
      </c>
      <c r="J66" s="1064"/>
      <c r="K66" s="1065"/>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0" hidden="1">
      <c r="A67" s="427"/>
      <c r="B67" s="427"/>
      <c r="C67" s="427"/>
      <c r="D67" s="427"/>
      <c r="E67" s="427"/>
      <c r="F67" s="427"/>
      <c r="G67" s="427"/>
      <c r="H67" s="437"/>
      <c r="I67" s="491"/>
      <c r="J67" s="491"/>
      <c r="K67" s="481"/>
      <c r="L67" s="635"/>
      <c r="M67" s="635"/>
      <c r="N67" s="635"/>
      <c r="O67" s="635"/>
      <c r="P67" s="635"/>
      <c r="Q67" s="509"/>
      <c r="R67" s="510"/>
      <c r="S67" s="510"/>
      <c r="T67" s="510"/>
      <c r="U67" s="510"/>
      <c r="V67" s="508" t="s">
        <v>538</v>
      </c>
      <c r="W67" s="511"/>
      <c r="X67" s="508"/>
      <c r="Y67"/>
      <c r="Z67"/>
      <c r="AA67" s="87"/>
      <c r="AB67" s="87"/>
      <c r="BI67" s="1"/>
      <c r="CF67" s="1"/>
      <c r="CQ67" s="242"/>
      <c r="CR67" s="242"/>
      <c r="CY67"/>
      <c r="CZ67"/>
    </row>
    <row r="68" spans="1:110" hidden="1">
      <c r="A68" s="120" t="s">
        <v>203</v>
      </c>
      <c r="B68" s="120"/>
      <c r="C68" s="120"/>
      <c r="D68" s="120">
        <f>COUNTIF([0]!Juni,"Skema 1")</f>
        <v>18</v>
      </c>
      <c r="E68" s="383"/>
      <c r="F68" s="120" t="s">
        <v>183</v>
      </c>
      <c r="G68" s="120">
        <f>COUNTIFS($B$14:$B$43,"ma",[0]!Juni,"Skema 1")</f>
        <v>3</v>
      </c>
      <c r="H68" s="120"/>
      <c r="I68" s="496"/>
      <c r="J68" s="635"/>
      <c r="K68" s="635"/>
      <c r="L68" s="496"/>
      <c r="M68" s="636"/>
      <c r="N68" s="635"/>
      <c r="O68" s="636"/>
      <c r="P68" s="654" t="s">
        <v>551</v>
      </c>
      <c r="Q68" s="656" t="s">
        <v>562</v>
      </c>
      <c r="R68" s="225"/>
      <c r="S68" s="225"/>
      <c r="T68" s="225"/>
      <c r="U68" s="225"/>
      <c r="V68" s="225"/>
      <c r="W68" s="115"/>
      <c r="X68" s="115"/>
      <c r="Y68"/>
      <c r="Z68"/>
      <c r="AA68" s="87"/>
      <c r="AB68" s="87"/>
      <c r="BI68" s="1"/>
      <c r="CF68" s="1"/>
      <c r="CQ68" s="242"/>
      <c r="CR68" s="242"/>
      <c r="CY68"/>
      <c r="CZ68"/>
    </row>
    <row r="69" spans="1:110" hidden="1">
      <c r="A69" s="1272" t="s">
        <v>204</v>
      </c>
      <c r="B69" s="1272"/>
      <c r="C69" s="1272"/>
      <c r="D69" s="120">
        <f>COUNTIF([0]!Juni,"Skema 2")</f>
        <v>0</v>
      </c>
      <c r="E69" s="383"/>
      <c r="F69" s="120" t="s">
        <v>184</v>
      </c>
      <c r="G69" s="120">
        <f>COUNTIFS($B$14:$B$43,"ti",[0]!Juni,"Skema 1")</f>
        <v>4</v>
      </c>
      <c r="H69" s="120"/>
      <c r="I69" s="496" t="s">
        <v>552</v>
      </c>
      <c r="J69" s="635"/>
      <c r="K69" s="496"/>
      <c r="L69" s="638"/>
      <c r="M69" s="636"/>
      <c r="N69" s="636"/>
      <c r="O69" s="639"/>
      <c r="P69" s="654">
        <f>IF(Stamoplysninger!$B$27="Ulempetillæg udbetales med 25% af nettotimelønnen.",SUM(DO44:DR44)-SUM(DS44:DV44),0)</f>
        <v>1.25</v>
      </c>
      <c r="Q69" s="656"/>
      <c r="R69" s="730"/>
      <c r="S69" s="225"/>
      <c r="T69" s="225"/>
      <c r="U69" s="225"/>
      <c r="V69" s="225"/>
      <c r="W69" s="115"/>
      <c r="X69" s="115"/>
      <c r="Y69"/>
      <c r="Z69"/>
      <c r="AA69" s="87"/>
      <c r="AB69" s="87"/>
      <c r="BI69" s="1"/>
      <c r="CF69" s="1"/>
      <c r="CQ69" s="242"/>
      <c r="CR69" s="242"/>
      <c r="CY69"/>
      <c r="CZ69"/>
    </row>
    <row r="70" spans="1:110" hidden="1">
      <c r="A70" s="1271" t="s">
        <v>205</v>
      </c>
      <c r="B70" s="1271"/>
      <c r="C70" s="1271"/>
      <c r="D70" s="483">
        <f>COUNTIF([0]!Juni,"Skema 3")</f>
        <v>0</v>
      </c>
      <c r="E70" s="484"/>
      <c r="F70" s="483" t="s">
        <v>185</v>
      </c>
      <c r="G70" s="483">
        <f>COUNTIFS($B$14:$B$43,"on",[0]!Juni,"Skema 1")</f>
        <v>4</v>
      </c>
      <c r="H70" s="483"/>
      <c r="I70" s="653" t="s">
        <v>553</v>
      </c>
      <c r="J70" s="635"/>
      <c r="K70" s="496"/>
      <c r="L70" s="638"/>
      <c r="M70" s="636"/>
      <c r="N70" s="636"/>
      <c r="O70" s="636"/>
      <c r="P70" s="654"/>
      <c r="Q70" s="656">
        <f>IF(Stamoplysninger!$B$27="Ulempetillæg afspadseres med 25%(Kræver en aftale imellem ledelsen og den ansatte)",DW44+DX44+DY44+DZ44-EA44-EB44-EC44-ED44,0)</f>
        <v>0</v>
      </c>
      <c r="R70" s="731"/>
      <c r="S70" s="225"/>
      <c r="T70" s="225"/>
      <c r="U70" s="225"/>
      <c r="V70" s="225"/>
      <c r="W70" s="115"/>
      <c r="X70" s="115"/>
      <c r="Y70"/>
      <c r="Z70"/>
      <c r="AA70" s="87"/>
      <c r="AB70" s="87"/>
      <c r="BI70" s="1"/>
      <c r="CF70" s="1"/>
      <c r="CQ70" s="242"/>
      <c r="CR70" s="242"/>
      <c r="CY70"/>
      <c r="CZ70"/>
    </row>
    <row r="71" spans="1:110" hidden="1">
      <c r="A71" s="1271" t="s">
        <v>206</v>
      </c>
      <c r="B71" s="1271"/>
      <c r="C71" s="1271"/>
      <c r="D71" s="483">
        <f>COUNTIF([0]!Juni,"Skema 4")</f>
        <v>0</v>
      </c>
      <c r="E71" s="484"/>
      <c r="F71" s="483" t="s">
        <v>187</v>
      </c>
      <c r="G71" s="483">
        <f>COUNTIFS($B$14:$B$43,"to",[0]!Juni,"Skema 1")</f>
        <v>4</v>
      </c>
      <c r="H71" s="483"/>
      <c r="I71" s="653" t="s">
        <v>554</v>
      </c>
      <c r="J71" s="635"/>
      <c r="K71" s="496"/>
      <c r="L71" s="638"/>
      <c r="M71" s="641"/>
      <c r="N71" s="641"/>
      <c r="O71" s="4"/>
      <c r="P71" s="654"/>
      <c r="Q71" s="656"/>
      <c r="R71" s="225"/>
      <c r="S71" s="225"/>
      <c r="T71" s="225"/>
      <c r="U71" s="225"/>
      <c r="V71" s="225"/>
      <c r="W71" s="115"/>
      <c r="X71" s="115"/>
      <c r="Y71" s="233"/>
      <c r="Z71" s="233"/>
      <c r="AA71" s="233"/>
      <c r="AB71" s="211"/>
      <c r="AC71" s="241"/>
      <c r="AD71" s="241"/>
      <c r="AE71" s="241"/>
      <c r="AF71" s="241"/>
      <c r="AG71" s="233"/>
      <c r="AI71" s="233"/>
      <c r="AJ71" s="233"/>
      <c r="AN71" s="87"/>
      <c r="AO71" s="87"/>
      <c r="BV71" s="1"/>
      <c r="CS71" s="1"/>
      <c r="CY71"/>
      <c r="CZ71"/>
      <c r="DD71" s="242"/>
      <c r="DE71" s="242"/>
    </row>
    <row r="72" spans="1:110" hidden="1">
      <c r="A72" s="483" t="s">
        <v>111</v>
      </c>
      <c r="B72" s="483"/>
      <c r="C72" s="483"/>
      <c r="D72" s="483">
        <f>COUNTIF([0]!Juni,"Fagdag")+COUNTIF([0]!Juni,"emnedag")</f>
        <v>1</v>
      </c>
      <c r="E72" s="484"/>
      <c r="F72" s="483" t="s">
        <v>186</v>
      </c>
      <c r="G72" s="483">
        <f>COUNTIFS($B$14:$B$43,"fr",[0]!Juni,"Skema 1")</f>
        <v>3</v>
      </c>
      <c r="H72" s="483"/>
      <c r="I72" s="638" t="s">
        <v>555</v>
      </c>
      <c r="J72" s="635"/>
      <c r="K72" s="496"/>
      <c r="L72" s="638"/>
      <c r="M72" s="641"/>
      <c r="N72" s="641"/>
      <c r="O72" s="4"/>
      <c r="P72" s="654"/>
      <c r="Q72" s="656">
        <f>IF(Stamoplysninger!$B$31="Weekendtimer og weekendtillæg afspadseres.",EE44+EF44-EG44-EH44+EI44+EJ44,0)</f>
        <v>0</v>
      </c>
      <c r="R72" s="733"/>
      <c r="S72" s="225"/>
      <c r="T72" s="225"/>
      <c r="U72" s="225"/>
      <c r="V72" s="225"/>
      <c r="W72" s="115"/>
      <c r="X72" s="115"/>
      <c r="Y72" s="233"/>
      <c r="Z72" s="233"/>
      <c r="AA72" s="233"/>
      <c r="AB72" s="211"/>
      <c r="AC72" s="241"/>
      <c r="AD72" s="241"/>
      <c r="AE72" s="241"/>
      <c r="AF72" s="211"/>
      <c r="AG72" s="233"/>
      <c r="AI72" s="233"/>
      <c r="AJ72" s="233"/>
      <c r="AN72" s="87"/>
      <c r="AO72" s="87"/>
      <c r="BV72" s="1"/>
      <c r="CS72" s="1"/>
      <c r="CY72"/>
      <c r="CZ72"/>
      <c r="DD72" s="242"/>
      <c r="DE72" s="242"/>
    </row>
    <row r="73" spans="1:110" hidden="1">
      <c r="A73" s="487" t="s">
        <v>110</v>
      </c>
      <c r="B73" s="483"/>
      <c r="C73" s="483"/>
      <c r="D73" s="483">
        <f>COUNTIF([0]!Juni,"Lejrskole")+COUNTIF([0]!Juni,"Ekskursion")</f>
        <v>0</v>
      </c>
      <c r="E73" s="484"/>
      <c r="F73" s="483"/>
      <c r="G73" s="483"/>
      <c r="H73" s="483"/>
      <c r="I73" s="638" t="s">
        <v>556</v>
      </c>
      <c r="J73" s="638"/>
      <c r="K73" s="638"/>
      <c r="L73" s="638"/>
      <c r="M73" s="642"/>
      <c r="N73" s="642"/>
      <c r="O73" s="4"/>
      <c r="P73" s="655">
        <f>IF(Stamoplysninger!$B$31="Weekendtimer og weekendtillæg udbetales.",EM44+EN44-EO44-EP44+EQ44+ER44,0)</f>
        <v>0</v>
      </c>
      <c r="Q73" s="656"/>
      <c r="R73" s="735"/>
      <c r="S73" s="225"/>
      <c r="T73" s="225"/>
      <c r="U73" s="225"/>
      <c r="V73" s="225"/>
      <c r="W73" s="115"/>
      <c r="X73" s="115"/>
      <c r="Y73" s="233"/>
      <c r="Z73" s="233"/>
      <c r="AA73" s="233"/>
      <c r="AB73" s="211"/>
      <c r="AC73" s="241"/>
      <c r="AD73" s="241"/>
      <c r="AE73" s="241"/>
      <c r="AF73" s="211"/>
      <c r="AG73" s="233"/>
      <c r="AI73" s="233"/>
      <c r="AJ73" s="233"/>
      <c r="AN73" s="87"/>
      <c r="AO73" s="87"/>
      <c r="BV73" s="1"/>
      <c r="CS73" s="1"/>
      <c r="CY73"/>
      <c r="CZ73"/>
      <c r="DD73" s="242"/>
      <c r="DE73" s="242"/>
    </row>
    <row r="74" spans="1:110" hidden="1">
      <c r="A74" s="483" t="s">
        <v>109</v>
      </c>
      <c r="B74" s="483"/>
      <c r="C74" s="483"/>
      <c r="D74" s="483">
        <f>COUNTIF([0]!Juni,"Pæd.dag")</f>
        <v>2</v>
      </c>
      <c r="E74" s="484"/>
      <c r="F74" s="483" t="s">
        <v>188</v>
      </c>
      <c r="G74" s="483">
        <f>COUNTIFS($B$14:$B$43,"ma",[0]!Juni,"Skema 2")</f>
        <v>0</v>
      </c>
      <c r="H74" s="483"/>
      <c r="I74" s="638" t="s">
        <v>557</v>
      </c>
      <c r="J74" s="638"/>
      <c r="K74" s="638"/>
      <c r="L74" s="638"/>
      <c r="M74" s="642"/>
      <c r="N74" s="642"/>
      <c r="O74" s="4"/>
      <c r="P74" s="654"/>
      <c r="Q74" s="656"/>
      <c r="R74" s="225"/>
      <c r="S74" s="225"/>
      <c r="T74" s="225"/>
      <c r="U74" s="225"/>
      <c r="V74" s="225"/>
      <c r="W74" s="115"/>
      <c r="X74" s="115"/>
      <c r="Y74" s="233"/>
      <c r="Z74" s="233"/>
      <c r="AA74" s="233"/>
      <c r="AB74" s="211"/>
      <c r="AC74" s="241"/>
      <c r="AD74" s="241"/>
      <c r="AE74" s="241"/>
      <c r="AF74" s="211"/>
      <c r="AG74" s="233"/>
      <c r="AI74" s="233"/>
      <c r="AJ74" s="233"/>
      <c r="AN74" s="87"/>
      <c r="AO74" s="87"/>
      <c r="BV74" s="1"/>
      <c r="CS74" s="1"/>
      <c r="CY74"/>
      <c r="CZ74"/>
      <c r="DD74" s="242"/>
      <c r="DE74" s="242"/>
    </row>
    <row r="75" spans="1:110" hidden="1">
      <c r="A75" s="483" t="s">
        <v>118</v>
      </c>
      <c r="B75" s="483"/>
      <c r="C75" s="483"/>
      <c r="D75" s="483">
        <f>COUNTIF([0]!Juni,"Weekend")</f>
        <v>8</v>
      </c>
      <c r="E75" s="484"/>
      <c r="F75" s="483" t="s">
        <v>189</v>
      </c>
      <c r="G75" s="483">
        <f>COUNTIFS($B$14:$B$43,"ti",[0]!Juni,"Skema 2")</f>
        <v>0</v>
      </c>
      <c r="H75" s="483"/>
      <c r="I75" s="638" t="s">
        <v>558</v>
      </c>
      <c r="J75" s="638"/>
      <c r="K75" s="638"/>
      <c r="L75" s="638"/>
      <c r="M75" s="643"/>
      <c r="N75" s="643"/>
      <c r="O75" s="4"/>
      <c r="P75" s="654"/>
      <c r="Q75" s="657">
        <f>IF(Stamoplysninger!$B$31="Der er indgået lokalaftale omkring weekendtimer.(Kræver aftale med TR/FSL) Weekendtillæg afspadseres.",EU44+EV44-EW44-EX44,0)</f>
        <v>0</v>
      </c>
      <c r="R75" s="737"/>
      <c r="S75" s="225"/>
      <c r="T75" s="225"/>
      <c r="U75" s="225"/>
      <c r="V75" s="225"/>
      <c r="W75" s="115"/>
      <c r="X75" s="115"/>
      <c r="Y75"/>
      <c r="Z75"/>
      <c r="AM75" s="1"/>
      <c r="BJ75" s="1"/>
      <c r="BU75" s="242"/>
      <c r="BV75" s="242"/>
      <c r="CY75"/>
      <c r="CZ75"/>
    </row>
    <row r="76" spans="1:110" hidden="1">
      <c r="A76" s="483" t="s">
        <v>125</v>
      </c>
      <c r="B76" s="483"/>
      <c r="C76" s="483"/>
      <c r="D76" s="483">
        <f>COUNTIF([0]!Juni,"SH-dag")</f>
        <v>0</v>
      </c>
      <c r="E76" s="484"/>
      <c r="F76" s="483" t="s">
        <v>190</v>
      </c>
      <c r="G76" s="483">
        <f>COUNTIFS($B$14:$B$43,"on",[0]!Juni,"Skema 2")</f>
        <v>0</v>
      </c>
      <c r="H76" s="483"/>
      <c r="I76" s="638" t="s">
        <v>559</v>
      </c>
      <c r="J76" s="638"/>
      <c r="K76" s="638"/>
      <c r="L76" s="638"/>
      <c r="M76" s="643"/>
      <c r="N76" s="643"/>
      <c r="O76" s="4"/>
      <c r="P76" s="654">
        <f>IF(Stamoplysninger!$B$31="Der er indgået lokalaftale omkring weekendtimer(Kræver aftale med TR/FSL). Weekendtillæg udbetales.",EY44+EZ44-FA44-FB44,0)</f>
        <v>0</v>
      </c>
      <c r="Q76" s="656"/>
      <c r="R76" s="739"/>
      <c r="S76" s="225"/>
      <c r="T76" s="225"/>
      <c r="U76" s="225"/>
      <c r="V76" s="225"/>
      <c r="W76" s="115"/>
      <c r="X76" s="115"/>
      <c r="Y76"/>
      <c r="Z76"/>
      <c r="AM76" s="1"/>
      <c r="BJ76" s="1"/>
      <c r="BU76" s="242"/>
      <c r="BV76" s="242"/>
      <c r="CY76"/>
      <c r="CZ76"/>
    </row>
    <row r="77" spans="1:110" hidden="1">
      <c r="A77" s="483" t="s">
        <v>108</v>
      </c>
      <c r="B77" s="483"/>
      <c r="C77" s="483"/>
      <c r="D77" s="483">
        <f>COUNTIF([0]!Juni,"Feriedag")</f>
        <v>0</v>
      </c>
      <c r="E77" s="484"/>
      <c r="F77" s="483" t="s">
        <v>191</v>
      </c>
      <c r="G77" s="483">
        <f>COUNTIFS($B$14:$B$43,"to",[0]!Juni,"Skema 2")</f>
        <v>0</v>
      </c>
      <c r="H77" s="483"/>
      <c r="I77" s="638" t="s">
        <v>560</v>
      </c>
      <c r="J77" s="638"/>
      <c r="K77" s="638"/>
      <c r="L77" s="638"/>
      <c r="M77" s="643"/>
      <c r="N77" s="643"/>
      <c r="O77" s="4"/>
      <c r="P77" s="654"/>
      <c r="Q77" s="610">
        <f>IF(Stamoplysninger!$B$31="Der er indgået lokalaftale omkring weekendtillæg(Kræver aftale med TR/FSL). Weekendtimerne afspadseres.",FC44+FD44-FE44-FF44,0)</f>
        <v>0</v>
      </c>
      <c r="R77" s="741"/>
      <c r="S77" s="38"/>
      <c r="T77" s="38"/>
      <c r="Y77"/>
      <c r="Z77"/>
      <c r="AM77" s="1"/>
      <c r="BJ77" s="1"/>
      <c r="BU77" s="242"/>
      <c r="BV77" s="242"/>
      <c r="CY77"/>
      <c r="CZ77"/>
    </row>
    <row r="78" spans="1:110" hidden="1">
      <c r="A78" s="483" t="s">
        <v>175</v>
      </c>
      <c r="B78" s="483"/>
      <c r="C78" s="483"/>
      <c r="D78" s="483">
        <f>COUNTIF([0]!Juni,"Nul-dag")</f>
        <v>1</v>
      </c>
      <c r="E78" s="484"/>
      <c r="F78" s="483" t="s">
        <v>192</v>
      </c>
      <c r="G78" s="483">
        <f>COUNTIFS($B$14:$B$43,"fr",[0]!Juni,"Skema 2")</f>
        <v>0</v>
      </c>
      <c r="H78" s="483"/>
      <c r="I78" s="638" t="s">
        <v>561</v>
      </c>
      <c r="J78" s="638"/>
      <c r="K78" s="638"/>
      <c r="L78" s="638"/>
      <c r="M78" s="643"/>
      <c r="N78" s="643"/>
      <c r="O78" s="4"/>
      <c r="P78" s="654">
        <f>IF(Stamoplysninger!$B$31="Der er indgået lokalaftale omkring weekendtillæg(Kræver aftale med TR/FSL). Weekendtimerne udbetales.",FG44+FH44-FI44-FJ44,0)</f>
        <v>0</v>
      </c>
      <c r="Q78" s="610"/>
      <c r="R78" s="742"/>
      <c r="V78" t="s">
        <v>612</v>
      </c>
      <c r="Y78"/>
      <c r="Z78"/>
      <c r="AM78" s="1"/>
      <c r="BJ78" s="1"/>
      <c r="BU78" s="242"/>
      <c r="BV78" s="242"/>
      <c r="CY78"/>
      <c r="CZ78"/>
    </row>
    <row r="79" spans="1:110" hidden="1">
      <c r="A79" s="483" t="s">
        <v>406</v>
      </c>
      <c r="B79" s="483"/>
      <c r="C79" s="483"/>
      <c r="D79" s="483">
        <f>COUNTIF([0]!Juni,"Orlov")</f>
        <v>0</v>
      </c>
      <c r="E79" s="484"/>
      <c r="F79" s="489"/>
      <c r="G79" s="489"/>
      <c r="H79" s="489"/>
      <c r="I79" s="638" t="s">
        <v>567</v>
      </c>
      <c r="J79" s="638"/>
      <c r="K79" s="638"/>
      <c r="L79" s="638"/>
      <c r="M79" s="644"/>
      <c r="N79" s="644"/>
      <c r="O79" s="4"/>
      <c r="P79" s="637"/>
      <c r="R79" s="727">
        <f>IF(AND(C14="ikke relevant",S14="X"),V14*-1,0)</f>
        <v>0</v>
      </c>
      <c r="T79" s="727">
        <f>IF(AND(C14="ikke relevant",U14="X"),X14*-1,0)</f>
        <v>0</v>
      </c>
      <c r="V79">
        <f>IF(AND(C14="ikke relevant",H14&gt;""),R14*-1,0)</f>
        <v>0</v>
      </c>
      <c r="Y79"/>
      <c r="Z79"/>
      <c r="AM79" s="1"/>
      <c r="BJ79" s="1"/>
      <c r="BU79" s="242"/>
      <c r="BV79" s="242"/>
      <c r="CY79"/>
      <c r="CZ79"/>
    </row>
    <row r="80" spans="1:110" hidden="1">
      <c r="A80" s="483" t="s">
        <v>158</v>
      </c>
      <c r="B80" s="483"/>
      <c r="C80" s="483"/>
      <c r="D80" s="483">
        <f>COUNTIF([0]!Juni,"Ikke relevant")</f>
        <v>0</v>
      </c>
      <c r="E80" s="484"/>
      <c r="F80" s="483" t="s">
        <v>193</v>
      </c>
      <c r="G80" s="483">
        <f>COUNTIFS($B$14:$B$43,"ma",[0]!Juni,"Skema 3")</f>
        <v>0</v>
      </c>
      <c r="H80" s="483"/>
      <c r="I80" s="638"/>
      <c r="J80" s="638"/>
      <c r="K80" s="638"/>
      <c r="L80" s="496"/>
      <c r="M80" s="644"/>
      <c r="N80" s="644"/>
      <c r="O80" s="4"/>
      <c r="P80" s="637"/>
      <c r="R80" s="727">
        <f t="shared" ref="R80:R108" si="44">IF(AND(C15="ikke relevant",S15="X"),V15*-1,0)</f>
        <v>0</v>
      </c>
      <c r="T80" s="727">
        <f t="shared" ref="T80:T107" si="45">IF(AND(C15="ikke relevant",U15="X"),X15*-1,0)</f>
        <v>0</v>
      </c>
      <c r="V80">
        <f t="shared" ref="V80:V107" si="46">IF(AND(C15="ikke relevant",H15&gt;""),R15*-1,0)</f>
        <v>0</v>
      </c>
      <c r="Y80"/>
      <c r="Z80"/>
      <c r="AM80" s="1"/>
      <c r="BJ80" s="1"/>
      <c r="BU80" s="242"/>
      <c r="BV80" s="242"/>
      <c r="CY80"/>
      <c r="CZ80"/>
    </row>
    <row r="81" spans="1:104" hidden="1">
      <c r="A81" s="483" t="s">
        <v>107</v>
      </c>
      <c r="B81" s="483"/>
      <c r="C81" s="483"/>
      <c r="D81" s="483">
        <f>SUM(D68:D80)</f>
        <v>30</v>
      </c>
      <c r="E81" s="483"/>
      <c r="F81" s="483" t="s">
        <v>194</v>
      </c>
      <c r="G81" s="483">
        <f>COUNTIFS($B$14:$B$43,"ti",[0]!Juni,"Skema 3")</f>
        <v>0</v>
      </c>
      <c r="H81" s="483"/>
      <c r="I81" s="638"/>
      <c r="J81" s="638"/>
      <c r="K81" s="638"/>
      <c r="L81" s="496"/>
      <c r="M81" s="644"/>
      <c r="N81" s="644"/>
      <c r="O81" s="4"/>
      <c r="P81" s="637"/>
      <c r="R81" s="727">
        <f t="shared" si="44"/>
        <v>0</v>
      </c>
      <c r="T81" s="727">
        <f t="shared" si="45"/>
        <v>0</v>
      </c>
      <c r="V81">
        <f t="shared" si="46"/>
        <v>0</v>
      </c>
      <c r="Y81"/>
      <c r="Z81" s="1"/>
      <c r="AX81" s="1"/>
      <c r="BI81" s="242"/>
      <c r="BJ81" s="242"/>
      <c r="CY81"/>
      <c r="CZ81"/>
    </row>
    <row r="82" spans="1:104" hidden="1">
      <c r="A82" s="483" t="s">
        <v>236</v>
      </c>
      <c r="B82" s="483"/>
      <c r="C82" s="483"/>
      <c r="D82" s="483">
        <f>D81-D75-A91-D80</f>
        <v>22</v>
      </c>
      <c r="E82" s="490"/>
      <c r="F82" s="483" t="s">
        <v>195</v>
      </c>
      <c r="G82" s="483">
        <f>COUNTIFS($B$14:$B$43,"on",[0]!Juni,"Skema 3")</f>
        <v>0</v>
      </c>
      <c r="H82" s="483"/>
      <c r="I82" s="638"/>
      <c r="J82" s="638"/>
      <c r="K82" s="638"/>
      <c r="L82" s="496"/>
      <c r="M82" s="644"/>
      <c r="N82" s="644"/>
      <c r="O82" s="4"/>
      <c r="P82" s="637"/>
      <c r="R82" s="727">
        <f t="shared" si="44"/>
        <v>0</v>
      </c>
      <c r="T82" s="727">
        <f t="shared" si="45"/>
        <v>0</v>
      </c>
      <c r="V82">
        <f t="shared" si="46"/>
        <v>0</v>
      </c>
      <c r="Y82"/>
      <c r="Z82" s="1"/>
      <c r="AX82" s="1"/>
      <c r="BI82" s="242"/>
      <c r="BJ82" s="242"/>
      <c r="CY82"/>
      <c r="CZ82"/>
    </row>
    <row r="83" spans="1:104" hidden="1">
      <c r="A83" s="483"/>
      <c r="B83" s="483"/>
      <c r="C83" s="483"/>
      <c r="D83" s="483"/>
      <c r="E83" s="483"/>
      <c r="F83" s="483" t="s">
        <v>196</v>
      </c>
      <c r="G83" s="483">
        <f>COUNTIFS($B$14:$B$43,"to",[0]!Juni,"Skema 3")</f>
        <v>0</v>
      </c>
      <c r="H83" s="483"/>
      <c r="I83" s="640"/>
      <c r="J83" s="638"/>
      <c r="K83" s="638"/>
      <c r="L83" s="496"/>
      <c r="M83" s="636"/>
      <c r="N83" s="636"/>
      <c r="O83" s="4"/>
      <c r="P83" s="637"/>
      <c r="R83" s="727">
        <f t="shared" si="44"/>
        <v>0</v>
      </c>
      <c r="T83" s="727">
        <f t="shared" si="45"/>
        <v>0</v>
      </c>
      <c r="V83">
        <f t="shared" si="46"/>
        <v>0</v>
      </c>
      <c r="Y83"/>
      <c r="Z83"/>
      <c r="AO83" s="1"/>
      <c r="BL83" s="1"/>
      <c r="BW83" s="242"/>
      <c r="BX83" s="242"/>
      <c r="CY83"/>
      <c r="CZ83"/>
    </row>
    <row r="84" spans="1:104" hidden="1">
      <c r="A84" s="483"/>
      <c r="B84" s="483"/>
      <c r="C84" s="483"/>
      <c r="D84" s="483"/>
      <c r="E84" s="483"/>
      <c r="F84" s="483" t="s">
        <v>197</v>
      </c>
      <c r="G84" s="483">
        <f>COUNTIFS($B$14:$B$43,"fr",[0]!Juni,"Skema 3")</f>
        <v>0</v>
      </c>
      <c r="H84" s="483"/>
      <c r="I84" s="491"/>
      <c r="J84" s="496"/>
      <c r="K84" s="496"/>
      <c r="L84" s="496"/>
      <c r="M84" s="4"/>
      <c r="N84" s="4"/>
      <c r="O84" s="4"/>
      <c r="P84" s="4"/>
      <c r="R84" s="727">
        <f t="shared" si="44"/>
        <v>0</v>
      </c>
      <c r="T84" s="727">
        <f t="shared" si="45"/>
        <v>0</v>
      </c>
      <c r="V84">
        <f t="shared" si="46"/>
        <v>0</v>
      </c>
      <c r="Y84"/>
      <c r="Z84"/>
      <c r="AO84" s="1"/>
      <c r="BL84" s="1"/>
      <c r="BW84" s="242"/>
      <c r="BX84" s="242"/>
      <c r="CY84"/>
      <c r="CZ84"/>
    </row>
    <row r="85" spans="1:104" hidden="1">
      <c r="A85" s="483" t="s">
        <v>289</v>
      </c>
      <c r="B85" s="483"/>
      <c r="C85" s="483"/>
      <c r="D85" s="483"/>
      <c r="E85" s="483"/>
      <c r="F85" s="483"/>
      <c r="G85" s="483"/>
      <c r="H85" s="483"/>
      <c r="I85" s="491"/>
      <c r="J85" s="496"/>
      <c r="K85" s="496"/>
      <c r="L85" s="496"/>
      <c r="M85" s="4"/>
      <c r="N85" s="4"/>
      <c r="O85" s="4"/>
      <c r="P85" s="4"/>
      <c r="R85" s="727">
        <f t="shared" si="44"/>
        <v>0</v>
      </c>
      <c r="T85" s="727">
        <f t="shared" si="45"/>
        <v>0</v>
      </c>
      <c r="V85">
        <f t="shared" si="46"/>
        <v>0</v>
      </c>
      <c r="Y85"/>
      <c r="Z85"/>
      <c r="AO85" s="1"/>
      <c r="BL85" s="1"/>
      <c r="BW85" s="242"/>
      <c r="BX85" s="242"/>
      <c r="CY85"/>
      <c r="CZ85"/>
    </row>
    <row r="86" spans="1:104" hidden="1">
      <c r="A86" s="483">
        <f>COUNTIF(C18:C19,"Skema 1")+COUNTIF(C18:C19,"Skema 2")+COUNTIF(C18:C19,"Skema 3")+COUNTIF(C18:C19,"Skema 4")+COUNTIF(C18:C19,"Fagdag")+COUNTIF(C18:C19,"Emnedag")+COUNTIF(C18:C19,"Lejrskole")+COUNTIF(C18:C19,"Ekskursion")+COUNTIF(C18:C19,"Pæd.dag")</f>
        <v>0</v>
      </c>
      <c r="B86" s="483"/>
      <c r="C86" s="483"/>
      <c r="D86" s="483"/>
      <c r="E86" s="483"/>
      <c r="F86" s="483" t="s">
        <v>198</v>
      </c>
      <c r="G86" s="483">
        <f>COUNTIFS($B$14:$B$43,"ma",[0]!Juni,"Skema 4")</f>
        <v>0</v>
      </c>
      <c r="H86" s="483"/>
      <c r="I86" s="491"/>
      <c r="J86" s="496"/>
      <c r="K86" s="496"/>
      <c r="L86" s="496"/>
      <c r="M86" s="4"/>
      <c r="N86" s="4"/>
      <c r="O86" s="4"/>
      <c r="P86" s="4"/>
      <c r="R86" s="727">
        <f t="shared" si="44"/>
        <v>0</v>
      </c>
      <c r="T86" s="727">
        <f t="shared" si="45"/>
        <v>0</v>
      </c>
      <c r="V86">
        <f t="shared" si="46"/>
        <v>0</v>
      </c>
      <c r="Y86"/>
      <c r="Z86"/>
      <c r="AO86" s="1"/>
      <c r="BL86" s="1"/>
      <c r="BW86" s="242"/>
      <c r="BX86" s="242"/>
      <c r="CY86"/>
      <c r="CZ86"/>
    </row>
    <row r="87" spans="1:104" hidden="1">
      <c r="A87" s="483">
        <f>COUNTIF(C25:C26,"Skema 1")+COUNTIF(C25:C26,"Skema 2")+COUNTIF(C25:C26,"Skema 3")+COUNTIF(C25:C26,"Skema 4")+COUNTIF(C25:C26,"Fagdag")+COUNTIF(C25:C26,"Emnedag")+COUNTIF(C25:C26,"Lejrskole")+COUNTIF(C25:C26,"Ekskursion")+COUNTIF(C25:C26,"Pæd.dag")</f>
        <v>0</v>
      </c>
      <c r="B87" s="483"/>
      <c r="C87" s="483"/>
      <c r="D87" s="483"/>
      <c r="E87" s="483"/>
      <c r="F87" s="483" t="s">
        <v>199</v>
      </c>
      <c r="G87" s="483">
        <f>COUNTIFS($B$14:$B$43,"ti",[0]!Juni,"Skema 4")</f>
        <v>0</v>
      </c>
      <c r="H87" s="483"/>
      <c r="I87" s="491"/>
      <c r="J87" s="496"/>
      <c r="K87" s="496"/>
      <c r="L87" s="496"/>
      <c r="M87" s="4"/>
      <c r="N87" s="4"/>
      <c r="O87" s="4"/>
      <c r="P87" s="4"/>
      <c r="R87" s="727">
        <f t="shared" si="44"/>
        <v>0</v>
      </c>
      <c r="T87" s="727">
        <f t="shared" si="45"/>
        <v>0</v>
      </c>
      <c r="V87">
        <f t="shared" si="46"/>
        <v>0</v>
      </c>
      <c r="Y87"/>
      <c r="Z87"/>
      <c r="AO87" s="1"/>
      <c r="BL87" s="1"/>
      <c r="BW87" s="242"/>
      <c r="BX87" s="242"/>
      <c r="CY87"/>
      <c r="CZ87"/>
    </row>
    <row r="88" spans="1:104" hidden="1">
      <c r="A88" s="483">
        <f>COUNTIF(C32:C33,"Skema 1")+COUNTIF(C32:C33,"Skema 2")+COUNTIF(C32:C33,"Skema 3")+COUNTIF(C32:C33,"Skema 4")+COUNTIF(C32:C33,"Fagdag")+COUNTIF(C32:C33,"Emnedag")+COUNTIF(C32:C33,"Lejrskole")+COUNTIF(C32:C33,"Ekskursion")+COUNTIF(C32:C33,"Pæd.dag")</f>
        <v>0</v>
      </c>
      <c r="B88" s="483"/>
      <c r="C88" s="483"/>
      <c r="D88" s="483"/>
      <c r="E88" s="483"/>
      <c r="F88" s="483" t="s">
        <v>200</v>
      </c>
      <c r="G88" s="483">
        <f>COUNTIFS($B$14:$B$43,"on",[0]!Juni,"Skema 4")</f>
        <v>0</v>
      </c>
      <c r="H88" s="483"/>
      <c r="I88" s="491"/>
      <c r="J88" s="496"/>
      <c r="K88" s="496"/>
      <c r="L88" s="496"/>
      <c r="M88" s="4"/>
      <c r="N88" s="4"/>
      <c r="O88" s="4"/>
      <c r="P88" s="4"/>
      <c r="R88" s="727">
        <f t="shared" si="44"/>
        <v>0</v>
      </c>
      <c r="T88" s="727">
        <f t="shared" si="45"/>
        <v>0</v>
      </c>
      <c r="V88">
        <f t="shared" si="46"/>
        <v>0</v>
      </c>
      <c r="Y88"/>
      <c r="Z88"/>
      <c r="AO88" s="1"/>
      <c r="BL88" s="1"/>
      <c r="BW88" s="242"/>
      <c r="BX88" s="242"/>
      <c r="CY88"/>
      <c r="CZ88"/>
    </row>
    <row r="89" spans="1:104" hidden="1">
      <c r="A89" s="483">
        <f>COUNTIF(C39:C40,"Skema 1")+COUNTIF(C39:C40,"Skema 2")+COUNTIF(C39:C40,"Skema 3")+COUNTIF(C39:C40,"Skema 4")+COUNTIF(C39:C40,"Fagdag")+COUNTIF(C39:C40,"Emnedag")+COUNTIF(C39:C40,"Lejrskole")+COUNTIF(C39:C40,"Ekskursion")+COUNTIF(C39:C40,"Pæd.dag")</f>
        <v>0</v>
      </c>
      <c r="B89" s="483"/>
      <c r="C89" s="483"/>
      <c r="D89" s="483"/>
      <c r="E89" s="483"/>
      <c r="F89" s="483" t="s">
        <v>201</v>
      </c>
      <c r="G89" s="483">
        <f>COUNTIFS($B$14:$B$43,"to",[0]!Juni,"Skema 4")</f>
        <v>0</v>
      </c>
      <c r="H89" s="483"/>
      <c r="I89" s="491"/>
      <c r="J89" s="496"/>
      <c r="K89" s="496"/>
      <c r="L89" s="496"/>
      <c r="M89" s="4"/>
      <c r="N89" s="4"/>
      <c r="O89" s="4"/>
      <c r="P89" s="4"/>
      <c r="R89" s="727">
        <f t="shared" si="44"/>
        <v>0</v>
      </c>
      <c r="T89" s="727">
        <f t="shared" si="45"/>
        <v>0</v>
      </c>
      <c r="V89">
        <f t="shared" si="46"/>
        <v>0</v>
      </c>
      <c r="Y89"/>
      <c r="Z89"/>
      <c r="AO89" s="1">
        <f>SUM(N89:AN89)</f>
        <v>0</v>
      </c>
      <c r="BL89" s="1">
        <f>SUM(AI89:BK89)</f>
        <v>0</v>
      </c>
      <c r="BW89" s="242"/>
      <c r="BX89" s="242"/>
      <c r="CY89"/>
      <c r="CZ89"/>
    </row>
    <row r="90" spans="1:104" hidden="1">
      <c r="A90" s="483"/>
      <c r="B90" s="483"/>
      <c r="C90" s="483"/>
      <c r="D90" s="483"/>
      <c r="E90" s="483"/>
      <c r="F90" s="483" t="s">
        <v>202</v>
      </c>
      <c r="G90" s="483">
        <f>COUNTIFS($B$14:$B$43,"fr",[0]!Juni,"Skema 4")</f>
        <v>0</v>
      </c>
      <c r="H90" s="483"/>
      <c r="I90" s="483"/>
      <c r="J90" s="486"/>
      <c r="K90" s="486"/>
      <c r="L90" s="38"/>
      <c r="R90" s="727">
        <f t="shared" si="44"/>
        <v>0</v>
      </c>
      <c r="T90" s="727">
        <f t="shared" si="45"/>
        <v>0</v>
      </c>
      <c r="V90">
        <f t="shared" si="46"/>
        <v>0</v>
      </c>
      <c r="Y90"/>
      <c r="Z90"/>
      <c r="AO90" s="1">
        <f>SUM(N90:AN90)</f>
        <v>0</v>
      </c>
      <c r="BL90" s="1">
        <f>SUM(AI90:BK90)</f>
        <v>0</v>
      </c>
      <c r="BW90" s="242"/>
      <c r="BX90" s="242"/>
      <c r="CY90"/>
      <c r="CZ90"/>
    </row>
    <row r="91" spans="1:104" hidden="1">
      <c r="A91" s="483">
        <f>SUM(A86:A90)</f>
        <v>0</v>
      </c>
      <c r="B91" s="483"/>
      <c r="C91" s="483"/>
      <c r="D91" s="483"/>
      <c r="E91" s="483"/>
      <c r="F91" s="483"/>
      <c r="G91" s="488">
        <f>SUM(G68:G90)</f>
        <v>18</v>
      </c>
      <c r="H91" s="486"/>
      <c r="I91" s="483"/>
      <c r="J91" s="486"/>
      <c r="K91" s="486"/>
      <c r="L91" s="38"/>
      <c r="R91" s="727">
        <f t="shared" si="44"/>
        <v>0</v>
      </c>
      <c r="T91" s="727">
        <f t="shared" si="45"/>
        <v>0</v>
      </c>
      <c r="V91">
        <f t="shared" si="46"/>
        <v>0</v>
      </c>
      <c r="Y91"/>
      <c r="Z91"/>
      <c r="AO91" s="1">
        <f>SUM(N91:AN91)</f>
        <v>0</v>
      </c>
      <c r="BL91" s="1">
        <f>SUM(AI91:BK91)</f>
        <v>0</v>
      </c>
      <c r="BW91" s="242"/>
      <c r="BX91" s="242"/>
      <c r="CY91"/>
      <c r="CZ91"/>
    </row>
    <row r="92" spans="1:104" hidden="1">
      <c r="A92" s="486"/>
      <c r="B92" s="486"/>
      <c r="C92" s="486"/>
      <c r="D92" s="486"/>
      <c r="E92" s="483"/>
      <c r="F92" s="483"/>
      <c r="G92" s="483"/>
      <c r="H92" s="38"/>
      <c r="I92" s="486"/>
      <c r="J92" s="486"/>
      <c r="K92" s="486"/>
      <c r="L92" s="38"/>
      <c r="R92" s="727">
        <f t="shared" si="44"/>
        <v>0</v>
      </c>
      <c r="T92" s="727">
        <f t="shared" si="45"/>
        <v>0</v>
      </c>
      <c r="V92">
        <f t="shared" si="46"/>
        <v>0</v>
      </c>
      <c r="Y92"/>
      <c r="Z92"/>
      <c r="AO92" s="1">
        <f>SUM(N92:AN92)</f>
        <v>0</v>
      </c>
      <c r="BL92" s="1">
        <f>SUM(AI92:BK92)</f>
        <v>0</v>
      </c>
      <c r="BW92" s="242"/>
      <c r="BX92" s="242"/>
      <c r="CY92"/>
      <c r="CZ92"/>
    </row>
    <row r="93" spans="1:104" hidden="1">
      <c r="A93" s="486"/>
      <c r="B93" s="486"/>
      <c r="C93" s="486"/>
      <c r="D93" s="486"/>
      <c r="E93" s="483"/>
      <c r="F93" s="483"/>
      <c r="G93" s="483"/>
      <c r="H93" s="38"/>
      <c r="I93" s="38"/>
      <c r="J93" s="486"/>
      <c r="K93" s="486"/>
      <c r="L93" s="38"/>
      <c r="R93" s="727">
        <f t="shared" si="44"/>
        <v>0</v>
      </c>
      <c r="T93" s="727">
        <f t="shared" si="45"/>
        <v>0</v>
      </c>
      <c r="V93">
        <f t="shared" si="46"/>
        <v>0</v>
      </c>
      <c r="Y93"/>
      <c r="Z93"/>
      <c r="BW93" s="242"/>
      <c r="BX93" s="242"/>
      <c r="CY93"/>
      <c r="CZ93"/>
    </row>
    <row r="94" spans="1:104" hidden="1">
      <c r="A94" s="486"/>
      <c r="B94" s="486"/>
      <c r="C94" s="486"/>
      <c r="D94" s="486"/>
      <c r="E94" s="483"/>
      <c r="F94" s="483"/>
      <c r="G94" s="483"/>
      <c r="H94" s="38"/>
      <c r="I94" s="38"/>
      <c r="J94" s="38"/>
      <c r="K94" s="38"/>
      <c r="L94" s="38"/>
      <c r="R94" s="727">
        <f t="shared" si="44"/>
        <v>0</v>
      </c>
      <c r="T94" s="727">
        <f t="shared" si="45"/>
        <v>0</v>
      </c>
      <c r="V94">
        <f t="shared" si="46"/>
        <v>0</v>
      </c>
      <c r="Y94"/>
      <c r="Z94"/>
      <c r="BW94" s="242"/>
      <c r="BX94" s="242"/>
      <c r="CY94"/>
      <c r="CZ94"/>
    </row>
    <row r="95" spans="1:104" hidden="1">
      <c r="A95" s="486"/>
      <c r="B95" s="486"/>
      <c r="C95" s="486"/>
      <c r="D95" s="486"/>
      <c r="E95" s="483"/>
      <c r="F95" s="483"/>
      <c r="G95" s="483"/>
      <c r="H95" s="38"/>
      <c r="I95" s="38"/>
      <c r="J95" s="38"/>
      <c r="K95" s="38"/>
      <c r="L95" s="38"/>
      <c r="R95" s="727">
        <f t="shared" si="44"/>
        <v>0</v>
      </c>
      <c r="T95" s="727">
        <f t="shared" si="45"/>
        <v>0</v>
      </c>
      <c r="V95">
        <f t="shared" si="46"/>
        <v>0</v>
      </c>
      <c r="Y95"/>
      <c r="Z95"/>
      <c r="BW95" s="242"/>
      <c r="BX95" s="242"/>
      <c r="CY95"/>
      <c r="CZ95"/>
    </row>
    <row r="96" spans="1:104" hidden="1">
      <c r="A96" s="486"/>
      <c r="B96" s="486"/>
      <c r="C96" s="486"/>
      <c r="D96" s="486"/>
      <c r="E96" s="483"/>
      <c r="F96" s="483"/>
      <c r="G96" s="483"/>
      <c r="I96" s="38"/>
      <c r="J96" s="38"/>
      <c r="K96" s="38"/>
      <c r="L96" s="38"/>
      <c r="R96" s="727">
        <f t="shared" si="44"/>
        <v>0</v>
      </c>
      <c r="T96" s="727">
        <f>IF(AND(C31="ikke relevant",U31="X"),X31*-1,0)</f>
        <v>0</v>
      </c>
      <c r="V96">
        <f>IF(AND(C31="ikke relevant",H31&gt;""),R31*-1,0)</f>
        <v>0</v>
      </c>
      <c r="Y96"/>
      <c r="Z96"/>
      <c r="BW96" s="242"/>
      <c r="BX96" s="242"/>
      <c r="CY96"/>
      <c r="CZ96"/>
    </row>
    <row r="97" spans="1:111" hidden="1">
      <c r="A97" s="486"/>
      <c r="B97" s="486"/>
      <c r="C97" s="486"/>
      <c r="D97" s="486"/>
      <c r="E97" s="483"/>
      <c r="F97" s="483"/>
      <c r="G97" s="483"/>
      <c r="I97" s="38"/>
      <c r="J97" s="38"/>
      <c r="K97" s="38"/>
      <c r="L97" s="38"/>
      <c r="R97" s="727">
        <f t="shared" si="44"/>
        <v>0</v>
      </c>
      <c r="T97" s="727">
        <f t="shared" si="45"/>
        <v>0</v>
      </c>
      <c r="V97">
        <f t="shared" si="46"/>
        <v>0</v>
      </c>
      <c r="Y97"/>
      <c r="Z97"/>
      <c r="BW97" s="242"/>
      <c r="BX97" s="242"/>
      <c r="CY97"/>
      <c r="CZ97"/>
    </row>
    <row r="98" spans="1:111" hidden="1">
      <c r="A98" s="432"/>
      <c r="B98" s="432"/>
      <c r="C98" s="432"/>
      <c r="D98" s="432"/>
      <c r="E98" s="115"/>
      <c r="F98" s="115"/>
      <c r="G98" s="115"/>
      <c r="I98" s="38"/>
      <c r="J98" s="38"/>
      <c r="K98" s="38"/>
      <c r="L98" s="38"/>
      <c r="R98" s="727">
        <f t="shared" si="44"/>
        <v>0</v>
      </c>
      <c r="T98" s="727">
        <f t="shared" si="45"/>
        <v>0</v>
      </c>
      <c r="V98">
        <f t="shared" si="46"/>
        <v>0</v>
      </c>
      <c r="Y98"/>
      <c r="Z98"/>
      <c r="AD98" s="4"/>
      <c r="AE98" s="226"/>
      <c r="AF98" s="226"/>
      <c r="AG98" s="226"/>
      <c r="AH98" s="226"/>
      <c r="CY98"/>
      <c r="CZ98"/>
      <c r="DF98" s="242"/>
      <c r="DG98" s="242"/>
    </row>
    <row r="99" spans="1:111" hidden="1">
      <c r="A99" s="432"/>
      <c r="B99" s="432"/>
      <c r="C99" s="432"/>
      <c r="D99" s="432"/>
      <c r="E99" s="115"/>
      <c r="F99" s="115"/>
      <c r="G99" s="115"/>
      <c r="I99" s="38"/>
      <c r="J99" s="38"/>
      <c r="K99" s="38"/>
      <c r="L99" s="38"/>
      <c r="R99" s="727">
        <f t="shared" si="44"/>
        <v>0</v>
      </c>
      <c r="T99" s="727">
        <f t="shared" si="45"/>
        <v>0</v>
      </c>
      <c r="V99">
        <f t="shared" si="46"/>
        <v>0</v>
      </c>
      <c r="Y99"/>
      <c r="Z99"/>
      <c r="AD99" s="4"/>
      <c r="AE99" s="226"/>
      <c r="AF99" s="226"/>
      <c r="AG99" s="226"/>
      <c r="AH99" s="226"/>
      <c r="CY99"/>
      <c r="CZ99"/>
      <c r="DF99" s="242"/>
      <c r="DG99" s="242"/>
    </row>
    <row r="100" spans="1:111" hidden="1">
      <c r="A100" s="432"/>
      <c r="B100" s="432"/>
      <c r="C100" s="432"/>
      <c r="D100" s="432"/>
      <c r="E100" s="115"/>
      <c r="F100" s="115"/>
      <c r="G100" s="115"/>
      <c r="I100" s="38"/>
      <c r="J100" s="38"/>
      <c r="K100" s="38"/>
      <c r="L100" s="38"/>
      <c r="R100" s="727">
        <f t="shared" si="44"/>
        <v>0</v>
      </c>
      <c r="T100" s="727">
        <f t="shared" si="45"/>
        <v>0</v>
      </c>
      <c r="V100">
        <f t="shared" si="46"/>
        <v>0</v>
      </c>
    </row>
    <row r="101" spans="1:111" hidden="1">
      <c r="A101" s="432"/>
      <c r="B101" s="432"/>
      <c r="C101" s="432"/>
      <c r="D101" s="432"/>
      <c r="E101" s="115"/>
      <c r="F101" s="115"/>
      <c r="G101" s="115"/>
      <c r="I101" s="38"/>
      <c r="J101" s="38"/>
      <c r="K101" s="38"/>
      <c r="L101" s="38"/>
      <c r="R101" s="727">
        <f t="shared" si="44"/>
        <v>0</v>
      </c>
      <c r="T101" s="727">
        <f t="shared" si="45"/>
        <v>0</v>
      </c>
      <c r="V101">
        <f t="shared" si="46"/>
        <v>0</v>
      </c>
    </row>
    <row r="102" spans="1:111" hidden="1">
      <c r="A102" s="432"/>
      <c r="B102" s="432"/>
      <c r="C102" s="432"/>
      <c r="D102" s="432"/>
      <c r="E102" s="432"/>
      <c r="F102" s="432"/>
      <c r="G102" s="432"/>
      <c r="I102" s="38"/>
      <c r="J102" s="38"/>
      <c r="K102" s="38"/>
      <c r="L102" s="38"/>
      <c r="R102" s="727">
        <f t="shared" si="44"/>
        <v>0</v>
      </c>
      <c r="T102" s="727">
        <f t="shared" si="45"/>
        <v>0</v>
      </c>
      <c r="V102">
        <f t="shared" si="46"/>
        <v>0</v>
      </c>
    </row>
    <row r="103" spans="1:111" hidden="1">
      <c r="I103" s="38"/>
      <c r="J103" s="38"/>
      <c r="K103" s="38"/>
      <c r="L103" s="38"/>
      <c r="R103" s="727">
        <f t="shared" si="44"/>
        <v>0</v>
      </c>
      <c r="T103" s="727">
        <f t="shared" si="45"/>
        <v>0</v>
      </c>
      <c r="V103">
        <f t="shared" si="46"/>
        <v>0</v>
      </c>
    </row>
    <row r="104" spans="1:111" hidden="1">
      <c r="I104" s="38"/>
      <c r="J104" s="38"/>
      <c r="K104" s="38"/>
      <c r="L104" s="432"/>
      <c r="R104" s="727">
        <f t="shared" si="44"/>
        <v>0</v>
      </c>
      <c r="T104" s="727">
        <f t="shared" si="45"/>
        <v>0</v>
      </c>
      <c r="V104">
        <f t="shared" si="46"/>
        <v>0</v>
      </c>
    </row>
    <row r="105" spans="1:111" hidden="1">
      <c r="I105" s="38"/>
      <c r="J105" s="38"/>
      <c r="K105" s="38"/>
      <c r="L105" s="432"/>
      <c r="R105" s="727">
        <f t="shared" si="44"/>
        <v>0</v>
      </c>
      <c r="T105" s="727">
        <f t="shared" si="45"/>
        <v>0</v>
      </c>
      <c r="V105">
        <f t="shared" si="46"/>
        <v>0</v>
      </c>
    </row>
    <row r="106" spans="1:111" hidden="1">
      <c r="I106" s="38"/>
      <c r="J106" s="38"/>
      <c r="K106" s="38"/>
      <c r="L106" s="432"/>
      <c r="R106" s="727">
        <f t="shared" si="44"/>
        <v>0</v>
      </c>
      <c r="T106" s="727">
        <f t="shared" si="45"/>
        <v>0</v>
      </c>
      <c r="V106">
        <f t="shared" si="46"/>
        <v>0</v>
      </c>
    </row>
    <row r="107" spans="1:111" hidden="1">
      <c r="I107" s="432"/>
      <c r="J107" s="38"/>
      <c r="K107" s="38"/>
      <c r="L107" s="432"/>
      <c r="R107" s="727">
        <f t="shared" si="44"/>
        <v>0</v>
      </c>
      <c r="T107" s="727">
        <f t="shared" si="45"/>
        <v>0</v>
      </c>
      <c r="V107">
        <f t="shared" si="46"/>
        <v>0</v>
      </c>
    </row>
    <row r="108" spans="1:111" ht="17" hidden="1" thickBot="1">
      <c r="I108" s="432"/>
      <c r="J108" s="432"/>
      <c r="K108" s="432"/>
      <c r="L108" s="432"/>
      <c r="R108" s="727">
        <f t="shared" si="44"/>
        <v>0</v>
      </c>
      <c r="T108" s="727">
        <f>IF(AND(C43="ikke relevant",U43="X"),X43*-1,0)</f>
        <v>0</v>
      </c>
      <c r="V108">
        <f>IF(AND(C43="ikke relevant",H43&gt;""),R43*-1,0)</f>
        <v>0</v>
      </c>
    </row>
    <row r="109" spans="1:111" ht="17" hidden="1" thickBot="1">
      <c r="I109" s="432"/>
      <c r="J109" s="432"/>
      <c r="K109" s="432"/>
      <c r="L109" s="432"/>
      <c r="P109" t="s">
        <v>664</v>
      </c>
      <c r="R109" s="669">
        <f>SUM(R79:R108)</f>
        <v>0</v>
      </c>
      <c r="S109" s="669">
        <f>SUM(S79:S108)</f>
        <v>0</v>
      </c>
      <c r="T109" s="669">
        <f>SUM(T79:T108)</f>
        <v>0</v>
      </c>
      <c r="V109" s="669">
        <f>SUM(V79:V108)</f>
        <v>0</v>
      </c>
    </row>
    <row r="110" spans="1:111" hidden="1">
      <c r="I110" s="432"/>
      <c r="J110" s="432"/>
      <c r="K110" s="432"/>
      <c r="L110" s="432"/>
      <c r="R110" s="1030" t="s">
        <v>666</v>
      </c>
      <c r="T110" s="1030" t="s">
        <v>667</v>
      </c>
    </row>
    <row r="111" spans="1:111" hidden="1">
      <c r="I111" s="432"/>
      <c r="J111" s="432"/>
      <c r="K111" s="432"/>
      <c r="L111" s="432"/>
      <c r="R111" s="884"/>
      <c r="T111" s="884"/>
    </row>
    <row r="112" spans="1:111" hidden="1">
      <c r="R112" s="884"/>
      <c r="T112" s="884"/>
    </row>
    <row r="113" spans="18:20" hidden="1">
      <c r="R113" s="884"/>
      <c r="T113" s="884"/>
    </row>
    <row r="114" spans="18:20" hidden="1"/>
    <row r="115" spans="18:20" hidden="1"/>
    <row r="116" spans="18:20" hidden="1"/>
    <row r="117" spans="18:20" hidden="1"/>
    <row r="118" spans="18:20" hidden="1"/>
    <row r="119" spans="18:20" hidden="1"/>
    <row r="120" spans="18:20" hidden="1"/>
    <row r="121" spans="18:20" hidden="1"/>
    <row r="122" spans="18:20" hidden="1"/>
    <row r="123" spans="18:20" hidden="1"/>
    <row r="124" spans="18:20" hidden="1"/>
    <row r="125" spans="18:20" hidden="1"/>
    <row r="126" spans="18:20" hidden="1"/>
    <row r="127" spans="18:20" hidden="1"/>
    <row r="128" spans="18:20" hidden="1"/>
    <row r="129" hidden="1"/>
    <row r="130" hidden="1"/>
    <row r="131" hidden="1"/>
    <row r="132" hidden="1"/>
    <row r="133" hidden="1"/>
    <row r="134" hidden="1"/>
    <row r="135" hidden="1"/>
    <row r="136" hidden="1"/>
    <row r="137" hidden="1"/>
    <row r="138" hidden="1"/>
    <row r="139" hidden="1"/>
    <row r="140" hidden="1"/>
    <row r="141" hidden="1"/>
    <row r="142" hidden="1"/>
  </sheetData>
  <sheetProtection sheet="1" objects="1" scenarios="1"/>
  <mergeCells count="198">
    <mergeCell ref="FQ13:FR13"/>
    <mergeCell ref="DS13:DV13"/>
    <mergeCell ref="A3:H3"/>
    <mergeCell ref="A4:B4"/>
    <mergeCell ref="C4:D4"/>
    <mergeCell ref="E4:F4"/>
    <mergeCell ref="G4:H4"/>
    <mergeCell ref="I4:J4"/>
    <mergeCell ref="A5:B5"/>
    <mergeCell ref="C5:D5"/>
    <mergeCell ref="E5:F5"/>
    <mergeCell ref="G5:H5"/>
    <mergeCell ref="A6:B6"/>
    <mergeCell ref="C6:D6"/>
    <mergeCell ref="E6:F6"/>
    <mergeCell ref="G6:H6"/>
    <mergeCell ref="A7:B7"/>
    <mergeCell ref="C7:D7"/>
    <mergeCell ref="E7:F7"/>
    <mergeCell ref="G7:H7"/>
    <mergeCell ref="FI8:GC8"/>
    <mergeCell ref="FI9:FL9"/>
    <mergeCell ref="FO9:FR9"/>
    <mergeCell ref="DO11:DV11"/>
    <mergeCell ref="FO11:FR11"/>
    <mergeCell ref="FS11:FT11"/>
    <mergeCell ref="GB11:GC11"/>
    <mergeCell ref="FC10:FF10"/>
    <mergeCell ref="FG10:FJ10"/>
    <mergeCell ref="FK10:FX10"/>
    <mergeCell ref="A65:B65"/>
    <mergeCell ref="C65:D65"/>
    <mergeCell ref="E65:G65"/>
    <mergeCell ref="I65:K65"/>
    <mergeCell ref="A53:H53"/>
    <mergeCell ref="I53:K53"/>
    <mergeCell ref="A49:G49"/>
    <mergeCell ref="A52:H52"/>
    <mergeCell ref="I52:K52"/>
    <mergeCell ref="V49:X49"/>
    <mergeCell ref="M50:U50"/>
    <mergeCell ref="V50:X50"/>
    <mergeCell ref="M51:X51"/>
    <mergeCell ref="M52:U52"/>
    <mergeCell ref="V52:X52"/>
    <mergeCell ref="M53:U53"/>
    <mergeCell ref="V53:X53"/>
    <mergeCell ref="A47:G47"/>
    <mergeCell ref="A66:G66"/>
    <mergeCell ref="I66:K66"/>
    <mergeCell ref="I62:K62"/>
    <mergeCell ref="A63:B63"/>
    <mergeCell ref="C63:D63"/>
    <mergeCell ref="E63:G63"/>
    <mergeCell ref="I63:K63"/>
    <mergeCell ref="A64:B64"/>
    <mergeCell ref="C64:D64"/>
    <mergeCell ref="E64:G64"/>
    <mergeCell ref="I64:K64"/>
    <mergeCell ref="A71:C71"/>
    <mergeCell ref="A69:C69"/>
    <mergeCell ref="A54:H54"/>
    <mergeCell ref="I54:K54"/>
    <mergeCell ref="I55:K55"/>
    <mergeCell ref="M54:U54"/>
    <mergeCell ref="V54:X54"/>
    <mergeCell ref="M55:U55"/>
    <mergeCell ref="V55:X55"/>
    <mergeCell ref="A70:C70"/>
    <mergeCell ref="M56:U56"/>
    <mergeCell ref="V56:X56"/>
    <mergeCell ref="A57:G58"/>
    <mergeCell ref="I57:K57"/>
    <mergeCell ref="M57:U57"/>
    <mergeCell ref="V57:X57"/>
    <mergeCell ref="A60:K60"/>
    <mergeCell ref="A61:B61"/>
    <mergeCell ref="C61:D61"/>
    <mergeCell ref="E61:G61"/>
    <mergeCell ref="H61:K61"/>
    <mergeCell ref="A62:B62"/>
    <mergeCell ref="C62:D62"/>
    <mergeCell ref="E62:G62"/>
    <mergeCell ref="I47:K47"/>
    <mergeCell ref="A48:G48"/>
    <mergeCell ref="I48:K48"/>
    <mergeCell ref="M48:U48"/>
    <mergeCell ref="V48:X48"/>
    <mergeCell ref="A51:G51"/>
    <mergeCell ref="I51:K51"/>
    <mergeCell ref="E41:G41"/>
    <mergeCell ref="E42:G42"/>
    <mergeCell ref="E43:G43"/>
    <mergeCell ref="A44:I44"/>
    <mergeCell ref="A46:G46"/>
    <mergeCell ref="I46:K46"/>
    <mergeCell ref="M46:X46"/>
    <mergeCell ref="M47:U47"/>
    <mergeCell ref="V47:X47"/>
    <mergeCell ref="I49:K49"/>
    <mergeCell ref="A50:G50"/>
    <mergeCell ref="I50:K50"/>
    <mergeCell ref="M49:U49"/>
    <mergeCell ref="DA11:DE11"/>
    <mergeCell ref="A12:D13"/>
    <mergeCell ref="H12:H13"/>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P11:P12"/>
    <mergeCell ref="Q11:Q12"/>
    <mergeCell ref="R11:R12"/>
    <mergeCell ref="AA11:AE11"/>
    <mergeCell ref="AG11:AK11"/>
    <mergeCell ref="E11:G13"/>
    <mergeCell ref="K11:L11"/>
    <mergeCell ref="E35:G35"/>
    <mergeCell ref="E36:G36"/>
    <mergeCell ref="E40:G40"/>
    <mergeCell ref="E28:G28"/>
    <mergeCell ref="A8:X8"/>
    <mergeCell ref="N11:N12"/>
    <mergeCell ref="O11:O12"/>
    <mergeCell ref="B2:E2"/>
    <mergeCell ref="E9:G9"/>
    <mergeCell ref="K9:L9"/>
    <mergeCell ref="A10:R10"/>
    <mergeCell ref="A9:D9"/>
    <mergeCell ref="K13:R13"/>
    <mergeCell ref="I11:I13"/>
    <mergeCell ref="J11:J13"/>
    <mergeCell ref="E29:G29"/>
    <mergeCell ref="E30:G30"/>
    <mergeCell ref="E31:G31"/>
    <mergeCell ref="E32:G32"/>
    <mergeCell ref="E33:G33"/>
    <mergeCell ref="E37:G37"/>
    <mergeCell ref="E38:G38"/>
    <mergeCell ref="E39:G39"/>
    <mergeCell ref="EU11:EX11"/>
    <mergeCell ref="EY11:FB11"/>
    <mergeCell ref="FC11:FF11"/>
    <mergeCell ref="FG11:FJ11"/>
    <mergeCell ref="I58:K58"/>
    <mergeCell ref="A59:G59"/>
    <mergeCell ref="I59:K59"/>
    <mergeCell ref="S10:X10"/>
    <mergeCell ref="S11:X11"/>
    <mergeCell ref="S13:U13"/>
    <mergeCell ref="V13:X13"/>
    <mergeCell ref="E22:G22"/>
    <mergeCell ref="E23:G23"/>
    <mergeCell ref="E24:G24"/>
    <mergeCell ref="E25:G25"/>
    <mergeCell ref="E26:G26"/>
    <mergeCell ref="E27:G27"/>
    <mergeCell ref="E16:G16"/>
    <mergeCell ref="E17:G17"/>
    <mergeCell ref="E18:G18"/>
    <mergeCell ref="E19:G19"/>
    <mergeCell ref="E20:G20"/>
    <mergeCell ref="E21:G21"/>
    <mergeCell ref="E34:G34"/>
    <mergeCell ref="R110:R113"/>
    <mergeCell ref="T110:T113"/>
    <mergeCell ref="FK11:FN11"/>
    <mergeCell ref="FU11:FX11"/>
    <mergeCell ref="FY11:FZ11"/>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DW11:ED11"/>
    <mergeCell ref="EE11:EH11"/>
    <mergeCell ref="EI11:EL11"/>
    <mergeCell ref="EM11:EP11"/>
    <mergeCell ref="EQ11:ET11"/>
  </mergeCells>
  <phoneticPr fontId="5" type="noConversion"/>
  <conditionalFormatting sqref="A14:H14 D15:H36 A15:C43 D37:E37 H37 D38:H43">
    <cfRule type="expression" dxfId="479" priority="47" stopIfTrue="1">
      <formula>OR($C14="Orlov")</formula>
    </cfRule>
    <cfRule type="expression" dxfId="478" priority="41">
      <formula>OR($C14="ekskursion")</formula>
    </cfRule>
    <cfRule type="expression" dxfId="477" priority="34">
      <formula>OR($C14="skema 2")</formula>
    </cfRule>
    <cfRule type="expression" dxfId="476" priority="35">
      <formula>OR($C14="Skema 3")</formula>
    </cfRule>
    <cfRule type="expression" dxfId="475" priority="36">
      <formula>OR($C14="Skema 4")</formula>
    </cfRule>
    <cfRule type="expression" dxfId="474" priority="37">
      <formula>OR($C14="Ikke relevant")</formula>
    </cfRule>
    <cfRule type="expression" dxfId="473" priority="38">
      <formula>OR($C14="pæd.dag")</formula>
    </cfRule>
    <cfRule type="expression" dxfId="472" priority="39">
      <formula>OR($C14="nul-dag")</formula>
    </cfRule>
    <cfRule type="expression" dxfId="471" priority="40">
      <formula>OR($C14="SH-dag")</formula>
    </cfRule>
    <cfRule type="expression" dxfId="470" priority="46">
      <formula>OR($C14="weekend")</formula>
    </cfRule>
    <cfRule type="expression" dxfId="469" priority="45">
      <formula>OR($C14="feriedag")</formula>
    </cfRule>
    <cfRule type="expression" dxfId="468" priority="44">
      <formula>OR($C14="fagdag")</formula>
    </cfRule>
    <cfRule type="expression" dxfId="467" priority="43">
      <formula>OR($C14="emnedag")</formula>
    </cfRule>
    <cfRule type="expression" dxfId="466" priority="33">
      <formula>OR($C14="Skema 1")</formula>
    </cfRule>
    <cfRule type="expression" dxfId="465" priority="42">
      <formula>OR($C14="lejrskole")</formula>
    </cfRule>
  </conditionalFormatting>
  <conditionalFormatting sqref="E25">
    <cfRule type="expression" dxfId="464" priority="54">
      <formula>OR($D24="fagdag")</formula>
    </cfRule>
    <cfRule type="expression" dxfId="463" priority="51">
      <formula>OR($D24="ekskursion")</formula>
    </cfRule>
    <cfRule type="expression" dxfId="462" priority="50">
      <formula>OR($D24="SH-dag")</formula>
    </cfRule>
    <cfRule type="expression" dxfId="461" priority="49">
      <formula>OR($D24="nul-dag")</formula>
    </cfRule>
    <cfRule type="expression" dxfId="460" priority="52">
      <formula>OR($D24="lejrskole")</formula>
    </cfRule>
    <cfRule type="expression" dxfId="459" priority="53">
      <formula>OR($D24="emnedag")</formula>
    </cfRule>
    <cfRule type="expression" dxfId="458" priority="55">
      <formula>OR($D24="feriedag")</formula>
    </cfRule>
    <cfRule type="expression" dxfId="457" priority="56">
      <formula>OR($D24="weekend")</formula>
    </cfRule>
    <cfRule type="expression" dxfId="456" priority="57" stopIfTrue="1">
      <formula>OR($D24="skoledag")</formula>
    </cfRule>
    <cfRule type="expression" dxfId="455" priority="58">
      <formula>OR($D24="Ikke relevant")</formula>
    </cfRule>
    <cfRule type="expression" dxfId="454" priority="48">
      <formula>OR($D24="pæd.dag")</formula>
    </cfRule>
  </conditionalFormatting>
  <conditionalFormatting sqref="H62:H65">
    <cfRule type="expression" dxfId="453" priority="1">
      <formula>OR($A62&gt;0,)</formula>
    </cfRule>
  </conditionalFormatting>
  <conditionalFormatting sqref="I62:I65">
    <cfRule type="expression" dxfId="452" priority="2">
      <formula>OR($C62&gt;0,)</formula>
    </cfRule>
  </conditionalFormatting>
  <conditionalFormatting sqref="K14:K43">
    <cfRule type="expression" dxfId="451" priority="30">
      <formula>OR($C14="Pæd.dag",)</formula>
    </cfRule>
  </conditionalFormatting>
  <conditionalFormatting sqref="K14:L43">
    <cfRule type="expression" dxfId="450" priority="32">
      <formula>OR($C14="Ekskursion",)</formula>
    </cfRule>
    <cfRule type="expression" dxfId="449" priority="31">
      <formula>OR($C14="Lejrskole",)</formula>
    </cfRule>
  </conditionalFormatting>
  <conditionalFormatting sqref="K14:M43">
    <cfRule type="expression" dxfId="448" priority="29">
      <formula>OR($C14="emnedag",)</formula>
    </cfRule>
    <cfRule type="expression" dxfId="447" priority="28">
      <formula>OR($C14="fagdag",)</formula>
    </cfRule>
  </conditionalFormatting>
  <conditionalFormatting sqref="R14:R43">
    <cfRule type="expression" dxfId="446" priority="59">
      <formula>OR($H14&gt;"0",)</formula>
    </cfRule>
  </conditionalFormatting>
  <conditionalFormatting sqref="V14:V43">
    <cfRule type="expression" dxfId="445" priority="10">
      <formula>OR($S14="X",)</formula>
    </cfRule>
  </conditionalFormatting>
  <conditionalFormatting sqref="V53:X56">
    <cfRule type="expression" dxfId="444" priority="3">
      <formula>OR($M53&gt;0,)</formula>
    </cfRule>
  </conditionalFormatting>
  <conditionalFormatting sqref="W14:W43">
    <cfRule type="expression" dxfId="443" priority="8">
      <formula>OR($T14="X",)</formula>
    </cfRule>
  </conditionalFormatting>
  <conditionalFormatting sqref="X14:X43">
    <cfRule type="expression" dxfId="442" priority="9">
      <formula>OR($U14="X",)</formula>
    </cfRule>
  </conditionalFormatting>
  <dataValidations count="1">
    <dataValidation type="list" allowBlank="1" showInputMessage="1" showErrorMessage="1" sqref="S14:U43 A62:D65" xr:uid="{0038981B-4C30-8548-B059-56E8189389A0}">
      <formula1>$W$1:$W$2</formula1>
    </dataValidation>
  </dataValidations>
  <hyperlinks>
    <hyperlink ref="E4:F4" location="Arbejdstidsoversigt!A19" display="Arbejdstids-oversigt" xr:uid="{6E65AC13-12C1-0143-ABE6-B14FAD4BCE12}"/>
    <hyperlink ref="G4:H4" location="Opgørelse!B12" display="Opgørelse" xr:uid="{08E47F58-5F58-894B-B4ED-3EE5F2444C23}"/>
    <hyperlink ref="A5:B5" location="August!A12" display="August" xr:uid="{1402AA9A-DA2E-1E46-A6D7-A81E9C4D081C}"/>
    <hyperlink ref="C5:D5" location="September!A8" display="September" xr:uid="{1F59349A-70AA-0844-9ECB-9AE44FD4FF0C}"/>
    <hyperlink ref="E5:F5" location="Oktober!A8" display="Oktober" xr:uid="{E0E95BD9-819A-3749-9000-7599B3EBC19A}"/>
    <hyperlink ref="G5:H5" location="November!A8" display="November" xr:uid="{35247CAF-9694-A144-96EC-A8CB650183DE}"/>
    <hyperlink ref="A6:B6" location="December!A8" display="December" xr:uid="{F144998A-5373-904E-8BC9-B4B8932C58BB}"/>
    <hyperlink ref="C6:D6" location="Januar!A8" display="Januar" xr:uid="{351B2E63-7958-DE49-8190-89216547C603}"/>
    <hyperlink ref="E6:F6" location="Februar!A8" display="Februar" xr:uid="{E34EE5B2-F37B-364C-AA2E-BA099B18B7EA}"/>
    <hyperlink ref="A7:B7" location="April!A8" display="April" xr:uid="{9CBA514E-B309-3C4A-9DAF-C6729127DC1B}"/>
    <hyperlink ref="C7:D7" location="Maj!A8" display="Maj" xr:uid="{4272D98F-9D16-8949-A553-8D9DB876CEED}"/>
    <hyperlink ref="E7:F7" location="Juni!A8" display="Juni" xr:uid="{9B3E7384-CDA1-A84D-A39B-A41A9081DE65}"/>
    <hyperlink ref="G7:H7" location="Juli!A8" display="Juli" xr:uid="{299B38DE-3E92-1A49-83C4-011B52699855}"/>
    <hyperlink ref="G6:H6" location="Marts!A8" display="Marts" xr:uid="{C1A4FFB5-9BEE-7443-80D5-E24D4D437A64}"/>
    <hyperlink ref="I4:J4" location="Stamoplysninger!E18" display="Stamoplysninger" xr:uid="{BB58418F-8F83-3648-98E5-F58EE4456EFF}"/>
    <hyperlink ref="C4:D4" location="Opgaver!A8" display="Opgaver" xr:uid="{9DA004AC-E508-C144-9802-368FB795BCB7}"/>
    <hyperlink ref="A4:B4" location="Skemaoplysninger!A20" display="Skemaoplysninger" xr:uid="{19ACAA57-E30B-624F-947E-62710A419D00}"/>
  </hyperlinks>
  <pageMargins left="0.7" right="0.7" top="0.75" bottom="0.75" header="0.3" footer="0.3"/>
  <pageSetup paperSize="9" scale="59" orientation="landscape" horizontalDpi="0" verticalDpi="0"/>
  <drawing r:id="rId1"/>
  <legacyDrawing r:id="rId2"/>
  <extLst>
    <ext xmlns:x14="http://schemas.microsoft.com/office/spreadsheetml/2009/9/main" uri="{CCE6A557-97BC-4b89-ADB6-D9C93CAAB3DF}">
      <x14:dataValidations xmlns:xm="http://schemas.microsoft.com/office/excel/2006/main" count="1">
        <x14:dataValidation type="list" allowBlank="1" showInputMessage="1" xr:uid="{76F96C60-875D-774C-A772-9B7701DAD6A3}">
          <x14:formula1>
            <xm:f>August!$A$94:$A$108</xm:f>
          </x14:formula1>
          <xm:sqref>C14:C43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0453D-92EC-3442-AEAE-6ACA12A7E901}">
  <sheetPr>
    <tabColor theme="4" tint="-0.249977111117893"/>
    <pageSetUpPr fitToPage="1"/>
  </sheetPr>
  <dimension ref="A1:GP119"/>
  <sheetViews>
    <sheetView topLeftCell="A13" zoomScaleNormal="100" workbookViewId="0">
      <selection activeCell="E26" sqref="E26:G26"/>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7" customWidth="1"/>
    <col min="9" max="10" width="12.1640625" customWidth="1"/>
    <col min="11" max="24" width="11"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5" width="10.83203125" hidden="1" customWidth="1"/>
    <col min="186" max="206"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38"/>
      <c r="Y1" s="240"/>
      <c r="Z1" s="87"/>
      <c r="AB1" s="87"/>
      <c r="AC1" s="87"/>
      <c r="AH1" s="87"/>
      <c r="AI1" s="87"/>
      <c r="CX1" s="242"/>
      <c r="CZ1"/>
    </row>
    <row r="2" spans="1:198" ht="20">
      <c r="A2" s="89">
        <v>7</v>
      </c>
      <c r="B2" s="1252"/>
      <c r="C2" s="1252"/>
      <c r="D2" s="1252"/>
      <c r="E2" s="1252"/>
      <c r="F2" s="87"/>
      <c r="G2" s="87"/>
      <c r="H2" s="273"/>
      <c r="I2" s="272"/>
      <c r="J2" s="225"/>
      <c r="K2" s="225"/>
      <c r="L2" s="225"/>
      <c r="M2" s="225"/>
      <c r="N2" s="225"/>
      <c r="O2" s="225"/>
      <c r="P2" s="87"/>
      <c r="Q2" s="87"/>
      <c r="R2" s="87"/>
      <c r="S2" s="87"/>
      <c r="T2" s="87"/>
      <c r="U2" s="87"/>
      <c r="V2" s="87"/>
      <c r="W2" s="120" t="s">
        <v>31</v>
      </c>
      <c r="X2" s="120" t="s">
        <v>31</v>
      </c>
      <c r="Y2"/>
      <c r="Z2" s="87"/>
      <c r="AA2" s="87"/>
      <c r="AE2" s="87"/>
      <c r="AG2" s="87"/>
      <c r="CV2" s="242"/>
      <c r="CW2" s="242"/>
      <c r="CY2"/>
      <c r="CZ2"/>
    </row>
    <row r="3" spans="1:198" ht="24" customHeight="1" thickBot="1">
      <c r="A3" s="864" t="s">
        <v>689</v>
      </c>
      <c r="B3" s="864"/>
      <c r="C3" s="864"/>
      <c r="D3" s="864"/>
      <c r="E3" s="864"/>
      <c r="F3" s="864"/>
      <c r="G3" s="864"/>
      <c r="H3" s="864"/>
      <c r="I3" s="723"/>
      <c r="J3" s="723"/>
      <c r="K3" s="723"/>
      <c r="L3" s="723"/>
      <c r="M3" s="723"/>
      <c r="N3" s="723"/>
      <c r="O3" s="723"/>
      <c r="P3" s="723"/>
      <c r="Q3" s="723"/>
      <c r="R3" s="723"/>
      <c r="S3" s="723"/>
      <c r="T3" s="723"/>
      <c r="Y3"/>
      <c r="Z3"/>
      <c r="AP3" s="38"/>
      <c r="CY3"/>
      <c r="CZ3"/>
    </row>
    <row r="4" spans="1:198" ht="50" customHeight="1" thickBot="1">
      <c r="A4" s="1226" t="s">
        <v>691</v>
      </c>
      <c r="B4" s="1227"/>
      <c r="C4" s="867" t="s">
        <v>495</v>
      </c>
      <c r="D4" s="868"/>
      <c r="E4" s="869" t="s">
        <v>688</v>
      </c>
      <c r="F4" s="870"/>
      <c r="G4" s="965" t="s">
        <v>367</v>
      </c>
      <c r="H4" s="966"/>
      <c r="I4" s="871" t="s">
        <v>687</v>
      </c>
      <c r="J4" s="1018"/>
      <c r="K4" s="628"/>
      <c r="Y4"/>
      <c r="Z4"/>
      <c r="CY4"/>
      <c r="CZ4"/>
    </row>
    <row r="5" spans="1:198" ht="50" customHeight="1" thickBot="1">
      <c r="A5" s="873" t="s">
        <v>231</v>
      </c>
      <c r="B5" s="873"/>
      <c r="C5" s="1228" t="s">
        <v>233</v>
      </c>
      <c r="D5" s="1228"/>
      <c r="E5" s="873" t="s">
        <v>234</v>
      </c>
      <c r="F5" s="873"/>
      <c r="G5" s="873" t="s">
        <v>235</v>
      </c>
      <c r="H5" s="873"/>
      <c r="Y5"/>
      <c r="Z5"/>
      <c r="CY5"/>
      <c r="CZ5"/>
    </row>
    <row r="6" spans="1:198" ht="50" customHeight="1" thickBot="1">
      <c r="A6" s="873" t="s">
        <v>279</v>
      </c>
      <c r="B6" s="873"/>
      <c r="C6" s="873" t="s">
        <v>280</v>
      </c>
      <c r="D6" s="873"/>
      <c r="E6" s="873" t="s">
        <v>281</v>
      </c>
      <c r="F6" s="873"/>
      <c r="G6" s="873" t="s">
        <v>282</v>
      </c>
      <c r="H6" s="873"/>
      <c r="Y6"/>
      <c r="Z6"/>
      <c r="CY6"/>
      <c r="CZ6"/>
    </row>
    <row r="7" spans="1:198" ht="50" customHeight="1" thickBot="1">
      <c r="A7" s="873" t="s">
        <v>283</v>
      </c>
      <c r="B7" s="873"/>
      <c r="C7" s="873" t="s">
        <v>284</v>
      </c>
      <c r="D7" s="873"/>
      <c r="E7" s="873" t="s">
        <v>285</v>
      </c>
      <c r="F7" s="873"/>
      <c r="G7" s="873" t="s">
        <v>286</v>
      </c>
      <c r="H7" s="873"/>
      <c r="Y7"/>
      <c r="Z7"/>
      <c r="CY7"/>
      <c r="CZ7"/>
    </row>
    <row r="8" spans="1:198" ht="17" thickBot="1">
      <c r="A8" s="1273" t="s">
        <v>306</v>
      </c>
      <c r="B8" s="1274"/>
      <c r="C8" s="1274"/>
      <c r="D8" s="1274"/>
      <c r="E8" s="1274"/>
      <c r="F8" s="1274"/>
      <c r="G8" s="1274"/>
      <c r="H8" s="1274"/>
      <c r="I8" s="1274"/>
      <c r="J8" s="1274"/>
      <c r="K8" s="1274"/>
      <c r="L8" s="1274"/>
      <c r="M8" s="1274"/>
      <c r="N8" s="1274"/>
      <c r="O8" s="1274"/>
      <c r="P8" s="1274"/>
      <c r="Q8" s="1274"/>
      <c r="R8" s="1274"/>
      <c r="S8" s="1274"/>
      <c r="T8" s="1274"/>
      <c r="U8" s="1274"/>
      <c r="V8" s="1274"/>
      <c r="W8" s="1274"/>
      <c r="X8" s="1275"/>
      <c r="Y8" s="87"/>
      <c r="Z8"/>
      <c r="AC8" s="87"/>
      <c r="AD8" s="87"/>
      <c r="AF8" s="87"/>
      <c r="CT8" s="242"/>
      <c r="CU8" s="242"/>
      <c r="CY8"/>
      <c r="CZ8"/>
      <c r="FI8" s="1179" t="s">
        <v>584</v>
      </c>
      <c r="FJ8" s="1180"/>
      <c r="FK8" s="1180"/>
      <c r="FL8" s="1180"/>
      <c r="FM8" s="1180"/>
      <c r="FN8" s="1180"/>
      <c r="FO8" s="1180"/>
      <c r="FP8" s="1180"/>
      <c r="FQ8" s="1180"/>
      <c r="FR8" s="1180"/>
      <c r="FS8" s="1180"/>
      <c r="FT8" s="1180"/>
      <c r="FU8" s="1180"/>
      <c r="FV8" s="1180"/>
      <c r="FW8" s="1180"/>
      <c r="FX8" s="1180"/>
      <c r="FY8" s="1180"/>
      <c r="FZ8" s="1180"/>
      <c r="GA8" s="1180"/>
      <c r="GB8" s="1180"/>
      <c r="GC8" s="1181"/>
    </row>
    <row r="9" spans="1:198" ht="254" customHeight="1" thickBot="1">
      <c r="A9" s="1066" t="s">
        <v>421</v>
      </c>
      <c r="B9" s="1067"/>
      <c r="C9" s="1067"/>
      <c r="D9" s="1067"/>
      <c r="E9" s="1068" t="s">
        <v>307</v>
      </c>
      <c r="F9" s="1068"/>
      <c r="G9" s="1068"/>
      <c r="H9" s="274" t="s">
        <v>404</v>
      </c>
      <c r="I9" s="425"/>
      <c r="J9" s="425"/>
      <c r="K9" s="1078" t="s">
        <v>496</v>
      </c>
      <c r="L9" s="1078"/>
      <c r="M9" s="471" t="s">
        <v>444</v>
      </c>
      <c r="N9" s="471" t="s">
        <v>422</v>
      </c>
      <c r="O9" s="471" t="s">
        <v>423</v>
      </c>
      <c r="P9" s="472" t="s">
        <v>445</v>
      </c>
      <c r="Q9" s="472" t="s">
        <v>305</v>
      </c>
      <c r="R9" s="472" t="s">
        <v>424</v>
      </c>
      <c r="S9" s="473" t="s">
        <v>451</v>
      </c>
      <c r="T9" s="473" t="s">
        <v>425</v>
      </c>
      <c r="U9" s="473" t="s">
        <v>426</v>
      </c>
      <c r="V9" s="474" t="s">
        <v>446</v>
      </c>
      <c r="W9" s="474" t="s">
        <v>393</v>
      </c>
      <c r="X9" s="475" t="s">
        <v>392</v>
      </c>
      <c r="Y9" s="240"/>
      <c r="Z9" s="87"/>
      <c r="AB9" s="87"/>
      <c r="AC9" s="87"/>
      <c r="AH9" s="87"/>
      <c r="AI9" s="87"/>
      <c r="CX9" s="242"/>
      <c r="CZ9"/>
      <c r="FI9" s="837" t="s">
        <v>582</v>
      </c>
      <c r="FJ9" s="837"/>
      <c r="FK9" s="837"/>
      <c r="FL9" s="837"/>
      <c r="FM9" t="s">
        <v>575</v>
      </c>
      <c r="FO9" s="837" t="s">
        <v>581</v>
      </c>
      <c r="FP9" s="837"/>
      <c r="FQ9" s="837"/>
      <c r="FR9" s="837"/>
    </row>
    <row r="10" spans="1:198" ht="26" customHeight="1" thickBot="1">
      <c r="A10" s="1194" t="str">
        <f>""&amp;A12&amp;" måneds kalender for: "&amp;Stamoplysninger!E13&amp;". Måneden vedr. normperioden: "&amp;Stamoplysninger!E16&amp;" - "&amp;Stamoplysninger!G16&amp;"."</f>
        <v>Juli måneds kalender for: Beate Simonsen. Måneden vedr. normperioden:  - .</v>
      </c>
      <c r="B10" s="1195"/>
      <c r="C10" s="1195"/>
      <c r="D10" s="1195"/>
      <c r="E10" s="1195"/>
      <c r="F10" s="1195"/>
      <c r="G10" s="1195"/>
      <c r="H10" s="1195"/>
      <c r="I10" s="1195"/>
      <c r="J10" s="1195"/>
      <c r="K10" s="1195"/>
      <c r="L10" s="1195"/>
      <c r="M10" s="1195"/>
      <c r="N10" s="1195"/>
      <c r="O10" s="1195"/>
      <c r="P10" s="1195"/>
      <c r="Q10" s="1195"/>
      <c r="R10" s="1196"/>
      <c r="S10" s="1073" t="s">
        <v>302</v>
      </c>
      <c r="T10" s="1074"/>
      <c r="U10" s="1074"/>
      <c r="V10" s="1074"/>
      <c r="W10" s="1074"/>
      <c r="X10" s="1075"/>
      <c r="Y10" s="240"/>
      <c r="Z10" s="87"/>
      <c r="AB10" s="87"/>
      <c r="AC10" s="87"/>
      <c r="AH10" s="87"/>
      <c r="AI10" s="87"/>
      <c r="CX10" s="242"/>
      <c r="CZ10"/>
      <c r="DV10" t="s">
        <v>665</v>
      </c>
      <c r="ED10" t="s">
        <v>665</v>
      </c>
      <c r="FC10" s="1208" t="s">
        <v>654</v>
      </c>
      <c r="FD10" s="1208"/>
      <c r="FE10" s="1208"/>
      <c r="FF10" s="1208"/>
      <c r="FG10" s="1208" t="s">
        <v>654</v>
      </c>
      <c r="FH10" s="1208"/>
      <c r="FI10" s="1208"/>
      <c r="FJ10" s="1208"/>
      <c r="FK10" s="1182" t="s">
        <v>569</v>
      </c>
      <c r="FL10" s="1182"/>
      <c r="FM10" s="1182"/>
      <c r="FN10" s="1182"/>
      <c r="FO10" s="1182"/>
      <c r="FP10" s="1182"/>
      <c r="FQ10" s="1182"/>
      <c r="FR10" s="1182"/>
      <c r="FS10" s="1182"/>
      <c r="FT10" s="1182"/>
      <c r="FU10" s="1182"/>
      <c r="FV10" s="1182"/>
      <c r="FW10" s="1182"/>
      <c r="FX10" s="1182"/>
      <c r="GA10" t="s">
        <v>583</v>
      </c>
      <c r="GB10" t="s">
        <v>576</v>
      </c>
      <c r="GD10" t="s">
        <v>577</v>
      </c>
      <c r="GF10" t="s">
        <v>578</v>
      </c>
      <c r="GH10" s="511" t="s">
        <v>579</v>
      </c>
    </row>
    <row r="11" spans="1:198" ht="47" customHeight="1">
      <c r="A11" s="320">
        <f>Januar!A11</f>
        <v>2027</v>
      </c>
      <c r="B11" s="236"/>
      <c r="C11" s="237"/>
      <c r="D11" s="238"/>
      <c r="E11" s="1199" t="s">
        <v>455</v>
      </c>
      <c r="F11" s="1200"/>
      <c r="G11" s="1201"/>
      <c r="H11" s="317" t="s">
        <v>674</v>
      </c>
      <c r="I11" s="1031" t="s">
        <v>452</v>
      </c>
      <c r="J11" s="1032" t="s">
        <v>470</v>
      </c>
      <c r="K11" s="1197" t="s">
        <v>299</v>
      </c>
      <c r="L11" s="1198"/>
      <c r="M11" s="318" t="s">
        <v>300</v>
      </c>
      <c r="N11" s="1047" t="s">
        <v>435</v>
      </c>
      <c r="O11" s="1047" t="s">
        <v>304</v>
      </c>
      <c r="P11" s="1047" t="s">
        <v>443</v>
      </c>
      <c r="Q11" s="1047" t="s">
        <v>381</v>
      </c>
      <c r="R11" s="1215" t="s">
        <v>497</v>
      </c>
      <c r="S11" s="1223" t="s">
        <v>301</v>
      </c>
      <c r="T11" s="1224"/>
      <c r="U11" s="1224"/>
      <c r="V11" s="1224"/>
      <c r="W11" s="1224"/>
      <c r="X11" s="1225"/>
      <c r="Y11" s="209"/>
      <c r="Z11" s="209"/>
      <c r="AA11" s="1049" t="s">
        <v>258</v>
      </c>
      <c r="AB11" s="1049"/>
      <c r="AC11" s="1049"/>
      <c r="AD11" s="1049"/>
      <c r="AE11" s="1049"/>
      <c r="AF11" s="206"/>
      <c r="AG11" s="1049" t="s">
        <v>219</v>
      </c>
      <c r="AH11" s="1049"/>
      <c r="AI11" s="1049"/>
      <c r="AJ11" s="1049"/>
      <c r="AK11" s="1049"/>
      <c r="AL11" s="1049" t="s">
        <v>220</v>
      </c>
      <c r="AM11" s="1049"/>
      <c r="AN11" s="1049"/>
      <c r="AO11" s="1049"/>
      <c r="AP11" s="1049"/>
      <c r="AQ11" s="1049" t="s">
        <v>221</v>
      </c>
      <c r="AR11" s="1049"/>
      <c r="AS11" s="1049"/>
      <c r="AT11" s="1049"/>
      <c r="AU11" s="1049"/>
      <c r="AV11" s="1049" t="s">
        <v>222</v>
      </c>
      <c r="AW11" s="1049"/>
      <c r="AX11" s="1049"/>
      <c r="AY11" s="1049"/>
      <c r="AZ11" s="1049"/>
      <c r="BA11" s="293"/>
      <c r="BB11" s="206"/>
      <c r="BC11" s="1049" t="s">
        <v>261</v>
      </c>
      <c r="BD11" s="1049"/>
      <c r="BE11" s="1049"/>
      <c r="BF11" s="1049"/>
      <c r="BG11" s="1049" t="s">
        <v>224</v>
      </c>
      <c r="BH11" s="1049"/>
      <c r="BI11" s="1049"/>
      <c r="BJ11" s="1049"/>
      <c r="BK11" s="1049"/>
      <c r="BL11" s="1049" t="s">
        <v>225</v>
      </c>
      <c r="BM11" s="1049"/>
      <c r="BN11" s="1049"/>
      <c r="BO11" s="1049"/>
      <c r="BP11" s="1049"/>
      <c r="BQ11" s="1049" t="s">
        <v>226</v>
      </c>
      <c r="BR11" s="1049"/>
      <c r="BS11" s="1049"/>
      <c r="BT11" s="1049"/>
      <c r="BU11" s="1049"/>
      <c r="BV11" s="1049" t="s">
        <v>227</v>
      </c>
      <c r="BW11" s="1049"/>
      <c r="BX11" s="1049"/>
      <c r="BY11" s="1049"/>
      <c r="BZ11" s="1049"/>
      <c r="CD11" s="1049" t="s">
        <v>262</v>
      </c>
      <c r="CE11" s="1049"/>
      <c r="CF11" s="1049"/>
      <c r="CG11" s="1049"/>
      <c r="CH11" s="1049"/>
      <c r="CI11" s="1049" t="s">
        <v>264</v>
      </c>
      <c r="CJ11" s="1049"/>
      <c r="CK11" s="1049"/>
      <c r="CL11" s="1049"/>
      <c r="CM11" s="1049"/>
      <c r="CN11" s="1049" t="s">
        <v>263</v>
      </c>
      <c r="CO11" s="1049"/>
      <c r="CP11" s="1049"/>
      <c r="CQ11" s="1049"/>
      <c r="CR11" s="1049"/>
      <c r="CS11" s="1049" t="s">
        <v>265</v>
      </c>
      <c r="CT11" s="1049"/>
      <c r="CU11" s="1049"/>
      <c r="CV11" s="1049"/>
      <c r="CW11" s="1049"/>
      <c r="CX11" s="242"/>
      <c r="CZ11"/>
      <c r="DA11" s="837" t="s">
        <v>209</v>
      </c>
      <c r="DB11" s="837"/>
      <c r="DC11" s="837"/>
      <c r="DD11" s="837"/>
      <c r="DE11" s="837"/>
      <c r="DO11" s="1217" t="s">
        <v>315</v>
      </c>
      <c r="DP11" s="1218"/>
      <c r="DQ11" s="1218"/>
      <c r="DR11" s="1218"/>
      <c r="DS11" s="1218"/>
      <c r="DT11" s="1218"/>
      <c r="DU11" s="1218"/>
      <c r="DV11" s="1219"/>
      <c r="DW11" s="1220" t="s">
        <v>370</v>
      </c>
      <c r="DX11" s="1221"/>
      <c r="DY11" s="1221"/>
      <c r="DZ11" s="1221"/>
      <c r="EA11" s="1221"/>
      <c r="EB11" s="1221"/>
      <c r="EC11" s="1221"/>
      <c r="ED11" s="1222"/>
      <c r="EE11" s="1212" t="s">
        <v>316</v>
      </c>
      <c r="EF11" s="1213"/>
      <c r="EG11" s="1213"/>
      <c r="EH11" s="1214"/>
      <c r="EI11" s="1209" t="s">
        <v>655</v>
      </c>
      <c r="EJ11" s="1210"/>
      <c r="EK11" s="1210"/>
      <c r="EL11" s="1211"/>
      <c r="EM11" s="1212" t="s">
        <v>319</v>
      </c>
      <c r="EN11" s="1213"/>
      <c r="EO11" s="1213"/>
      <c r="EP11" s="1214"/>
      <c r="EQ11" s="1212" t="s">
        <v>319</v>
      </c>
      <c r="ER11" s="1213"/>
      <c r="ES11" s="1213"/>
      <c r="ET11" s="1214"/>
      <c r="EU11" s="1042" t="s">
        <v>373</v>
      </c>
      <c r="EV11" s="1043"/>
      <c r="EW11" s="1043"/>
      <c r="EX11" s="1044"/>
      <c r="EY11" s="1042" t="s">
        <v>374</v>
      </c>
      <c r="EZ11" s="1043"/>
      <c r="FA11" s="1043"/>
      <c r="FB11" s="1044"/>
      <c r="FC11" s="1042" t="s">
        <v>375</v>
      </c>
      <c r="FD11" s="1043"/>
      <c r="FE11" s="1043"/>
      <c r="FF11" s="1044"/>
      <c r="FG11" s="1042" t="s">
        <v>376</v>
      </c>
      <c r="FH11" s="1043"/>
      <c r="FI11" s="1043"/>
      <c r="FJ11" s="1044"/>
      <c r="FK11" s="1172" t="s">
        <v>658</v>
      </c>
      <c r="FL11" s="1173"/>
      <c r="FM11" s="1173"/>
      <c r="FN11" s="1174"/>
      <c r="FO11" s="1027" t="s">
        <v>659</v>
      </c>
      <c r="FP11" s="1028"/>
      <c r="FQ11" s="1028"/>
      <c r="FR11" s="1029"/>
      <c r="FS11" s="1183" t="s">
        <v>375</v>
      </c>
      <c r="FT11" s="1183"/>
      <c r="FU11" s="1172" t="s">
        <v>580</v>
      </c>
      <c r="FV11" s="1173"/>
      <c r="FW11" s="1173"/>
      <c r="FX11" s="1184"/>
      <c r="FY11" s="1185" t="s">
        <v>571</v>
      </c>
      <c r="FZ11" s="1186"/>
      <c r="GA11" t="s">
        <v>573</v>
      </c>
      <c r="GB11" s="1183" t="s">
        <v>373</v>
      </c>
      <c r="GC11" s="1183"/>
      <c r="GD11" s="1183" t="s">
        <v>374</v>
      </c>
      <c r="GE11" s="1183"/>
      <c r="GF11" s="1183" t="s">
        <v>376</v>
      </c>
      <c r="GG11" s="1183"/>
      <c r="GH11" s="1183" t="s">
        <v>372</v>
      </c>
      <c r="GI11" s="1183"/>
      <c r="GP11" s="109" t="s">
        <v>663</v>
      </c>
    </row>
    <row r="12" spans="1:198" ht="194" customHeight="1">
      <c r="A12" s="1187" t="s">
        <v>286</v>
      </c>
      <c r="B12" s="1188"/>
      <c r="C12" s="1188"/>
      <c r="D12" s="1189"/>
      <c r="E12" s="1202"/>
      <c r="F12" s="1203"/>
      <c r="G12" s="1204"/>
      <c r="H12" s="1193" t="s">
        <v>668</v>
      </c>
      <c r="I12" s="1031"/>
      <c r="J12" s="1032"/>
      <c r="K12" s="319" t="s">
        <v>498</v>
      </c>
      <c r="L12" s="319" t="s">
        <v>499</v>
      </c>
      <c r="M12" s="319" t="s">
        <v>500</v>
      </c>
      <c r="N12" s="1048"/>
      <c r="O12" s="1048"/>
      <c r="P12" s="1048"/>
      <c r="Q12" s="1048"/>
      <c r="R12" s="1216"/>
      <c r="S12" s="477" t="s">
        <v>669</v>
      </c>
      <c r="T12" s="318" t="s">
        <v>303</v>
      </c>
      <c r="U12" s="318" t="s">
        <v>672</v>
      </c>
      <c r="V12" s="430" t="s">
        <v>428</v>
      </c>
      <c r="W12" s="430" t="s">
        <v>427</v>
      </c>
      <c r="X12" s="431" t="s">
        <v>673</v>
      </c>
      <c r="Y12" s="209" t="s">
        <v>276</v>
      </c>
      <c r="Z12" s="209" t="s">
        <v>277</v>
      </c>
      <c r="AA12" s="294" t="s">
        <v>208</v>
      </c>
      <c r="AB12" t="s">
        <v>134</v>
      </c>
      <c r="AC12" t="s">
        <v>137</v>
      </c>
      <c r="AD12" t="s">
        <v>136</v>
      </c>
      <c r="AE12" t="s">
        <v>135</v>
      </c>
      <c r="AF12" t="s">
        <v>406</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223</v>
      </c>
      <c r="BB12" s="223" t="s">
        <v>210</v>
      </c>
      <c r="BC12" t="s">
        <v>260</v>
      </c>
      <c r="BD12" t="s">
        <v>259</v>
      </c>
      <c r="BE12" t="s">
        <v>245</v>
      </c>
      <c r="BF12" t="s">
        <v>246</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228</v>
      </c>
      <c r="CB12" s="228" t="s">
        <v>248</v>
      </c>
      <c r="CC12" s="294" t="s">
        <v>249</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274</v>
      </c>
      <c r="CY12" s="242" t="s">
        <v>266</v>
      </c>
      <c r="CZ12" s="242" t="s">
        <v>267</v>
      </c>
      <c r="DA12" s="242" t="s">
        <v>268</v>
      </c>
      <c r="DB12" s="242" t="s">
        <v>269</v>
      </c>
      <c r="DC12" s="242" t="s">
        <v>270</v>
      </c>
      <c r="DD12" s="242" t="s">
        <v>271</v>
      </c>
      <c r="DE12" s="242" t="s">
        <v>272</v>
      </c>
      <c r="DF12" s="242" t="s">
        <v>273</v>
      </c>
      <c r="DG12" s="242"/>
      <c r="DO12" s="626" t="s">
        <v>642</v>
      </c>
      <c r="DP12" s="294" t="s">
        <v>643</v>
      </c>
      <c r="DQ12" s="677" t="s">
        <v>644</v>
      </c>
      <c r="DR12" s="677" t="s">
        <v>645</v>
      </c>
      <c r="DS12" s="627" t="s">
        <v>670</v>
      </c>
      <c r="DT12" s="627" t="str">
        <f>DP12</f>
        <v>Ulempetillæg på weekenddage - kræver der er sat kryds i weekendarbejde. KOLONNE I. Minus ved lejrskole.</v>
      </c>
      <c r="DU12" s="679" t="s">
        <v>600</v>
      </c>
      <c r="DV12" s="678" t="str">
        <f>DR12</f>
        <v>Ulempetillæg ændringer på weekenddage. Kræver der er sat kryds i ændring i timetal og at det er en weekeend. KOLONNE I OG S. Minus lejrskole</v>
      </c>
      <c r="DW12" s="680" t="s">
        <v>646</v>
      </c>
      <c r="DX12" s="677" t="s">
        <v>647</v>
      </c>
      <c r="DY12" s="677" t="s">
        <v>648</v>
      </c>
      <c r="DZ12" s="677" t="s">
        <v>649</v>
      </c>
      <c r="EA12" s="627" t="s">
        <v>599</v>
      </c>
      <c r="EB12" s="679" t="str">
        <f>DX12</f>
        <v>Ulempetillæg på weekenddage til afspadsering. Kræver der er sat kryds i weekendarb. KOLONNE I. Minus ved lejrskole.</v>
      </c>
      <c r="EC12" s="679" t="s">
        <v>600</v>
      </c>
      <c r="ED12" s="678" t="str">
        <f>DZ12</f>
        <v>Ulempetillæg ændringer på weekenddage. Kræver der er sat kryds i ændring i timetal og at det er en weekeend. KOLONNE I OG S. Minus lejrskole</v>
      </c>
      <c r="EE12" s="632" t="s">
        <v>650</v>
      </c>
      <c r="EF12" s="630" t="s">
        <v>601</v>
      </c>
      <c r="EG12" s="631" t="s">
        <v>604</v>
      </c>
      <c r="EH12" s="633" t="s">
        <v>603</v>
      </c>
      <c r="EI12" s="715" t="s">
        <v>656</v>
      </c>
      <c r="EJ12" s="719" t="s">
        <v>660</v>
      </c>
      <c r="EK12" s="631" t="s">
        <v>604</v>
      </c>
      <c r="EL12" s="633" t="s">
        <v>603</v>
      </c>
      <c r="EM12" s="632" t="s">
        <v>650</v>
      </c>
      <c r="EN12" s="630" t="s">
        <v>653</v>
      </c>
      <c r="EO12" s="631" t="s">
        <v>604</v>
      </c>
      <c r="EP12" s="633" t="s">
        <v>603</v>
      </c>
      <c r="EQ12" s="715" t="s">
        <v>657</v>
      </c>
      <c r="ER12" s="719" t="s">
        <v>661</v>
      </c>
      <c r="ES12" s="631" t="s">
        <v>604</v>
      </c>
      <c r="ET12" s="633" t="s">
        <v>603</v>
      </c>
      <c r="EU12" s="632" t="s">
        <v>651</v>
      </c>
      <c r="EV12" s="630" t="s">
        <v>652</v>
      </c>
      <c r="EW12" s="631" t="s">
        <v>602</v>
      </c>
      <c r="EX12" s="633" t="s">
        <v>606</v>
      </c>
      <c r="EY12" s="632" t="s">
        <v>651</v>
      </c>
      <c r="EZ12" s="630" t="s">
        <v>652</v>
      </c>
      <c r="FA12" s="631" t="s">
        <v>602</v>
      </c>
      <c r="FB12" s="633" t="s">
        <v>606</v>
      </c>
      <c r="FC12" s="632" t="s">
        <v>607</v>
      </c>
      <c r="FD12" s="630" t="s">
        <v>605</v>
      </c>
      <c r="FE12" s="631" t="s">
        <v>602</v>
      </c>
      <c r="FF12" s="633" t="s">
        <v>606</v>
      </c>
      <c r="FG12" s="632" t="str">
        <f>FC12</f>
        <v>Weekendtimer på weekenddage</v>
      </c>
      <c r="FH12" s="630" t="s">
        <v>605</v>
      </c>
      <c r="FI12" s="631" t="s">
        <v>602</v>
      </c>
      <c r="FJ12" s="633" t="s">
        <v>606</v>
      </c>
      <c r="FK12" s="658" t="s">
        <v>568</v>
      </c>
      <c r="FL12" s="630" t="s">
        <v>550</v>
      </c>
      <c r="FM12" s="658" t="s">
        <v>568</v>
      </c>
      <c r="FN12" s="633" t="s">
        <v>550</v>
      </c>
      <c r="FO12" s="715" t="s">
        <v>568</v>
      </c>
      <c r="FP12" s="630" t="s">
        <v>550</v>
      </c>
      <c r="FQ12" s="658" t="s">
        <v>568</v>
      </c>
      <c r="FR12" s="633" t="s">
        <v>550</v>
      </c>
      <c r="FS12" s="659" t="s">
        <v>563</v>
      </c>
      <c r="FT12" s="660" t="s">
        <v>564</v>
      </c>
      <c r="FU12" s="658" t="s">
        <v>549</v>
      </c>
      <c r="FV12" s="630" t="s">
        <v>550</v>
      </c>
      <c r="FW12" s="662" t="s">
        <v>549</v>
      </c>
      <c r="FX12" s="663" t="s">
        <v>550</v>
      </c>
      <c r="FY12" s="667" t="s">
        <v>570</v>
      </c>
      <c r="FZ12" s="660" t="s">
        <v>570</v>
      </c>
      <c r="GA12" s="294" t="s">
        <v>572</v>
      </c>
      <c r="GB12" s="659" t="s">
        <v>574</v>
      </c>
      <c r="GC12" s="659" t="s">
        <v>574</v>
      </c>
      <c r="GD12" s="659" t="s">
        <v>574</v>
      </c>
      <c r="GE12" s="659" t="s">
        <v>574</v>
      </c>
      <c r="GF12" s="659" t="s">
        <v>565</v>
      </c>
      <c r="GG12" s="660" t="s">
        <v>566</v>
      </c>
      <c r="GH12" s="659" t="s">
        <v>565</v>
      </c>
      <c r="GI12" s="660" t="s">
        <v>566</v>
      </c>
      <c r="GJ12" s="712" t="s">
        <v>635</v>
      </c>
      <c r="GK12" s="712" t="s">
        <v>636</v>
      </c>
      <c r="GL12" s="712" t="s">
        <v>637</v>
      </c>
      <c r="GM12" s="712" t="s">
        <v>638</v>
      </c>
      <c r="GN12" s="712" t="s">
        <v>640</v>
      </c>
      <c r="GO12" s="712" t="s">
        <v>639</v>
      </c>
      <c r="GP12" s="722" t="s">
        <v>662</v>
      </c>
    </row>
    <row r="13" spans="1:198" ht="20" customHeight="1">
      <c r="A13" s="1190"/>
      <c r="B13" s="1191"/>
      <c r="C13" s="1191"/>
      <c r="D13" s="1192"/>
      <c r="E13" s="1205"/>
      <c r="F13" s="1206"/>
      <c r="G13" s="1207"/>
      <c r="H13" s="1048"/>
      <c r="I13" s="1031"/>
      <c r="J13" s="1032"/>
      <c r="K13" s="1076" t="s">
        <v>320</v>
      </c>
      <c r="L13" s="1058"/>
      <c r="M13" s="1058"/>
      <c r="N13" s="1058"/>
      <c r="O13" s="1058"/>
      <c r="P13" s="1058"/>
      <c r="Q13" s="1058"/>
      <c r="R13" s="1077"/>
      <c r="S13" s="1057" t="s">
        <v>377</v>
      </c>
      <c r="T13" s="1058"/>
      <c r="U13" s="1059"/>
      <c r="V13" s="1076" t="s">
        <v>378</v>
      </c>
      <c r="W13" s="1058"/>
      <c r="X13" s="1077"/>
      <c r="Y13" s="209"/>
      <c r="Z13" s="209"/>
      <c r="AA13" s="294"/>
      <c r="BB13" s="223"/>
      <c r="CA13" s="109"/>
      <c r="CB13" s="228"/>
      <c r="CC13" s="294"/>
      <c r="CX13" s="242"/>
      <c r="DA13" s="242"/>
      <c r="DB13" s="242"/>
      <c r="DC13" s="242"/>
      <c r="DD13" s="242"/>
      <c r="DE13" s="242"/>
      <c r="DF13" s="242"/>
      <c r="DG13" s="242"/>
      <c r="DH13" t="s">
        <v>476</v>
      </c>
      <c r="DI13" t="s">
        <v>477</v>
      </c>
      <c r="DJ13" t="s">
        <v>478</v>
      </c>
      <c r="DO13" s="628"/>
      <c r="DP13" s="714" t="s">
        <v>641</v>
      </c>
      <c r="DS13" s="1176" t="s">
        <v>160</v>
      </c>
      <c r="DT13" s="1176"/>
      <c r="DU13" s="1176"/>
      <c r="DV13" s="1177"/>
      <c r="EA13" s="1178" t="s">
        <v>160</v>
      </c>
      <c r="EB13" s="1178"/>
      <c r="EC13" s="1178"/>
      <c r="ED13" s="629"/>
      <c r="EE13" s="277"/>
      <c r="EF13" s="245"/>
      <c r="EG13" s="1045" t="s">
        <v>160</v>
      </c>
      <c r="EH13" s="1046"/>
      <c r="EI13" s="277"/>
      <c r="EJ13" s="245"/>
      <c r="EK13" s="1045" t="s">
        <v>160</v>
      </c>
      <c r="EL13" s="1046"/>
      <c r="EM13" s="277"/>
      <c r="EN13" s="245"/>
      <c r="EO13" s="1045" t="s">
        <v>160</v>
      </c>
      <c r="EP13" s="1046"/>
      <c r="EQ13" s="277"/>
      <c r="ER13" s="245"/>
      <c r="ES13" s="1045" t="s">
        <v>160</v>
      </c>
      <c r="ET13" s="1046"/>
      <c r="EU13" s="277"/>
      <c r="EV13" s="245"/>
      <c r="EW13" s="1045" t="s">
        <v>160</v>
      </c>
      <c r="EX13" s="1046"/>
      <c r="EY13" s="277"/>
      <c r="EZ13" s="245"/>
      <c r="FA13" s="1045" t="s">
        <v>160</v>
      </c>
      <c r="FB13" s="1046"/>
      <c r="FC13" s="277"/>
      <c r="FD13" s="245"/>
      <c r="FE13" s="1045" t="s">
        <v>160</v>
      </c>
      <c r="FF13" s="1046"/>
      <c r="FG13" s="277"/>
      <c r="FH13" s="245"/>
      <c r="FI13" s="1045" t="s">
        <v>160</v>
      </c>
      <c r="FJ13" s="1046"/>
      <c r="FK13" s="277"/>
      <c r="FL13" s="245"/>
      <c r="FM13" s="1045" t="s">
        <v>160</v>
      </c>
      <c r="FN13" s="1046"/>
      <c r="FO13" s="277"/>
      <c r="FP13" s="245"/>
      <c r="FQ13" s="1045" t="s">
        <v>160</v>
      </c>
      <c r="FR13" s="1046"/>
      <c r="FT13" s="622" t="s">
        <v>158</v>
      </c>
      <c r="FU13" s="277"/>
      <c r="FV13" s="245"/>
      <c r="FW13" s="1045" t="s">
        <v>160</v>
      </c>
      <c r="FX13" s="1175"/>
      <c r="FY13" s="277"/>
      <c r="FZ13" s="668" t="s">
        <v>158</v>
      </c>
      <c r="GC13" s="622" t="s">
        <v>158</v>
      </c>
      <c r="GE13" s="622" t="s">
        <v>158</v>
      </c>
      <c r="GG13" s="622" t="s">
        <v>158</v>
      </c>
      <c r="GI13" s="622" t="s">
        <v>158</v>
      </c>
    </row>
    <row r="14" spans="1:198">
      <c r="A14" s="239">
        <f>IF(ISNUMBER(A12),A12+1,1)</f>
        <v>1</v>
      </c>
      <c r="B14" s="125" t="str">
        <f t="shared" ref="B14:B44" si="0">CHOOSE(MOD(WEEKDAY(DATE(A$11,A$2,A14)),7)+1,"lø","sø","ma","ti","on","to","fr",)</f>
        <v>to</v>
      </c>
      <c r="C14" s="126" t="s">
        <v>126</v>
      </c>
      <c r="D14" s="127" t="str">
        <f t="shared" ref="D14:D44" si="1">IF(B14="ma",(DATE(A$11,A$2,A14)-DATE(A$11,1,1)+7)/7,"")</f>
        <v/>
      </c>
      <c r="E14" s="1060"/>
      <c r="F14" s="1061"/>
      <c r="G14" s="1062"/>
      <c r="H14" s="292"/>
      <c r="I14" s="745"/>
      <c r="J14" s="746" t="str">
        <f t="shared" ref="J14:J44" si="2">IF(C14="Lejrskole","X","")</f>
        <v/>
      </c>
      <c r="K14" s="368"/>
      <c r="L14" s="368"/>
      <c r="M14" s="368"/>
      <c r="N14" s="311">
        <f>BA14</f>
        <v>0</v>
      </c>
      <c r="O14" s="311">
        <f>CA14</f>
        <v>0</v>
      </c>
      <c r="P14" s="311">
        <f>IF(Stamoplysninger!$H$34="JA",Juli!DG14,CX14)</f>
        <v>0</v>
      </c>
      <c r="Q14" s="311">
        <f>IF(OR(OR(C14="Lejrskole",C14="Ekskursion",C14="pæd.dag")),0,N14-O14-P14)</f>
        <v>0</v>
      </c>
      <c r="R14" s="751"/>
      <c r="S14" s="315"/>
      <c r="T14" s="316"/>
      <c r="U14" s="316"/>
      <c r="V14" s="422"/>
      <c r="W14" s="400"/>
      <c r="X14" s="619"/>
      <c r="Y14">
        <f>IF($S$14="x",V14-N15,0)</f>
        <v>0</v>
      </c>
      <c r="Z14">
        <f t="shared" ref="Z14:Z44" si="3">IF(T14="x",W14-O15,0)</f>
        <v>0</v>
      </c>
      <c r="AA14" s="1">
        <f t="shared" ref="AA14:AA44" si="4">IF(C14="emnedag",K14,0)</f>
        <v>0</v>
      </c>
      <c r="AB14" s="1">
        <f t="shared" ref="AB14:AB44" si="5">IF(C14="fagdag",K14,0)</f>
        <v>0</v>
      </c>
      <c r="AC14" s="1">
        <f t="shared" ref="AC14:AC44" si="6">IF(C14="Pæd.dag",K14,0)</f>
        <v>0</v>
      </c>
      <c r="AD14" s="1">
        <f t="shared" ref="AD14:AD44" si="7">IF(C14="Ekskursion",K14,0)</f>
        <v>0</v>
      </c>
      <c r="AE14" s="1">
        <f t="shared" ref="AE14:AE44" si="8">IF(C14="Lejrskole",K14,0)</f>
        <v>0</v>
      </c>
      <c r="AF14" s="1">
        <f>IF(C14="Orlov",7.4*Stamoplysninger!$E$20,0)</f>
        <v>0</v>
      </c>
      <c r="AG14" t="str">
        <f>IF(AND(C14="Skema 1",B14="ma"),Arbejdstidsoversigt!$E$77,"")</f>
        <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4" si="9">SUM(AG14:AK14)*24</f>
        <v>0</v>
      </c>
      <c r="BC14" s="1">
        <f>IF($C$14="Lejrskole",$L$14,0)</f>
        <v>0</v>
      </c>
      <c r="BD14" s="1">
        <f t="shared" ref="BD14:BD44" si="10">IF(C14="Ekskursion",L14,0)</f>
        <v>0</v>
      </c>
      <c r="BE14" s="1">
        <f t="shared" ref="BE14:BE44" si="11">IF(C14="fagdag",L14,0)</f>
        <v>0</v>
      </c>
      <c r="BF14" s="1">
        <f t="shared" ref="BF14:BF44" si="12">IF(C14="emnedag",L14,0)</f>
        <v>0</v>
      </c>
      <c r="BG14" s="207" t="str">
        <f>IF(AND(C14="Skema 1",B14="ma"),Skemaoplysninger!$E$46,"")</f>
        <v/>
      </c>
      <c r="BH14" s="207" t="str">
        <f>IF(AND(C14="Skema 1",B14="ti"),Skemaoplysninger!$G$46,"")</f>
        <v/>
      </c>
      <c r="BI14" s="207" t="str">
        <f>IF(AND(C14="Skema 1",B14="on"),Skemaoplysninger!$I$46,"")</f>
        <v/>
      </c>
      <c r="BJ14" s="207" t="str">
        <f>IF(AND(C14="Skema 1",B14="to"),Skemaoplysninger!$K$46,"")</f>
        <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0</v>
      </c>
      <c r="CB14" s="1">
        <f t="shared" ref="CB14:CB44" si="13">IF(C14="fagdag",M14,0)</f>
        <v>0</v>
      </c>
      <c r="CC14" s="1">
        <f t="shared" ref="CC14:CC44" si="14">IF(C14="emnedag",M14,0)</f>
        <v>0</v>
      </c>
      <c r="CD14" s="207" t="str">
        <f>IF(AND(C14="Skema 1",B14="ma"),Skemaoplysninger!$E$47,"")</f>
        <v/>
      </c>
      <c r="CE14" s="207" t="str">
        <f>IF(AND(C14="Skema 1",B14="ti"),Skemaoplysninger!$G$47,"")</f>
        <v/>
      </c>
      <c r="CF14" s="207" t="str">
        <f>IF(AND(C14="Skema 1",B14="on"),Skemaoplysninger!$I$47,"")</f>
        <v/>
      </c>
      <c r="CG14" s="207" t="str">
        <f>IF(AND(C14="Skema 1",B14="to"),Skemaoplysninger!$K$47,"")</f>
        <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3" si="15">IF(DH14=0,"",DH14)</f>
        <v/>
      </c>
      <c r="DL14" t="str">
        <f>IF(DI14=0,"",DI14)</f>
        <v/>
      </c>
      <c r="DM14" t="str">
        <f>IF(DJ14=0,"",DJ14)</f>
        <v/>
      </c>
      <c r="DN14" t="str">
        <f>DK14&amp;""&amp;DL14&amp;""&amp;DM14</f>
        <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4" si="16">IF(AND(I14="X",S14="X"),V14,0)</f>
        <v>0</v>
      </c>
      <c r="FZ14" s="634">
        <f t="shared" ref="FZ14:FZ44" si="17">IF(AND(AND(C14="ikke relevant",I14="X",S14="X")),V14,0)</f>
        <v>0</v>
      </c>
      <c r="GA14">
        <f t="shared" ref="GA14:GA44" si="18">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4" si="19">IF(C14="emnedag","X",0)</f>
        <v>0</v>
      </c>
      <c r="GL14">
        <f t="shared" ref="GL14:GL44" si="20">IF(C14="ekskursion","X",0)</f>
        <v>0</v>
      </c>
      <c r="GM14">
        <f t="shared" ref="GM14:GM44" si="21">IF(C14="pæd.dag","X",0)</f>
        <v>0</v>
      </c>
      <c r="GN14" s="713">
        <f t="shared" ref="GN14:GN44" si="22">IF(C14="lejrskole","X",0)</f>
        <v>0</v>
      </c>
      <c r="GO14">
        <f>COUNTIF(GJ14:GN14,"X")</f>
        <v>0</v>
      </c>
      <c r="GP14" s="647">
        <f>IF(AND(I14="X",S14="X"),V14,0)</f>
        <v>0</v>
      </c>
    </row>
    <row r="15" spans="1:198">
      <c r="A15" s="239">
        <f t="shared" ref="A15:A43" si="23">IF(ISNUMBER(A14),A14+1,1)</f>
        <v>2</v>
      </c>
      <c r="B15" s="125" t="str">
        <f t="shared" si="0"/>
        <v>fr</v>
      </c>
      <c r="C15" s="126" t="s">
        <v>126</v>
      </c>
      <c r="D15" s="127" t="str">
        <f t="shared" si="1"/>
        <v/>
      </c>
      <c r="E15" s="1060"/>
      <c r="F15" s="1061"/>
      <c r="G15" s="1062"/>
      <c r="H15" s="292"/>
      <c r="I15" s="745"/>
      <c r="J15" s="746" t="str">
        <f t="shared" si="2"/>
        <v/>
      </c>
      <c r="K15" s="368"/>
      <c r="L15" s="368"/>
      <c r="M15" s="368"/>
      <c r="N15" s="311">
        <f t="shared" ref="N15:N44" si="24">BA15</f>
        <v>0</v>
      </c>
      <c r="O15" s="311">
        <f t="shared" ref="O15:O44" si="25">CA15</f>
        <v>0</v>
      </c>
      <c r="P15" s="311">
        <f>IF(Stamoplysninger!$H$34="JA",Juli!DG15,CX15)</f>
        <v>0</v>
      </c>
      <c r="Q15" s="311">
        <f t="shared" ref="Q15:Q44" si="26">IF(OR(OR(C15="Lejrskole",C15="Ekskursion",C15="pæd.dag")),0,N15-O15-P15)</f>
        <v>0</v>
      </c>
      <c r="R15" s="751"/>
      <c r="S15" s="315"/>
      <c r="T15" s="316"/>
      <c r="U15" s="316"/>
      <c r="V15" s="422"/>
      <c r="W15" s="400"/>
      <c r="X15" s="619"/>
      <c r="Y15">
        <f t="shared" ref="Y15:Y44" si="27">IF(S15="x",V15-N16,0)</f>
        <v>0</v>
      </c>
      <c r="Z15">
        <f t="shared" si="3"/>
        <v>0</v>
      </c>
      <c r="AA15" s="1">
        <f t="shared" si="4"/>
        <v>0</v>
      </c>
      <c r="AB15" s="1">
        <f t="shared" si="5"/>
        <v>0</v>
      </c>
      <c r="AC15" s="1">
        <f t="shared" si="6"/>
        <v>0</v>
      </c>
      <c r="AD15" s="1">
        <f t="shared" si="7"/>
        <v>0</v>
      </c>
      <c r="AE15" s="1">
        <f t="shared" si="8"/>
        <v>0</v>
      </c>
      <c r="AF15" s="1">
        <f>IF(C15="Orlov",7.4*Stamoplysninger!$E$20,0)</f>
        <v>0</v>
      </c>
      <c r="AG15" t="str">
        <f>IF(AND(C15="Skema 1",B15="ma"),Arbejdstidsoversigt!$E$77,"")</f>
        <v/>
      </c>
      <c r="AH15" t="str">
        <f>IF(AND(C15="Skema 1",B15="ti"),Arbejdstidsoversigt!$E$78,"")</f>
        <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4" si="28">SUM(AA15:AZ15)</f>
        <v>0</v>
      </c>
      <c r="BB15" s="224">
        <f t="shared" si="9"/>
        <v>0</v>
      </c>
      <c r="BC15" s="1">
        <f t="shared" ref="BC15:BC44" si="29">IF(C15="Lejrskole",L15,0)</f>
        <v>0</v>
      </c>
      <c r="BD15" s="1">
        <f t="shared" si="10"/>
        <v>0</v>
      </c>
      <c r="BE15" s="1">
        <f t="shared" si="11"/>
        <v>0</v>
      </c>
      <c r="BF15" s="1">
        <f t="shared" si="12"/>
        <v>0</v>
      </c>
      <c r="BG15" s="207" t="str">
        <f>IF(AND(C15="Skema 1",B15="ma"),Skemaoplysninger!$E$46,"")</f>
        <v/>
      </c>
      <c r="BH15" s="207" t="str">
        <f>IF(AND(C15="Skema 1",B15="ti"),Skemaoplysninger!$G$46,"")</f>
        <v/>
      </c>
      <c r="BI15" s="207" t="str">
        <f>IF(AND(C15="Skema 1",B15="on"),Skemaoplysninger!$I$46,"")</f>
        <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44" si="30">SUM(BG15:BZ15)*24+SUM(BC15:BF15)</f>
        <v>0</v>
      </c>
      <c r="CB15" s="1">
        <f t="shared" si="13"/>
        <v>0</v>
      </c>
      <c r="CC15" s="1">
        <f t="shared" si="14"/>
        <v>0</v>
      </c>
      <c r="CD15" s="207" t="str">
        <f>IF(AND(C15="Skema 1",B15="ma"),Skemaoplysninger!$E$47,"")</f>
        <v/>
      </c>
      <c r="CE15" s="207" t="str">
        <f>IF(AND(C15="Skema 1",B15="ti"),Skemaoplysninger!$G$47,"")</f>
        <v/>
      </c>
      <c r="CF15" s="207" t="str">
        <f>IF(AND(C15="Skema 1",B15="on"),Skemaoplysninger!$I$47,"")</f>
        <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4" si="31">SUM(CY15:DF15)</f>
        <v>0</v>
      </c>
      <c r="DH15" t="str">
        <f t="shared" ref="DH15:DH44" si="32">IF(AND(E15&gt;0,H15&gt;0),""&amp;E15&amp;" og "&amp;H15&amp;"","")</f>
        <v/>
      </c>
      <c r="DI15">
        <f t="shared" ref="DI15:DI44" si="33">IF(H15="",E15,"")</f>
        <v>0</v>
      </c>
      <c r="DJ15">
        <f t="shared" ref="DJ15:DJ44" si="34">IF(E15="",H15,"")</f>
        <v>0</v>
      </c>
      <c r="DK15" t="str">
        <f t="shared" si="15"/>
        <v/>
      </c>
      <c r="DL15" t="str">
        <f t="shared" si="15"/>
        <v/>
      </c>
      <c r="DM15" t="str">
        <f t="shared" si="15"/>
        <v/>
      </c>
      <c r="DN15" t="str">
        <f t="shared" ref="DN15:DN44" si="35">DK15&amp;""&amp;DL15&amp;""&amp;DM15</f>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6"/>
        <v>0</v>
      </c>
      <c r="FZ15" s="634">
        <f t="shared" si="17"/>
        <v>0</v>
      </c>
      <c r="GA15">
        <f t="shared" si="18"/>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4" si="36">IF(C15="fagdag","X",0)</f>
        <v>0</v>
      </c>
      <c r="GK15">
        <f t="shared" si="19"/>
        <v>0</v>
      </c>
      <c r="GL15">
        <f t="shared" si="20"/>
        <v>0</v>
      </c>
      <c r="GM15">
        <f t="shared" si="21"/>
        <v>0</v>
      </c>
      <c r="GN15" s="713">
        <f t="shared" si="22"/>
        <v>0</v>
      </c>
      <c r="GO15">
        <f t="shared" ref="GO15:GO44" si="37">COUNTIF(GJ15:GN15,"X")</f>
        <v>0</v>
      </c>
      <c r="GP15" s="647">
        <f t="shared" ref="GP15:GP44" si="38">IF(AND(I15="X",S15="X"),V15,0)</f>
        <v>0</v>
      </c>
    </row>
    <row r="16" spans="1:198">
      <c r="A16" s="239">
        <f t="shared" si="23"/>
        <v>3</v>
      </c>
      <c r="B16" s="125" t="str">
        <f t="shared" si="0"/>
        <v>lø</v>
      </c>
      <c r="C16" s="126" t="s">
        <v>118</v>
      </c>
      <c r="D16" s="127" t="str">
        <f t="shared" si="1"/>
        <v/>
      </c>
      <c r="E16" s="1060"/>
      <c r="F16" s="1061"/>
      <c r="G16" s="1062"/>
      <c r="H16" s="292"/>
      <c r="I16" s="803" t="str">
        <f>IF(GO16=1,"X","")</f>
        <v/>
      </c>
      <c r="J16" s="746" t="str">
        <f t="shared" si="2"/>
        <v/>
      </c>
      <c r="K16" s="368"/>
      <c r="L16" s="368"/>
      <c r="M16" s="368"/>
      <c r="N16" s="311">
        <f t="shared" si="24"/>
        <v>0</v>
      </c>
      <c r="O16" s="311">
        <f t="shared" si="25"/>
        <v>0</v>
      </c>
      <c r="P16" s="311">
        <f>IF(Stamoplysninger!$H$34="JA",Juli!DG16,CX16)</f>
        <v>0</v>
      </c>
      <c r="Q16" s="311">
        <f t="shared" si="26"/>
        <v>0</v>
      </c>
      <c r="R16" s="751"/>
      <c r="S16" s="315"/>
      <c r="T16" s="316"/>
      <c r="U16" s="316"/>
      <c r="V16" s="422"/>
      <c r="W16" s="400"/>
      <c r="X16" s="619"/>
      <c r="Y16">
        <f t="shared" si="27"/>
        <v>0</v>
      </c>
      <c r="Z16">
        <f t="shared" si="3"/>
        <v>0</v>
      </c>
      <c r="AA16" s="1">
        <f t="shared" si="4"/>
        <v>0</v>
      </c>
      <c r="AB16" s="1">
        <f t="shared" si="5"/>
        <v>0</v>
      </c>
      <c r="AC16" s="1">
        <f t="shared" si="6"/>
        <v>0</v>
      </c>
      <c r="AD16" s="1">
        <f t="shared" si="7"/>
        <v>0</v>
      </c>
      <c r="AE16" s="1">
        <f t="shared" si="8"/>
        <v>0</v>
      </c>
      <c r="AF16" s="1">
        <f>IF(C16="Orlov",7.4*Stamoplysninger!$E$20,0)</f>
        <v>0</v>
      </c>
      <c r="AG16" t="str">
        <f>IF(AND(C16="Skema 1",B16="ma"),Arbejdstidsoversigt!$E$77,"")</f>
        <v/>
      </c>
      <c r="AH16" t="str">
        <f>IF(AND(C16="Skema 1",B16="ti"),Arbejdstidsoversigt!$E$78,"")</f>
        <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9"/>
        <v>0</v>
      </c>
      <c r="BC16" s="1">
        <f t="shared" si="29"/>
        <v>0</v>
      </c>
      <c r="BD16" s="1">
        <f t="shared" si="10"/>
        <v>0</v>
      </c>
      <c r="BE16" s="1">
        <f t="shared" si="11"/>
        <v>0</v>
      </c>
      <c r="BF16" s="1">
        <f t="shared" si="12"/>
        <v>0</v>
      </c>
      <c r="BG16" s="207" t="str">
        <f>IF(AND(C16="Skema 1",B16="ma"),Skemaoplysninger!$E$46,"")</f>
        <v/>
      </c>
      <c r="BH16" s="207" t="str">
        <f>IF(AND(C16="Skema 1",B16="ti"),Skemaoplysninger!$G$46,"")</f>
        <v/>
      </c>
      <c r="BI16" s="207" t="str">
        <f>IF(AND(C16="Skema 1",B16="on"),Skemaoplysninger!$I$46,"")</f>
        <v/>
      </c>
      <c r="BJ16" s="207" t="str">
        <f>IF(AND(C16="Skema 1",B16="to"),Skemaoplysninger!$K$46,"")</f>
        <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0"/>
        <v>0</v>
      </c>
      <c r="CB16" s="1">
        <f t="shared" si="13"/>
        <v>0</v>
      </c>
      <c r="CC16" s="1">
        <f t="shared" si="14"/>
        <v>0</v>
      </c>
      <c r="CD16" s="207" t="str">
        <f>IF(AND(C16="Skema 1",B16="ma"),Skemaoplysninger!$E$47,"")</f>
        <v/>
      </c>
      <c r="CE16" s="207" t="str">
        <f>IF(AND(C16="Skema 1",B16="ti"),Skemaoplysninger!$G$47,"")</f>
        <v/>
      </c>
      <c r="CF16" s="207" t="str">
        <f>IF(AND(C16="Skema 1",B16="on"),Skemaoplysninger!$I$47,"")</f>
        <v/>
      </c>
      <c r="CG16" s="207" t="str">
        <f>IF(AND(C16="Skema 1",B16="to"),Skemaoplysninger!$K$47,"")</f>
        <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5"/>
        <v/>
      </c>
      <c r="DL16" t="str">
        <f t="shared" si="15"/>
        <v/>
      </c>
      <c r="DM16" t="str">
        <f t="shared" si="15"/>
        <v/>
      </c>
      <c r="DN16" t="str">
        <f t="shared" si="35"/>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6"/>
        <v>0</v>
      </c>
      <c r="FZ16" s="634">
        <f t="shared" si="17"/>
        <v>0</v>
      </c>
      <c r="GA16">
        <f t="shared" si="18"/>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9"/>
        <v>0</v>
      </c>
      <c r="GL16">
        <f t="shared" si="20"/>
        <v>0</v>
      </c>
      <c r="GM16">
        <f t="shared" si="21"/>
        <v>0</v>
      </c>
      <c r="GN16" s="713">
        <f t="shared" si="22"/>
        <v>0</v>
      </c>
      <c r="GO16">
        <f t="shared" si="37"/>
        <v>0</v>
      </c>
      <c r="GP16" s="647">
        <f t="shared" si="38"/>
        <v>0</v>
      </c>
    </row>
    <row r="17" spans="1:198">
      <c r="A17" s="239">
        <f t="shared" si="23"/>
        <v>4</v>
      </c>
      <c r="B17" s="125" t="str">
        <f t="shared" si="0"/>
        <v>sø</v>
      </c>
      <c r="C17" s="126" t="s">
        <v>118</v>
      </c>
      <c r="D17" s="127" t="str">
        <f t="shared" si="1"/>
        <v/>
      </c>
      <c r="E17" s="1060"/>
      <c r="F17" s="1061"/>
      <c r="G17" s="1062"/>
      <c r="H17" s="292"/>
      <c r="I17" s="803" t="str">
        <f>IF(GO17=1,"X","")</f>
        <v/>
      </c>
      <c r="J17" s="746" t="str">
        <f t="shared" si="2"/>
        <v/>
      </c>
      <c r="K17" s="368"/>
      <c r="L17" s="368"/>
      <c r="M17" s="368"/>
      <c r="N17" s="311">
        <f t="shared" si="24"/>
        <v>0</v>
      </c>
      <c r="O17" s="311">
        <f t="shared" si="25"/>
        <v>0</v>
      </c>
      <c r="P17" s="311">
        <f>IF(Stamoplysninger!$H$34="JA",Juli!DG17,CX17)</f>
        <v>0</v>
      </c>
      <c r="Q17" s="311">
        <f t="shared" si="26"/>
        <v>0</v>
      </c>
      <c r="R17" s="751"/>
      <c r="S17" s="315"/>
      <c r="T17" s="316"/>
      <c r="U17" s="316"/>
      <c r="V17" s="422"/>
      <c r="W17" s="400"/>
      <c r="X17" s="619"/>
      <c r="Y17">
        <f t="shared" si="27"/>
        <v>0</v>
      </c>
      <c r="Z17">
        <f t="shared" si="3"/>
        <v>0</v>
      </c>
      <c r="AA17" s="1">
        <f t="shared" si="4"/>
        <v>0</v>
      </c>
      <c r="AB17" s="1">
        <f t="shared" si="5"/>
        <v>0</v>
      </c>
      <c r="AC17" s="1">
        <f t="shared" si="6"/>
        <v>0</v>
      </c>
      <c r="AD17" s="1">
        <f t="shared" si="7"/>
        <v>0</v>
      </c>
      <c r="AE17" s="1">
        <f t="shared" si="8"/>
        <v>0</v>
      </c>
      <c r="AF17" s="1">
        <f>IF(C17="Orlov",7.4*Stamoplysninger!$E$20,0)</f>
        <v>0</v>
      </c>
      <c r="AG17" t="str">
        <f>IF(AND(C17="Skema 1",B17="ma"),Arbejdstidsoversigt!$E$77,"")</f>
        <v/>
      </c>
      <c r="AH17" t="str">
        <f>IF(AND(C17="Skema 1",B17="ti"),Arbejdstidsoversigt!$E$78,"")</f>
        <v/>
      </c>
      <c r="AI17" t="str">
        <f>IF(AND(C17="Skema 1",B17="on"),Arbejdstidsoversigt!$E$79,"")</f>
        <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9"/>
        <v>0</v>
      </c>
      <c r="BC17" s="1">
        <f t="shared" si="29"/>
        <v>0</v>
      </c>
      <c r="BD17" s="1">
        <f t="shared" si="10"/>
        <v>0</v>
      </c>
      <c r="BE17" s="1">
        <f t="shared" si="11"/>
        <v>0</v>
      </c>
      <c r="BF17" s="1">
        <f t="shared" si="12"/>
        <v>0</v>
      </c>
      <c r="BG17" s="207" t="str">
        <f>IF(AND(C17="Skema 1",B17="ma"),Skemaoplysninger!$E$46,"")</f>
        <v/>
      </c>
      <c r="BH17" s="207" t="str">
        <f>IF(AND(C17="Skema 1",B17="ti"),Skemaoplysninger!$G$46,"")</f>
        <v/>
      </c>
      <c r="BI17" s="207" t="str">
        <f>IF(AND(C17="Skema 1",B17="on"),Skemaoplysninger!$I$46,"")</f>
        <v/>
      </c>
      <c r="BJ17" s="207" t="str">
        <f>IF(AND(C17="Skema 1",B17="to"),Skemaoplysninger!$K$46,"")</f>
        <v/>
      </c>
      <c r="BK17" s="207" t="str">
        <f>IF(AND(C17="Skema 1",B17="fr"),Skemaoplysninger!$M$46,"")</f>
        <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0</v>
      </c>
      <c r="CB17" s="1">
        <f t="shared" si="13"/>
        <v>0</v>
      </c>
      <c r="CC17" s="1">
        <f t="shared" si="14"/>
        <v>0</v>
      </c>
      <c r="CD17" s="207" t="str">
        <f>IF(AND(C17="Skema 1",B17="ma"),Skemaoplysninger!$E$47,"")</f>
        <v/>
      </c>
      <c r="CE17" s="207" t="str">
        <f>IF(AND(C17="Skema 1",B17="ti"),Skemaoplysninger!$G$47,"")</f>
        <v/>
      </c>
      <c r="CF17" s="207" t="str">
        <f>IF(AND(C17="Skema 1",B17="on"),Skemaoplysninger!$I$47,"")</f>
        <v/>
      </c>
      <c r="CG17" s="207" t="str">
        <f>IF(AND(C17="Skema 1",B17="to"),Skemaoplysninger!$K$47,"")</f>
        <v/>
      </c>
      <c r="CH17" s="207" t="str">
        <f>IF(AND(C17="Skema 1",B17="fr"),Skemaoplysninger!$M$47,"")</f>
        <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5"/>
        <v/>
      </c>
      <c r="DL17" t="str">
        <f t="shared" si="15"/>
        <v/>
      </c>
      <c r="DM17" t="str">
        <f t="shared" si="15"/>
        <v/>
      </c>
      <c r="DN17" t="str">
        <f t="shared" si="3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6"/>
        <v>0</v>
      </c>
      <c r="FZ17" s="634">
        <f t="shared" si="17"/>
        <v>0</v>
      </c>
      <c r="GA17">
        <f t="shared" si="18"/>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9"/>
        <v>0</v>
      </c>
      <c r="GL17">
        <f t="shared" si="20"/>
        <v>0</v>
      </c>
      <c r="GM17">
        <f t="shared" si="21"/>
        <v>0</v>
      </c>
      <c r="GN17" s="713">
        <f t="shared" si="22"/>
        <v>0</v>
      </c>
      <c r="GO17">
        <f t="shared" si="37"/>
        <v>0</v>
      </c>
      <c r="GP17" s="647">
        <f t="shared" si="38"/>
        <v>0</v>
      </c>
    </row>
    <row r="18" spans="1:198">
      <c r="A18" s="239">
        <f t="shared" si="23"/>
        <v>5</v>
      </c>
      <c r="B18" s="125" t="str">
        <f t="shared" si="0"/>
        <v>ma</v>
      </c>
      <c r="C18" s="126" t="s">
        <v>126</v>
      </c>
      <c r="D18" s="127">
        <f t="shared" si="1"/>
        <v>27.428571428571427</v>
      </c>
      <c r="E18" s="1060"/>
      <c r="F18" s="1061"/>
      <c r="G18" s="1062"/>
      <c r="H18" s="292"/>
      <c r="I18" s="745"/>
      <c r="J18" s="746" t="str">
        <f t="shared" si="2"/>
        <v/>
      </c>
      <c r="K18" s="368"/>
      <c r="L18" s="368"/>
      <c r="M18" s="368"/>
      <c r="N18" s="311">
        <f t="shared" si="24"/>
        <v>0</v>
      </c>
      <c r="O18" s="311">
        <f t="shared" si="25"/>
        <v>0</v>
      </c>
      <c r="P18" s="311">
        <f>IF(Stamoplysninger!$H$34="JA",Juli!DG18,CX18)</f>
        <v>0</v>
      </c>
      <c r="Q18" s="311">
        <f t="shared" si="26"/>
        <v>0</v>
      </c>
      <c r="R18" s="751"/>
      <c r="S18" s="315"/>
      <c r="T18" s="316"/>
      <c r="U18" s="316"/>
      <c r="V18" s="422"/>
      <c r="W18" s="400"/>
      <c r="X18" s="619"/>
      <c r="Y18">
        <f t="shared" si="27"/>
        <v>0</v>
      </c>
      <c r="Z18">
        <f t="shared" si="3"/>
        <v>0</v>
      </c>
      <c r="AA18" s="1">
        <f t="shared" si="4"/>
        <v>0</v>
      </c>
      <c r="AB18" s="1">
        <f t="shared" si="5"/>
        <v>0</v>
      </c>
      <c r="AC18" s="1">
        <f t="shared" si="6"/>
        <v>0</v>
      </c>
      <c r="AD18" s="1">
        <f t="shared" si="7"/>
        <v>0</v>
      </c>
      <c r="AE18" s="1">
        <f t="shared" si="8"/>
        <v>0</v>
      </c>
      <c r="AF18" s="1">
        <f>IF(C18="Orlov",7.4*Stamoplysninger!$E$20,0)</f>
        <v>0</v>
      </c>
      <c r="AG18" t="str">
        <f>IF(AND(C18="Skema 1",B18="ma"),Arbejdstidsoversigt!$E$77,"")</f>
        <v/>
      </c>
      <c r="AH18" t="str">
        <f>IF(AND(C18="Skema 1",B18="ti"),Arbejdstidsoversigt!$E$78,"")</f>
        <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9"/>
        <v>0</v>
      </c>
      <c r="BC18" s="1">
        <f t="shared" si="29"/>
        <v>0</v>
      </c>
      <c r="BD18" s="1">
        <f t="shared" si="10"/>
        <v>0</v>
      </c>
      <c r="BE18" s="1">
        <f t="shared" si="11"/>
        <v>0</v>
      </c>
      <c r="BF18" s="1">
        <f t="shared" si="12"/>
        <v>0</v>
      </c>
      <c r="BG18" s="207" t="str">
        <f>IF(AND(C18="Skema 1",B18="ma"),Skemaoplysninger!$E$46,"")</f>
        <v/>
      </c>
      <c r="BH18" s="207" t="str">
        <f>IF(AND(C18="Skema 1",B18="ti"),Skemaoplysninger!$G$46,"")</f>
        <v/>
      </c>
      <c r="BI18" s="207" t="str">
        <f>IF(AND(C18="Skema 1",B18="on"),Skemaoplysninger!$I$46,"")</f>
        <v/>
      </c>
      <c r="BJ18" s="207" t="str">
        <f>IF(AND(C18="Skema 1",B18="to"),Skemaoplysninger!$K$46,"")</f>
        <v/>
      </c>
      <c r="BK18" s="207" t="str">
        <f>IF(AND(C18="Skema 1",B18="fr"),Skemaoplysninger!$M$46,"")</f>
        <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0</v>
      </c>
      <c r="CB18" s="1">
        <f t="shared" si="13"/>
        <v>0</v>
      </c>
      <c r="CC18" s="1">
        <f t="shared" si="14"/>
        <v>0</v>
      </c>
      <c r="CD18" s="207" t="str">
        <f>IF(AND(C18="Skema 1",B18="ma"),Skemaoplysninger!$E$47,"")</f>
        <v/>
      </c>
      <c r="CE18" s="207" t="str">
        <f>IF(AND(C18="Skema 1",B18="ti"),Skemaoplysninger!$G$47,"")</f>
        <v/>
      </c>
      <c r="CF18" s="207" t="str">
        <f>IF(AND(C18="Skema 1",B18="on"),Skemaoplysninger!$I$47,"")</f>
        <v/>
      </c>
      <c r="CG18" s="207" t="str">
        <f>IF(AND(C18="Skema 1",B18="to"),Skemaoplysninger!$K$47,"")</f>
        <v/>
      </c>
      <c r="CH18" s="207" t="str">
        <f>IF(AND(C18="Skema 1",B18="fr"),Skemaoplysninger!$M$47,"")</f>
        <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5"/>
        <v/>
      </c>
      <c r="DL18" t="str">
        <f t="shared" si="15"/>
        <v/>
      </c>
      <c r="DM18" t="str">
        <f t="shared" si="15"/>
        <v/>
      </c>
      <c r="DN18" t="str">
        <f t="shared" si="35"/>
        <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6"/>
        <v>0</v>
      </c>
      <c r="FZ18" s="634">
        <f t="shared" si="17"/>
        <v>0</v>
      </c>
      <c r="GA18">
        <f t="shared" si="18"/>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9"/>
        <v>0</v>
      </c>
      <c r="GL18">
        <f t="shared" si="20"/>
        <v>0</v>
      </c>
      <c r="GM18">
        <f t="shared" si="21"/>
        <v>0</v>
      </c>
      <c r="GN18" s="713">
        <f t="shared" si="22"/>
        <v>0</v>
      </c>
      <c r="GO18">
        <f t="shared" si="37"/>
        <v>0</v>
      </c>
      <c r="GP18" s="647">
        <f t="shared" si="38"/>
        <v>0</v>
      </c>
    </row>
    <row r="19" spans="1:198" ht="16" customHeight="1">
      <c r="A19" s="239">
        <f t="shared" si="23"/>
        <v>6</v>
      </c>
      <c r="B19" s="125" t="str">
        <f t="shared" si="0"/>
        <v>ti</v>
      </c>
      <c r="C19" s="126" t="s">
        <v>126</v>
      </c>
      <c r="D19" s="127" t="str">
        <f t="shared" si="1"/>
        <v/>
      </c>
      <c r="E19" s="1060"/>
      <c r="F19" s="1061"/>
      <c r="G19" s="1062"/>
      <c r="H19" s="292"/>
      <c r="I19" s="745"/>
      <c r="J19" s="746" t="str">
        <f t="shared" si="2"/>
        <v/>
      </c>
      <c r="K19" s="368"/>
      <c r="L19" s="368"/>
      <c r="M19" s="368"/>
      <c r="N19" s="311">
        <f t="shared" si="24"/>
        <v>0</v>
      </c>
      <c r="O19" s="311">
        <f t="shared" si="25"/>
        <v>0</v>
      </c>
      <c r="P19" s="311">
        <f>IF(Stamoplysninger!$H$34="JA",Juli!DG19,CX19)</f>
        <v>0</v>
      </c>
      <c r="Q19" s="311">
        <f t="shared" si="26"/>
        <v>0</v>
      </c>
      <c r="R19" s="751"/>
      <c r="S19" s="315"/>
      <c r="T19" s="316"/>
      <c r="U19" s="316"/>
      <c r="V19" s="422"/>
      <c r="W19" s="400"/>
      <c r="X19" s="619"/>
      <c r="Y19">
        <f t="shared" si="27"/>
        <v>0</v>
      </c>
      <c r="Z19">
        <f t="shared" si="3"/>
        <v>0</v>
      </c>
      <c r="AA19" s="1">
        <f t="shared" si="4"/>
        <v>0</v>
      </c>
      <c r="AB19" s="1">
        <f t="shared" si="5"/>
        <v>0</v>
      </c>
      <c r="AC19" s="1">
        <f t="shared" si="6"/>
        <v>0</v>
      </c>
      <c r="AD19" s="1">
        <f t="shared" si="7"/>
        <v>0</v>
      </c>
      <c r="AE19" s="1">
        <f t="shared" si="8"/>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9"/>
        <v>0</v>
      </c>
      <c r="BC19" s="1">
        <f t="shared" si="29"/>
        <v>0</v>
      </c>
      <c r="BD19" s="1">
        <f t="shared" si="10"/>
        <v>0</v>
      </c>
      <c r="BE19" s="1">
        <f t="shared" si="11"/>
        <v>0</v>
      </c>
      <c r="BF19" s="1">
        <f t="shared" si="12"/>
        <v>0</v>
      </c>
      <c r="BG19" s="207" t="str">
        <f>IF(AND(C19="Skema 1",B19="ma"),Skemaoplysninger!$E$46,"")</f>
        <v/>
      </c>
      <c r="BH19" s="207" t="str">
        <f>IF(AND(C19="Skema 1",B19="ti"),Skemaoplysninger!$G$46,"")</f>
        <v/>
      </c>
      <c r="BI19" s="207" t="str">
        <f>IF(AND(C19="Skema 1",B19="on"),Skemaoplysninger!$I$46,"")</f>
        <v/>
      </c>
      <c r="BJ19" s="207" t="str">
        <f>IF(AND(C19="Skema 1",B19="to"),Skemaoplysninger!$K$46,"")</f>
        <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0</v>
      </c>
      <c r="CB19" s="1">
        <f t="shared" si="13"/>
        <v>0</v>
      </c>
      <c r="CC19" s="1">
        <f t="shared" si="14"/>
        <v>0</v>
      </c>
      <c r="CD19" s="207" t="str">
        <f>IF(AND(C19="Skema 1",B19="ma"),Skemaoplysninger!$E$47,"")</f>
        <v/>
      </c>
      <c r="CE19" s="207" t="str">
        <f>IF(AND(C19="Skema 1",B19="ti"),Skemaoplysninger!$G$47,"")</f>
        <v/>
      </c>
      <c r="CF19" s="207" t="str">
        <f>IF(AND(C19="Skema 1",B19="on"),Skemaoplysninger!$I$47,"")</f>
        <v/>
      </c>
      <c r="CG19" s="207" t="str">
        <f>IF(AND(C19="Skema 1",B19="to"),Skemaoplysninger!$K$47,"")</f>
        <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5"/>
        <v/>
      </c>
      <c r="DL19" t="str">
        <f t="shared" si="15"/>
        <v/>
      </c>
      <c r="DM19" t="str">
        <f t="shared" si="15"/>
        <v/>
      </c>
      <c r="DN19" t="str">
        <f t="shared" si="35"/>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6"/>
        <v>0</v>
      </c>
      <c r="FZ19" s="634">
        <f t="shared" si="17"/>
        <v>0</v>
      </c>
      <c r="GA19">
        <f t="shared" si="18"/>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9"/>
        <v>0</v>
      </c>
      <c r="GL19">
        <f t="shared" si="20"/>
        <v>0</v>
      </c>
      <c r="GM19">
        <f t="shared" si="21"/>
        <v>0</v>
      </c>
      <c r="GN19" s="713">
        <f t="shared" si="22"/>
        <v>0</v>
      </c>
      <c r="GO19">
        <f t="shared" si="37"/>
        <v>0</v>
      </c>
      <c r="GP19" s="647">
        <f t="shared" si="38"/>
        <v>0</v>
      </c>
    </row>
    <row r="20" spans="1:198" ht="16" customHeight="1">
      <c r="A20" s="239">
        <f t="shared" si="23"/>
        <v>7</v>
      </c>
      <c r="B20" s="125" t="str">
        <f t="shared" si="0"/>
        <v>on</v>
      </c>
      <c r="C20" s="126" t="s">
        <v>207</v>
      </c>
      <c r="D20" s="127" t="str">
        <f t="shared" si="1"/>
        <v/>
      </c>
      <c r="E20" s="1060" t="s">
        <v>112</v>
      </c>
      <c r="F20" s="1061"/>
      <c r="G20" s="1062"/>
      <c r="H20" s="292"/>
      <c r="I20" s="745"/>
      <c r="J20" s="746" t="str">
        <f t="shared" si="2"/>
        <v/>
      </c>
      <c r="K20" s="368"/>
      <c r="L20" s="368"/>
      <c r="M20" s="368"/>
      <c r="N20" s="311">
        <f t="shared" si="24"/>
        <v>0</v>
      </c>
      <c r="O20" s="311">
        <f t="shared" si="25"/>
        <v>0</v>
      </c>
      <c r="P20" s="311">
        <f>IF(Stamoplysninger!$H$34="JA",Juli!DG20,CX20)</f>
        <v>0</v>
      </c>
      <c r="Q20" s="311">
        <f t="shared" si="26"/>
        <v>0</v>
      </c>
      <c r="R20" s="751"/>
      <c r="S20" s="315"/>
      <c r="T20" s="316"/>
      <c r="U20" s="316"/>
      <c r="V20" s="422"/>
      <c r="W20" s="400"/>
      <c r="X20" s="619"/>
      <c r="Y20">
        <f t="shared" si="27"/>
        <v>0</v>
      </c>
      <c r="Z20">
        <f t="shared" si="3"/>
        <v>0</v>
      </c>
      <c r="AA20" s="1">
        <f t="shared" si="4"/>
        <v>0</v>
      </c>
      <c r="AB20" s="1">
        <f t="shared" si="5"/>
        <v>0</v>
      </c>
      <c r="AC20" s="1">
        <f t="shared" si="6"/>
        <v>0</v>
      </c>
      <c r="AD20" s="1">
        <f t="shared" si="7"/>
        <v>0</v>
      </c>
      <c r="AE20" s="1">
        <f t="shared" si="8"/>
        <v>0</v>
      </c>
      <c r="AF20" s="1">
        <f>IF(C20="Orlov",7.4*Stamoplysninger!$E$20,0)</f>
        <v>0</v>
      </c>
      <c r="AG20" t="str">
        <f>IF(AND(C20="Skema 1",B20="ma"),Arbejdstidsoversigt!$E$77,"")</f>
        <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9"/>
        <v>0</v>
      </c>
      <c r="BC20" s="1">
        <f t="shared" si="29"/>
        <v>0</v>
      </c>
      <c r="BD20" s="1">
        <f t="shared" si="10"/>
        <v>0</v>
      </c>
      <c r="BE20" s="1">
        <f t="shared" si="11"/>
        <v>0</v>
      </c>
      <c r="BF20" s="1">
        <f t="shared" si="12"/>
        <v>0</v>
      </c>
      <c r="BG20" s="207" t="str">
        <f>IF(AND(C20="Skema 1",B20="ma"),Skemaoplysninger!$E$46,"")</f>
        <v/>
      </c>
      <c r="BH20" s="207" t="str">
        <f>IF(AND(C20="Skema 1",B20="ti"),Skemaoplysninger!$G$46,"")</f>
        <v/>
      </c>
      <c r="BI20" s="207" t="str">
        <f>IF(AND(C20="Skema 1",B20="on"),Skemaoplysninger!$I$46,"")</f>
        <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0</v>
      </c>
      <c r="CB20" s="1">
        <f t="shared" si="13"/>
        <v>0</v>
      </c>
      <c r="CC20" s="1">
        <f t="shared" si="14"/>
        <v>0</v>
      </c>
      <c r="CD20" s="207" t="str">
        <f>IF(AND(C20="Skema 1",B20="ma"),Skemaoplysninger!$E$47,"")</f>
        <v/>
      </c>
      <c r="CE20" s="207" t="str">
        <f>IF(AND(C20="Skema 1",B20="ti"),Skemaoplysninger!$G$47,"")</f>
        <v/>
      </c>
      <c r="CF20" s="207" t="str">
        <f>IF(AND(C20="Skema 1",B20="on"),Skemaoplysninger!$I$47,"")</f>
        <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t="str">
        <f t="shared" si="33"/>
        <v>Sommerferie</v>
      </c>
      <c r="DJ20" t="str">
        <f t="shared" si="34"/>
        <v/>
      </c>
      <c r="DK20" t="str">
        <f t="shared" si="15"/>
        <v/>
      </c>
      <c r="DL20" t="str">
        <f t="shared" si="15"/>
        <v>Sommerferie</v>
      </c>
      <c r="DM20" t="str">
        <f t="shared" si="15"/>
        <v/>
      </c>
      <c r="DN20" t="str">
        <f t="shared" si="35"/>
        <v>Sommerferie</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6"/>
        <v>0</v>
      </c>
      <c r="FZ20" s="634">
        <f t="shared" si="17"/>
        <v>0</v>
      </c>
      <c r="GA20">
        <f t="shared" si="18"/>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9"/>
        <v>0</v>
      </c>
      <c r="GL20">
        <f t="shared" si="20"/>
        <v>0</v>
      </c>
      <c r="GM20">
        <f t="shared" si="21"/>
        <v>0</v>
      </c>
      <c r="GN20" s="713">
        <f t="shared" si="22"/>
        <v>0</v>
      </c>
      <c r="GO20">
        <f t="shared" si="37"/>
        <v>0</v>
      </c>
      <c r="GP20" s="647">
        <f t="shared" si="38"/>
        <v>0</v>
      </c>
    </row>
    <row r="21" spans="1:198">
      <c r="A21" s="239">
        <f t="shared" si="23"/>
        <v>8</v>
      </c>
      <c r="B21" s="125" t="str">
        <f t="shared" si="0"/>
        <v>to</v>
      </c>
      <c r="C21" s="126" t="s">
        <v>207</v>
      </c>
      <c r="D21" s="127" t="str">
        <f t="shared" si="1"/>
        <v/>
      </c>
      <c r="E21" s="1060" t="s">
        <v>112</v>
      </c>
      <c r="F21" s="1061"/>
      <c r="G21" s="1062"/>
      <c r="H21" s="292"/>
      <c r="I21" s="745"/>
      <c r="J21" s="746" t="str">
        <f t="shared" si="2"/>
        <v/>
      </c>
      <c r="K21" s="368"/>
      <c r="L21" s="368"/>
      <c r="M21" s="368"/>
      <c r="N21" s="311">
        <f t="shared" si="24"/>
        <v>0</v>
      </c>
      <c r="O21" s="311">
        <f t="shared" si="25"/>
        <v>0</v>
      </c>
      <c r="P21" s="311">
        <f>IF(Stamoplysninger!$H$34="JA",Juli!DG21,CX21)</f>
        <v>0</v>
      </c>
      <c r="Q21" s="311">
        <f t="shared" si="26"/>
        <v>0</v>
      </c>
      <c r="R21" s="751"/>
      <c r="S21" s="315"/>
      <c r="T21" s="316"/>
      <c r="U21" s="316"/>
      <c r="V21" s="422"/>
      <c r="W21" s="400"/>
      <c r="X21" s="619"/>
      <c r="Y21">
        <f t="shared" si="27"/>
        <v>0</v>
      </c>
      <c r="Z21">
        <f t="shared" si="3"/>
        <v>0</v>
      </c>
      <c r="AA21" s="1">
        <f t="shared" si="4"/>
        <v>0</v>
      </c>
      <c r="AB21" s="1">
        <f t="shared" si="5"/>
        <v>0</v>
      </c>
      <c r="AC21" s="1">
        <f t="shared" si="6"/>
        <v>0</v>
      </c>
      <c r="AD21" s="1">
        <f t="shared" si="7"/>
        <v>0</v>
      </c>
      <c r="AE21" s="1">
        <f t="shared" si="8"/>
        <v>0</v>
      </c>
      <c r="AF21" s="1">
        <f>IF(C21="Orlov",7.4*Stamoplysninger!$E$20,0)</f>
        <v>0</v>
      </c>
      <c r="AG21" t="str">
        <f>IF(AND(C21="Skema 1",B21="ma"),Arbejdstidsoversigt!$E$77,"")</f>
        <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9"/>
        <v>0</v>
      </c>
      <c r="BC21" s="1">
        <f t="shared" si="29"/>
        <v>0</v>
      </c>
      <c r="BD21" s="1">
        <f t="shared" si="10"/>
        <v>0</v>
      </c>
      <c r="BE21" s="1">
        <f t="shared" si="11"/>
        <v>0</v>
      </c>
      <c r="BF21" s="1">
        <f t="shared" si="12"/>
        <v>0</v>
      </c>
      <c r="BG21" s="207" t="str">
        <f>IF(AND(C21="Skema 1",B21="ma"),Skemaoplysninger!$E$46,"")</f>
        <v/>
      </c>
      <c r="BH21" s="207" t="str">
        <f>IF(AND(C21="Skema 1",B21="ti"),Skemaoplysninger!$G$46,"")</f>
        <v/>
      </c>
      <c r="BI21" s="207" t="str">
        <f>IF(AND(C21="Skema 1",B21="on"),Skemaoplysninger!$I$46,"")</f>
        <v/>
      </c>
      <c r="BJ21" s="207" t="str">
        <f>IF(AND(C21="Skema 1",B21="to"),Skemaoplysninger!$K$46,"")</f>
        <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0</v>
      </c>
      <c r="CB21" s="1">
        <f t="shared" si="13"/>
        <v>0</v>
      </c>
      <c r="CC21" s="1">
        <f t="shared" si="14"/>
        <v>0</v>
      </c>
      <c r="CD21" s="207" t="str">
        <f>IF(AND(C21="Skema 1",B21="ma"),Skemaoplysninger!$E$47,"")</f>
        <v/>
      </c>
      <c r="CE21" s="207" t="str">
        <f>IF(AND(C21="Skema 1",B21="ti"),Skemaoplysninger!$G$47,"")</f>
        <v/>
      </c>
      <c r="CF21" s="207" t="str">
        <f>IF(AND(C21="Skema 1",B21="on"),Skemaoplysninger!$I$47,"")</f>
        <v/>
      </c>
      <c r="CG21" s="207" t="str">
        <f>IF(AND(C21="Skema 1",B21="to"),Skemaoplysninger!$K$47,"")</f>
        <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t="str">
        <f t="shared" si="33"/>
        <v>Sommerferie</v>
      </c>
      <c r="DJ21" t="str">
        <f t="shared" si="34"/>
        <v/>
      </c>
      <c r="DK21" t="str">
        <f t="shared" si="15"/>
        <v/>
      </c>
      <c r="DL21" t="str">
        <f t="shared" si="15"/>
        <v>Sommerferie</v>
      </c>
      <c r="DM21" t="str">
        <f t="shared" si="15"/>
        <v/>
      </c>
      <c r="DN21" t="str">
        <f t="shared" si="35"/>
        <v>Sommerferie</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6"/>
        <v>0</v>
      </c>
      <c r="FZ21" s="634">
        <f t="shared" si="17"/>
        <v>0</v>
      </c>
      <c r="GA21">
        <f t="shared" si="18"/>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9"/>
        <v>0</v>
      </c>
      <c r="GL21">
        <f t="shared" si="20"/>
        <v>0</v>
      </c>
      <c r="GM21">
        <f t="shared" si="21"/>
        <v>0</v>
      </c>
      <c r="GN21" s="713">
        <f t="shared" si="22"/>
        <v>0</v>
      </c>
      <c r="GO21">
        <f t="shared" si="37"/>
        <v>0</v>
      </c>
      <c r="GP21" s="647">
        <f t="shared" si="38"/>
        <v>0</v>
      </c>
    </row>
    <row r="22" spans="1:198">
      <c r="A22" s="239">
        <f t="shared" si="23"/>
        <v>9</v>
      </c>
      <c r="B22" s="125" t="str">
        <f t="shared" si="0"/>
        <v>fr</v>
      </c>
      <c r="C22" s="126" t="s">
        <v>207</v>
      </c>
      <c r="D22" s="127" t="str">
        <f t="shared" si="1"/>
        <v/>
      </c>
      <c r="E22" s="1060" t="s">
        <v>112</v>
      </c>
      <c r="F22" s="1061"/>
      <c r="G22" s="1062"/>
      <c r="H22" s="292"/>
      <c r="I22" s="745"/>
      <c r="J22" s="746" t="str">
        <f t="shared" si="2"/>
        <v/>
      </c>
      <c r="K22" s="368"/>
      <c r="L22" s="368"/>
      <c r="M22" s="368"/>
      <c r="N22" s="311">
        <f t="shared" si="24"/>
        <v>0</v>
      </c>
      <c r="O22" s="311">
        <f t="shared" si="25"/>
        <v>0</v>
      </c>
      <c r="P22" s="311">
        <f>IF(Stamoplysninger!$H$34="JA",Juli!DG22,CX22)</f>
        <v>0</v>
      </c>
      <c r="Q22" s="311">
        <f t="shared" si="26"/>
        <v>0</v>
      </c>
      <c r="R22" s="751"/>
      <c r="S22" s="315"/>
      <c r="T22" s="316"/>
      <c r="U22" s="316"/>
      <c r="V22" s="422"/>
      <c r="W22" s="400"/>
      <c r="X22" s="619"/>
      <c r="Y22">
        <f t="shared" si="27"/>
        <v>0</v>
      </c>
      <c r="Z22">
        <f t="shared" si="3"/>
        <v>0</v>
      </c>
      <c r="AA22" s="1">
        <f t="shared" si="4"/>
        <v>0</v>
      </c>
      <c r="AB22" s="1">
        <f t="shared" si="5"/>
        <v>0</v>
      </c>
      <c r="AC22" s="1">
        <f t="shared" si="6"/>
        <v>0</v>
      </c>
      <c r="AD22" s="1">
        <f t="shared" si="7"/>
        <v>0</v>
      </c>
      <c r="AE22" s="1">
        <f t="shared" si="8"/>
        <v>0</v>
      </c>
      <c r="AF22" s="1">
        <f>IF(C22="Orlov",7.4*Stamoplysninger!$E$20,0)</f>
        <v>0</v>
      </c>
      <c r="AG22" t="str">
        <f>IF(AND(C22="Skema 1",B22="ma"),Arbejdstidsoversigt!$E$77,"")</f>
        <v/>
      </c>
      <c r="AH22" t="str">
        <f>IF(AND(C22="Skema 1",B22="ti"),Arbejdstidsoversigt!$E$78,"")</f>
        <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9"/>
        <v>0</v>
      </c>
      <c r="BC22" s="1">
        <f t="shared" si="29"/>
        <v>0</v>
      </c>
      <c r="BD22" s="1">
        <f t="shared" si="10"/>
        <v>0</v>
      </c>
      <c r="BE22" s="1">
        <f t="shared" si="11"/>
        <v>0</v>
      </c>
      <c r="BF22" s="1">
        <f t="shared" si="12"/>
        <v>0</v>
      </c>
      <c r="BG22" s="207" t="str">
        <f>IF(AND(C22="Skema 1",B22="ma"),Skemaoplysninger!$E$46,"")</f>
        <v/>
      </c>
      <c r="BH22" s="207" t="str">
        <f>IF(AND(C22="Skema 1",B22="ti"),Skemaoplysninger!$G$46,"")</f>
        <v/>
      </c>
      <c r="BI22" s="207" t="str">
        <f>IF(AND(C22="Skema 1",B22="on"),Skemaoplysninger!$I$46,"")</f>
        <v/>
      </c>
      <c r="BJ22" s="207" t="str">
        <f>IF(AND(C22="Skema 1",B22="to"),Skemaoplysninger!$K$46,"")</f>
        <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0</v>
      </c>
      <c r="CB22" s="1">
        <f t="shared" si="13"/>
        <v>0</v>
      </c>
      <c r="CC22" s="1">
        <f t="shared" si="14"/>
        <v>0</v>
      </c>
      <c r="CD22" s="207" t="str">
        <f>IF(AND(C22="Skema 1",B22="ma"),Skemaoplysninger!$E$47,"")</f>
        <v/>
      </c>
      <c r="CE22" s="207" t="str">
        <f>IF(AND(C22="Skema 1",B22="ti"),Skemaoplysninger!$G$47,"")</f>
        <v/>
      </c>
      <c r="CF22" s="207" t="str">
        <f>IF(AND(C22="Skema 1",B22="on"),Skemaoplysninger!$I$47,"")</f>
        <v/>
      </c>
      <c r="CG22" s="207" t="str">
        <f>IF(AND(C22="Skema 1",B22="to"),Skemaoplysninger!$K$47,"")</f>
        <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t="str">
        <f t="shared" si="33"/>
        <v>Sommerferie</v>
      </c>
      <c r="DJ22" t="str">
        <f t="shared" si="34"/>
        <v/>
      </c>
      <c r="DK22" t="str">
        <f t="shared" si="15"/>
        <v/>
      </c>
      <c r="DL22" t="str">
        <f t="shared" si="15"/>
        <v>Sommerferie</v>
      </c>
      <c r="DM22" t="str">
        <f t="shared" si="15"/>
        <v/>
      </c>
      <c r="DN22" t="str">
        <f t="shared" si="35"/>
        <v>Sommerferie</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6"/>
        <v>0</v>
      </c>
      <c r="FZ22" s="634">
        <f t="shared" si="17"/>
        <v>0</v>
      </c>
      <c r="GA22">
        <f t="shared" si="18"/>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9"/>
        <v>0</v>
      </c>
      <c r="GL22">
        <f t="shared" si="20"/>
        <v>0</v>
      </c>
      <c r="GM22">
        <f t="shared" si="21"/>
        <v>0</v>
      </c>
      <c r="GN22" s="713">
        <f t="shared" si="22"/>
        <v>0</v>
      </c>
      <c r="GO22">
        <f t="shared" si="37"/>
        <v>0</v>
      </c>
      <c r="GP22" s="647">
        <f t="shared" si="38"/>
        <v>0</v>
      </c>
    </row>
    <row r="23" spans="1:198">
      <c r="A23" s="239">
        <f t="shared" si="23"/>
        <v>10</v>
      </c>
      <c r="B23" s="125" t="str">
        <f t="shared" si="0"/>
        <v>lø</v>
      </c>
      <c r="C23" s="126" t="s">
        <v>118</v>
      </c>
      <c r="D23" s="127" t="str">
        <f t="shared" si="1"/>
        <v/>
      </c>
      <c r="E23" s="1060"/>
      <c r="F23" s="1061"/>
      <c r="G23" s="1062"/>
      <c r="H23" s="292"/>
      <c r="I23" s="803" t="str">
        <f>IF(GO23=1,"X","")</f>
        <v/>
      </c>
      <c r="J23" s="746" t="str">
        <f t="shared" si="2"/>
        <v/>
      </c>
      <c r="K23" s="368"/>
      <c r="L23" s="368"/>
      <c r="M23" s="368"/>
      <c r="N23" s="311">
        <f t="shared" si="24"/>
        <v>0</v>
      </c>
      <c r="O23" s="311">
        <f t="shared" si="25"/>
        <v>0</v>
      </c>
      <c r="P23" s="311">
        <f>IF(Stamoplysninger!$H$34="JA",Juli!DG23,CX23)</f>
        <v>0</v>
      </c>
      <c r="Q23" s="311">
        <f t="shared" si="26"/>
        <v>0</v>
      </c>
      <c r="R23" s="751"/>
      <c r="S23" s="315"/>
      <c r="T23" s="316"/>
      <c r="U23" s="316"/>
      <c r="V23" s="422"/>
      <c r="W23" s="400"/>
      <c r="X23" s="619"/>
      <c r="Y23">
        <f t="shared" si="27"/>
        <v>0</v>
      </c>
      <c r="Z23">
        <f t="shared" si="3"/>
        <v>0</v>
      </c>
      <c r="AA23" s="1">
        <f t="shared" si="4"/>
        <v>0</v>
      </c>
      <c r="AB23" s="1">
        <f t="shared" si="5"/>
        <v>0</v>
      </c>
      <c r="AC23" s="1">
        <f t="shared" si="6"/>
        <v>0</v>
      </c>
      <c r="AD23" s="1">
        <f t="shared" si="7"/>
        <v>0</v>
      </c>
      <c r="AE23" s="1">
        <f t="shared" si="8"/>
        <v>0</v>
      </c>
      <c r="AF23" s="1">
        <f>IF(C23="Orlov",7.4*Stamoplysninger!$E$20,0)</f>
        <v>0</v>
      </c>
      <c r="AG23" t="str">
        <f>IF(AND(C23="Skema 1",B23="ma"),Arbejdstidsoversigt!$E$77,"")</f>
        <v/>
      </c>
      <c r="AH23" t="str">
        <f>IF(AND(C23="Skema 1",B23="ti"),Arbejdstidsoversigt!$E$78,"")</f>
        <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9"/>
        <v>0</v>
      </c>
      <c r="BC23" s="1">
        <f t="shared" si="29"/>
        <v>0</v>
      </c>
      <c r="BD23" s="1">
        <f t="shared" si="10"/>
        <v>0</v>
      </c>
      <c r="BE23" s="1">
        <f t="shared" si="11"/>
        <v>0</v>
      </c>
      <c r="BF23" s="1">
        <f t="shared" si="12"/>
        <v>0</v>
      </c>
      <c r="BG23" s="207" t="str">
        <f>IF(AND(C23="Skema 1",B23="ma"),Skemaoplysninger!$E$46,"")</f>
        <v/>
      </c>
      <c r="BH23" s="207" t="str">
        <f>IF(AND(C23="Skema 1",B23="ti"),Skemaoplysninger!$G$46,"")</f>
        <v/>
      </c>
      <c r="BI23" s="207" t="str">
        <f>IF(AND(C23="Skema 1",B23="on"),Skemaoplysninger!$I$46,"")</f>
        <v/>
      </c>
      <c r="BJ23" s="207" t="str">
        <f>IF(AND(C23="Skema 1",B23="to"),Skemaoplysninger!$K$46,"")</f>
        <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0</v>
      </c>
      <c r="CB23" s="1">
        <f t="shared" si="13"/>
        <v>0</v>
      </c>
      <c r="CC23" s="1">
        <f t="shared" si="14"/>
        <v>0</v>
      </c>
      <c r="CD23" s="207" t="str">
        <f>IF(AND(C23="Skema 1",B23="ma"),Skemaoplysninger!$E$47,"")</f>
        <v/>
      </c>
      <c r="CE23" s="207" t="str">
        <f>IF(AND(C23="Skema 1",B23="ti"),Skemaoplysninger!$G$47,"")</f>
        <v/>
      </c>
      <c r="CF23" s="207" t="str">
        <f>IF(AND(C23="Skema 1",B23="on"),Skemaoplysninger!$I$47,"")</f>
        <v/>
      </c>
      <c r="CG23" s="207" t="str">
        <f>IF(AND(C23="Skema 1",B23="to"),Skemaoplysninger!$K$47,"")</f>
        <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5"/>
        <v/>
      </c>
      <c r="DL23" t="str">
        <f t="shared" si="15"/>
        <v/>
      </c>
      <c r="DM23" t="str">
        <f t="shared" si="15"/>
        <v/>
      </c>
      <c r="DN23" t="str">
        <f t="shared" si="35"/>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6"/>
        <v>0</v>
      </c>
      <c r="FZ23" s="634">
        <f t="shared" si="17"/>
        <v>0</v>
      </c>
      <c r="GA23">
        <f t="shared" si="18"/>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9"/>
        <v>0</v>
      </c>
      <c r="GL23">
        <f t="shared" si="20"/>
        <v>0</v>
      </c>
      <c r="GM23">
        <f t="shared" si="21"/>
        <v>0</v>
      </c>
      <c r="GN23" s="713">
        <f t="shared" si="22"/>
        <v>0</v>
      </c>
      <c r="GO23">
        <f t="shared" si="37"/>
        <v>0</v>
      </c>
      <c r="GP23" s="647">
        <f t="shared" si="38"/>
        <v>0</v>
      </c>
    </row>
    <row r="24" spans="1:198">
      <c r="A24" s="239">
        <f t="shared" si="23"/>
        <v>11</v>
      </c>
      <c r="B24" s="125" t="str">
        <f t="shared" si="0"/>
        <v>sø</v>
      </c>
      <c r="C24" s="126" t="s">
        <v>118</v>
      </c>
      <c r="D24" s="127" t="str">
        <f t="shared" si="1"/>
        <v/>
      </c>
      <c r="E24" s="1060"/>
      <c r="F24" s="1061"/>
      <c r="G24" s="1062"/>
      <c r="H24" s="292"/>
      <c r="I24" s="803" t="str">
        <f>IF(GO24=1,"X","")</f>
        <v/>
      </c>
      <c r="J24" s="746" t="str">
        <f t="shared" si="2"/>
        <v/>
      </c>
      <c r="K24" s="368"/>
      <c r="L24" s="368"/>
      <c r="M24" s="368"/>
      <c r="N24" s="311">
        <f t="shared" si="24"/>
        <v>0</v>
      </c>
      <c r="O24" s="311">
        <f t="shared" si="25"/>
        <v>0</v>
      </c>
      <c r="P24" s="311">
        <f>IF(Stamoplysninger!$H$34="JA",Juli!DG24,CX24)</f>
        <v>0</v>
      </c>
      <c r="Q24" s="311">
        <f t="shared" si="26"/>
        <v>0</v>
      </c>
      <c r="R24" s="751"/>
      <c r="S24" s="315"/>
      <c r="T24" s="316"/>
      <c r="U24" s="316"/>
      <c r="V24" s="422"/>
      <c r="W24" s="400"/>
      <c r="X24" s="619"/>
      <c r="Y24">
        <f t="shared" si="27"/>
        <v>0</v>
      </c>
      <c r="Z24">
        <f t="shared" si="3"/>
        <v>0</v>
      </c>
      <c r="AA24" s="1">
        <f t="shared" si="4"/>
        <v>0</v>
      </c>
      <c r="AB24" s="1">
        <f t="shared" si="5"/>
        <v>0</v>
      </c>
      <c r="AC24" s="1">
        <f t="shared" si="6"/>
        <v>0</v>
      </c>
      <c r="AD24" s="1">
        <f t="shared" si="7"/>
        <v>0</v>
      </c>
      <c r="AE24" s="1">
        <f t="shared" si="8"/>
        <v>0</v>
      </c>
      <c r="AF24" s="1">
        <f>IF(C24="Orlov",7.4*Stamoplysninger!$E$20,0)</f>
        <v>0</v>
      </c>
      <c r="AG24" t="str">
        <f>IF(AND(C24="Skema 1",B24="ma"),Arbejdstidsoversigt!$E$77,"")</f>
        <v/>
      </c>
      <c r="AH24" t="str">
        <f>IF(AND(C24="Skema 1",B24="ti"),Arbejdstidsoversigt!$E$78,"")</f>
        <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9"/>
        <v>0</v>
      </c>
      <c r="BC24" s="1">
        <f t="shared" si="29"/>
        <v>0</v>
      </c>
      <c r="BD24" s="1">
        <f t="shared" si="10"/>
        <v>0</v>
      </c>
      <c r="BE24" s="1">
        <f t="shared" si="11"/>
        <v>0</v>
      </c>
      <c r="BF24" s="1">
        <f t="shared" si="12"/>
        <v>0</v>
      </c>
      <c r="BG24" s="207" t="str">
        <f>IF(AND(C24="Skema 1",B24="ma"),Skemaoplysninger!$E$46,"")</f>
        <v/>
      </c>
      <c r="BH24" s="207" t="str">
        <f>IF(AND(C24="Skema 1",B24="ti"),Skemaoplysninger!$G$46,"")</f>
        <v/>
      </c>
      <c r="BI24" s="207" t="str">
        <f>IF(AND(C24="Skema 1",B24="on"),Skemaoplysninger!$I$46,"")</f>
        <v/>
      </c>
      <c r="BJ24" s="207" t="str">
        <f>IF(AND(C24="Skema 1",B24="to"),Skemaoplysninger!$K$46,"")</f>
        <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0</v>
      </c>
      <c r="CB24" s="1">
        <f t="shared" si="13"/>
        <v>0</v>
      </c>
      <c r="CC24" s="1">
        <f t="shared" si="14"/>
        <v>0</v>
      </c>
      <c r="CD24" s="207" t="str">
        <f>IF(AND(C24="Skema 1",B24="ma"),Skemaoplysninger!$E$47,"")</f>
        <v/>
      </c>
      <c r="CE24" s="207" t="str">
        <f>IF(AND(C24="Skema 1",B24="ti"),Skemaoplysninger!$G$47,"")</f>
        <v/>
      </c>
      <c r="CF24" s="207" t="str">
        <f>IF(AND(C24="Skema 1",B24="on"),Skemaoplysninger!$I$47,"")</f>
        <v/>
      </c>
      <c r="CG24" s="207" t="str">
        <f>IF(AND(C24="Skema 1",B24="to"),Skemaoplysninger!$K$47,"")</f>
        <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5"/>
        <v/>
      </c>
      <c r="DL24" t="str">
        <f t="shared" si="15"/>
        <v/>
      </c>
      <c r="DM24" t="str">
        <f t="shared" si="15"/>
        <v/>
      </c>
      <c r="DN24" t="str">
        <f t="shared" si="35"/>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6"/>
        <v>0</v>
      </c>
      <c r="FZ24" s="634">
        <f t="shared" si="17"/>
        <v>0</v>
      </c>
      <c r="GA24">
        <f t="shared" si="18"/>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9"/>
        <v>0</v>
      </c>
      <c r="GL24">
        <f t="shared" si="20"/>
        <v>0</v>
      </c>
      <c r="GM24">
        <f t="shared" si="21"/>
        <v>0</v>
      </c>
      <c r="GN24" s="713">
        <f t="shared" si="22"/>
        <v>0</v>
      </c>
      <c r="GO24">
        <f t="shared" si="37"/>
        <v>0</v>
      </c>
      <c r="GP24" s="647">
        <f t="shared" si="38"/>
        <v>0</v>
      </c>
    </row>
    <row r="25" spans="1:198">
      <c r="A25" s="239">
        <f>IF(ISNUMBER(A24),A24+1,1)</f>
        <v>12</v>
      </c>
      <c r="B25" s="125" t="str">
        <f t="shared" si="0"/>
        <v>ma</v>
      </c>
      <c r="C25" s="126" t="s">
        <v>207</v>
      </c>
      <c r="D25" s="127">
        <f t="shared" si="1"/>
        <v>28.428571428571427</v>
      </c>
      <c r="E25" s="1060" t="s">
        <v>112</v>
      </c>
      <c r="F25" s="1061"/>
      <c r="G25" s="1062"/>
      <c r="H25" s="292"/>
      <c r="I25" s="745"/>
      <c r="J25" s="746" t="str">
        <f t="shared" si="2"/>
        <v/>
      </c>
      <c r="K25" s="368"/>
      <c r="L25" s="368"/>
      <c r="M25" s="368"/>
      <c r="N25" s="311">
        <f t="shared" si="24"/>
        <v>0</v>
      </c>
      <c r="O25" s="311">
        <f t="shared" si="25"/>
        <v>0</v>
      </c>
      <c r="P25" s="311">
        <f>IF(Stamoplysninger!$H$34="JA",Juli!DG25,CX25)</f>
        <v>0</v>
      </c>
      <c r="Q25" s="311">
        <f t="shared" si="26"/>
        <v>0</v>
      </c>
      <c r="R25" s="751"/>
      <c r="S25" s="315"/>
      <c r="T25" s="316"/>
      <c r="U25" s="316"/>
      <c r="V25" s="422"/>
      <c r="W25" s="400"/>
      <c r="X25" s="619"/>
      <c r="Y25">
        <f t="shared" si="27"/>
        <v>0</v>
      </c>
      <c r="Z25">
        <f t="shared" si="3"/>
        <v>0</v>
      </c>
      <c r="AA25" s="1">
        <f t="shared" si="4"/>
        <v>0</v>
      </c>
      <c r="AB25" s="1">
        <f t="shared" si="5"/>
        <v>0</v>
      </c>
      <c r="AC25" s="1">
        <f t="shared" si="6"/>
        <v>0</v>
      </c>
      <c r="AD25" s="1">
        <f t="shared" si="7"/>
        <v>0</v>
      </c>
      <c r="AE25" s="1">
        <f t="shared" si="8"/>
        <v>0</v>
      </c>
      <c r="AF25" s="1">
        <f>IF(C25="Orlov",7.4*Stamoplysninger!$E$20,0)</f>
        <v>0</v>
      </c>
      <c r="AG25" t="str">
        <f>IF(AND(C25="Skema 1",B25="ma"),Arbejdstidsoversigt!$E$77,"")</f>
        <v/>
      </c>
      <c r="AH25" t="str">
        <f>IF(AND(C25="Skema 1",B25="ti"),Arbejdstidsoversigt!$E$78,"")</f>
        <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9"/>
        <v>0</v>
      </c>
      <c r="BC25" s="1">
        <f t="shared" si="29"/>
        <v>0</v>
      </c>
      <c r="BD25" s="1">
        <f t="shared" si="10"/>
        <v>0</v>
      </c>
      <c r="BE25" s="1">
        <f t="shared" si="11"/>
        <v>0</v>
      </c>
      <c r="BF25" s="1">
        <f t="shared" si="12"/>
        <v>0</v>
      </c>
      <c r="BG25" s="207" t="str">
        <f>IF(AND(C25="Skema 1",B25="ma"),Skemaoplysninger!$E$46,"")</f>
        <v/>
      </c>
      <c r="BH25" s="207" t="str">
        <f>IF(AND(C25="Skema 1",B25="ti"),Skemaoplysninger!$G$46,"")</f>
        <v/>
      </c>
      <c r="BI25" s="207" t="str">
        <f>IF(AND(C25="Skema 1",B25="on"),Skemaoplysninger!$I$46,"")</f>
        <v/>
      </c>
      <c r="BJ25" s="207" t="str">
        <f>IF(AND(C25="Skema 1",B25="to"),Skemaoplysninger!$K$46,"")</f>
        <v/>
      </c>
      <c r="BK25" s="207" t="str">
        <f>IF(AND(C25="Skema 1",B25="fr"),Skemaoplysninger!$M$46,"")</f>
        <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0</v>
      </c>
      <c r="CB25" s="1">
        <f t="shared" si="13"/>
        <v>0</v>
      </c>
      <c r="CC25" s="1">
        <f t="shared" si="14"/>
        <v>0</v>
      </c>
      <c r="CD25" s="207" t="str">
        <f>IF(AND(C25="Skema 1",B25="ma"),Skemaoplysninger!$E$47,"")</f>
        <v/>
      </c>
      <c r="CE25" s="207" t="str">
        <f>IF(AND(C25="Skema 1",B25="ti"),Skemaoplysninger!$G$47,"")</f>
        <v/>
      </c>
      <c r="CF25" s="207" t="str">
        <f>IF(AND(C25="Skema 1",B25="on"),Skemaoplysninger!$I$47,"")</f>
        <v/>
      </c>
      <c r="CG25" s="207" t="str">
        <f>IF(AND(C25="Skema 1",B25="to"),Skemaoplysninger!$K$47,"")</f>
        <v/>
      </c>
      <c r="CH25" s="207" t="str">
        <f>IF(AND(C25="Skema 1",B25="fr"),Skemaoplysninger!$M$47,"")</f>
        <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t="str">
        <f t="shared" si="33"/>
        <v>Sommerferie</v>
      </c>
      <c r="DJ25" t="str">
        <f t="shared" si="34"/>
        <v/>
      </c>
      <c r="DK25" t="str">
        <f t="shared" si="15"/>
        <v/>
      </c>
      <c r="DL25" t="str">
        <f t="shared" si="15"/>
        <v>Sommerferie</v>
      </c>
      <c r="DM25" t="str">
        <f t="shared" si="15"/>
        <v/>
      </c>
      <c r="DN25" t="str">
        <f t="shared" si="35"/>
        <v>Sommerferie</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6"/>
        <v>0</v>
      </c>
      <c r="FZ25" s="634">
        <f t="shared" si="17"/>
        <v>0</v>
      </c>
      <c r="GA25">
        <f t="shared" si="18"/>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9"/>
        <v>0</v>
      </c>
      <c r="GL25">
        <f t="shared" si="20"/>
        <v>0</v>
      </c>
      <c r="GM25">
        <f t="shared" si="21"/>
        <v>0</v>
      </c>
      <c r="GN25" s="713">
        <f t="shared" si="22"/>
        <v>0</v>
      </c>
      <c r="GO25">
        <f t="shared" si="37"/>
        <v>0</v>
      </c>
      <c r="GP25" s="647">
        <f t="shared" si="38"/>
        <v>0</v>
      </c>
    </row>
    <row r="26" spans="1:198">
      <c r="A26" s="239">
        <f>IF(ISNUMBER(A25),A25+1,1)</f>
        <v>13</v>
      </c>
      <c r="B26" s="125" t="str">
        <f t="shared" si="0"/>
        <v>ti</v>
      </c>
      <c r="C26" s="126" t="s">
        <v>207</v>
      </c>
      <c r="D26" s="127" t="str">
        <f t="shared" si="1"/>
        <v/>
      </c>
      <c r="E26" s="1060" t="s">
        <v>112</v>
      </c>
      <c r="F26" s="1061"/>
      <c r="G26" s="1062"/>
      <c r="H26" s="291"/>
      <c r="I26" s="745"/>
      <c r="J26" s="746" t="str">
        <f t="shared" si="2"/>
        <v/>
      </c>
      <c r="K26" s="368"/>
      <c r="L26" s="368"/>
      <c r="M26" s="368"/>
      <c r="N26" s="311">
        <f t="shared" si="24"/>
        <v>0</v>
      </c>
      <c r="O26" s="311">
        <f t="shared" si="25"/>
        <v>0</v>
      </c>
      <c r="P26" s="311">
        <f>IF(Stamoplysninger!$H$34="JA",Juli!DG26,CX26)</f>
        <v>0</v>
      </c>
      <c r="Q26" s="311">
        <f t="shared" si="26"/>
        <v>0</v>
      </c>
      <c r="R26" s="751"/>
      <c r="S26" s="315"/>
      <c r="T26" s="316"/>
      <c r="U26" s="316"/>
      <c r="V26" s="422"/>
      <c r="W26" s="400"/>
      <c r="X26" s="619"/>
      <c r="Y26">
        <f t="shared" si="27"/>
        <v>0</v>
      </c>
      <c r="Z26">
        <f t="shared" si="3"/>
        <v>0</v>
      </c>
      <c r="AA26" s="1">
        <f t="shared" si="4"/>
        <v>0</v>
      </c>
      <c r="AB26" s="1">
        <f t="shared" si="5"/>
        <v>0</v>
      </c>
      <c r="AC26" s="1">
        <f t="shared" si="6"/>
        <v>0</v>
      </c>
      <c r="AD26" s="1">
        <f t="shared" si="7"/>
        <v>0</v>
      </c>
      <c r="AE26" s="1">
        <f t="shared" si="8"/>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9"/>
        <v>0</v>
      </c>
      <c r="BC26" s="1">
        <f t="shared" si="29"/>
        <v>0</v>
      </c>
      <c r="BD26" s="1">
        <f t="shared" si="10"/>
        <v>0</v>
      </c>
      <c r="BE26" s="1">
        <f t="shared" si="11"/>
        <v>0</v>
      </c>
      <c r="BF26" s="1">
        <f t="shared" si="12"/>
        <v>0</v>
      </c>
      <c r="BG26" s="207" t="str">
        <f>IF(AND(C26="Skema 1",B26="ma"),Skemaoplysninger!$E$46,"")</f>
        <v/>
      </c>
      <c r="BH26" s="207" t="str">
        <f>IF(AND(C26="Skema 1",B26="ti"),Skemaoplysninger!$G$46,"")</f>
        <v/>
      </c>
      <c r="BI26" s="207" t="str">
        <f>IF(AND(C26="Skema 1",B26="on"),Skemaoplysninger!$I$46,"")</f>
        <v/>
      </c>
      <c r="BJ26" s="207" t="str">
        <f>IF(AND(C26="Skema 1",B26="to"),Skemaoplysninger!$K$46,"")</f>
        <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0</v>
      </c>
      <c r="CB26" s="1">
        <f t="shared" si="13"/>
        <v>0</v>
      </c>
      <c r="CC26" s="1">
        <f t="shared" si="14"/>
        <v>0</v>
      </c>
      <c r="CD26" s="207" t="str">
        <f>IF(AND(C26="Skema 1",B26="ma"),Skemaoplysninger!$E$47,"")</f>
        <v/>
      </c>
      <c r="CE26" s="207" t="str">
        <f>IF(AND(C26="Skema 1",B26="ti"),Skemaoplysninger!$G$47,"")</f>
        <v/>
      </c>
      <c r="CF26" s="207" t="str">
        <f>IF(AND(C26="Skema 1",B26="on"),Skemaoplysninger!$I$47,"")</f>
        <v/>
      </c>
      <c r="CG26" s="207" t="str">
        <f>IF(AND(C26="Skema 1",B26="to"),Skemaoplysninger!$K$47,"")</f>
        <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t="str">
        <f t="shared" si="33"/>
        <v>Sommerferie</v>
      </c>
      <c r="DJ26" t="str">
        <f t="shared" si="34"/>
        <v/>
      </c>
      <c r="DK26" t="str">
        <f t="shared" si="15"/>
        <v/>
      </c>
      <c r="DL26" t="str">
        <f t="shared" si="15"/>
        <v>Sommerferie</v>
      </c>
      <c r="DM26" t="str">
        <f t="shared" si="15"/>
        <v/>
      </c>
      <c r="DN26" t="str">
        <f t="shared" si="35"/>
        <v>Sommerferie</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6"/>
        <v>0</v>
      </c>
      <c r="FZ26" s="634">
        <f t="shared" si="17"/>
        <v>0</v>
      </c>
      <c r="GA26">
        <f t="shared" si="18"/>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9"/>
        <v>0</v>
      </c>
      <c r="GL26">
        <f t="shared" si="20"/>
        <v>0</v>
      </c>
      <c r="GM26">
        <f t="shared" si="21"/>
        <v>0</v>
      </c>
      <c r="GN26" s="713">
        <f t="shared" si="22"/>
        <v>0</v>
      </c>
      <c r="GO26">
        <f t="shared" si="37"/>
        <v>0</v>
      </c>
      <c r="GP26" s="647">
        <f t="shared" si="38"/>
        <v>0</v>
      </c>
    </row>
    <row r="27" spans="1:198">
      <c r="A27" s="239">
        <f t="shared" si="23"/>
        <v>14</v>
      </c>
      <c r="B27" s="125" t="str">
        <f t="shared" si="0"/>
        <v>on</v>
      </c>
      <c r="C27" s="126" t="s">
        <v>207</v>
      </c>
      <c r="D27" s="127" t="str">
        <f t="shared" si="1"/>
        <v/>
      </c>
      <c r="E27" s="1060" t="s">
        <v>112</v>
      </c>
      <c r="F27" s="1061"/>
      <c r="G27" s="1062"/>
      <c r="H27" s="291"/>
      <c r="I27" s="745"/>
      <c r="J27" s="746" t="str">
        <f t="shared" si="2"/>
        <v/>
      </c>
      <c r="K27" s="368"/>
      <c r="L27" s="368"/>
      <c r="M27" s="368"/>
      <c r="N27" s="311">
        <f t="shared" si="24"/>
        <v>0</v>
      </c>
      <c r="O27" s="311">
        <f t="shared" si="25"/>
        <v>0</v>
      </c>
      <c r="P27" s="311">
        <f>IF(Stamoplysninger!$H$34="JA",Juli!DG27,CX27)</f>
        <v>0</v>
      </c>
      <c r="Q27" s="311">
        <f t="shared" si="26"/>
        <v>0</v>
      </c>
      <c r="R27" s="751"/>
      <c r="S27" s="315"/>
      <c r="T27" s="316"/>
      <c r="U27" s="316"/>
      <c r="V27" s="422"/>
      <c r="W27" s="400"/>
      <c r="X27" s="619"/>
      <c r="Y27">
        <f t="shared" si="27"/>
        <v>0</v>
      </c>
      <c r="Z27">
        <f t="shared" si="3"/>
        <v>0</v>
      </c>
      <c r="AA27" s="1">
        <f t="shared" si="4"/>
        <v>0</v>
      </c>
      <c r="AB27" s="1">
        <f t="shared" si="5"/>
        <v>0</v>
      </c>
      <c r="AC27" s="1">
        <f t="shared" si="6"/>
        <v>0</v>
      </c>
      <c r="AD27" s="1">
        <f t="shared" si="7"/>
        <v>0</v>
      </c>
      <c r="AE27" s="1">
        <f t="shared" si="8"/>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9"/>
        <v>0</v>
      </c>
      <c r="BC27" s="1">
        <f t="shared" si="29"/>
        <v>0</v>
      </c>
      <c r="BD27" s="1">
        <f t="shared" si="10"/>
        <v>0</v>
      </c>
      <c r="BE27" s="1">
        <f t="shared" si="11"/>
        <v>0</v>
      </c>
      <c r="BF27" s="1">
        <f t="shared" si="12"/>
        <v>0</v>
      </c>
      <c r="BG27" s="207" t="str">
        <f>IF(AND(C27="Skema 1",B27="ma"),Skemaoplysninger!$E$46,"")</f>
        <v/>
      </c>
      <c r="BH27" s="207" t="str">
        <f>IF(AND(C27="Skema 1",B27="ti"),Skemaoplysninger!$G$46,"")</f>
        <v/>
      </c>
      <c r="BI27" s="207" t="str">
        <f>IF(AND(C27="Skema 1",B27="on"),Skemaoplysninger!$I$46,"")</f>
        <v/>
      </c>
      <c r="BJ27" s="207" t="str">
        <f>IF(AND(C27="Skema 1",B27="to"),Skemaoplysninger!$K$46,"")</f>
        <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0</v>
      </c>
      <c r="CB27" s="1">
        <f t="shared" si="13"/>
        <v>0</v>
      </c>
      <c r="CC27" s="1">
        <f t="shared" si="14"/>
        <v>0</v>
      </c>
      <c r="CD27" s="207" t="str">
        <f>IF(AND(C27="Skema 1",B27="ma"),Skemaoplysninger!$E$47,"")</f>
        <v/>
      </c>
      <c r="CE27" s="207" t="str">
        <f>IF(AND(C27="Skema 1",B27="ti"),Skemaoplysninger!$G$47,"")</f>
        <v/>
      </c>
      <c r="CF27" s="207" t="str">
        <f>IF(AND(C27="Skema 1",B27="on"),Skemaoplysninger!$I$47,"")</f>
        <v/>
      </c>
      <c r="CG27" s="207" t="str">
        <f>IF(AND(C27="Skema 1",B27="to"),Skemaoplysninger!$K$47,"")</f>
        <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t="str">
        <f t="shared" si="33"/>
        <v>Sommerferie</v>
      </c>
      <c r="DJ27" t="str">
        <f t="shared" si="34"/>
        <v/>
      </c>
      <c r="DK27" t="str">
        <f t="shared" si="15"/>
        <v/>
      </c>
      <c r="DL27" t="str">
        <f t="shared" si="15"/>
        <v>Sommerferie</v>
      </c>
      <c r="DM27" t="str">
        <f t="shared" si="15"/>
        <v/>
      </c>
      <c r="DN27" t="str">
        <f t="shared" si="35"/>
        <v>Sommerferie</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6"/>
        <v>0</v>
      </c>
      <c r="FZ27" s="634">
        <f t="shared" si="17"/>
        <v>0</v>
      </c>
      <c r="GA27">
        <f t="shared" si="18"/>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9"/>
        <v>0</v>
      </c>
      <c r="GL27">
        <f t="shared" si="20"/>
        <v>0</v>
      </c>
      <c r="GM27">
        <f t="shared" si="21"/>
        <v>0</v>
      </c>
      <c r="GN27" s="713">
        <f t="shared" si="22"/>
        <v>0</v>
      </c>
      <c r="GO27">
        <f t="shared" si="37"/>
        <v>0</v>
      </c>
      <c r="GP27" s="647">
        <f t="shared" si="38"/>
        <v>0</v>
      </c>
    </row>
    <row r="28" spans="1:198">
      <c r="A28" s="239">
        <f t="shared" si="23"/>
        <v>15</v>
      </c>
      <c r="B28" s="125" t="str">
        <f t="shared" si="0"/>
        <v>to</v>
      </c>
      <c r="C28" s="126" t="s">
        <v>207</v>
      </c>
      <c r="D28" s="127" t="str">
        <f t="shared" si="1"/>
        <v/>
      </c>
      <c r="E28" s="1060" t="s">
        <v>112</v>
      </c>
      <c r="F28" s="1061"/>
      <c r="G28" s="1062"/>
      <c r="H28" s="291"/>
      <c r="I28" s="745"/>
      <c r="J28" s="746" t="str">
        <f t="shared" si="2"/>
        <v/>
      </c>
      <c r="K28" s="368"/>
      <c r="L28" s="368"/>
      <c r="M28" s="368"/>
      <c r="N28" s="311">
        <f t="shared" si="24"/>
        <v>0</v>
      </c>
      <c r="O28" s="311">
        <f t="shared" si="25"/>
        <v>0</v>
      </c>
      <c r="P28" s="311">
        <f>IF(Stamoplysninger!$H$34="JA",Juli!DG28,CX28)</f>
        <v>0</v>
      </c>
      <c r="Q28" s="311">
        <f t="shared" si="26"/>
        <v>0</v>
      </c>
      <c r="R28" s="751"/>
      <c r="S28" s="315"/>
      <c r="T28" s="316"/>
      <c r="U28" s="316"/>
      <c r="V28" s="422"/>
      <c r="W28" s="400"/>
      <c r="X28" s="619"/>
      <c r="Y28">
        <f t="shared" si="27"/>
        <v>0</v>
      </c>
      <c r="Z28">
        <f t="shared" si="3"/>
        <v>0</v>
      </c>
      <c r="AA28" s="1">
        <f t="shared" si="4"/>
        <v>0</v>
      </c>
      <c r="AB28" s="1">
        <f t="shared" si="5"/>
        <v>0</v>
      </c>
      <c r="AC28" s="1">
        <f t="shared" si="6"/>
        <v>0</v>
      </c>
      <c r="AD28" s="1">
        <f t="shared" si="7"/>
        <v>0</v>
      </c>
      <c r="AE28" s="1">
        <f t="shared" si="8"/>
        <v>0</v>
      </c>
      <c r="AF28" s="1">
        <f>IF(C28="Orlov",7.4*Stamoplysninger!$E$20,0)</f>
        <v>0</v>
      </c>
      <c r="AG28" t="str">
        <f>IF(AND(C28="Skema 1",B28="ma"),Arbejdstidsoversigt!$E$77,"")</f>
        <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9"/>
        <v>0</v>
      </c>
      <c r="BC28" s="1">
        <f t="shared" si="29"/>
        <v>0</v>
      </c>
      <c r="BD28" s="1">
        <f t="shared" si="10"/>
        <v>0</v>
      </c>
      <c r="BE28" s="1">
        <f t="shared" si="11"/>
        <v>0</v>
      </c>
      <c r="BF28" s="1">
        <f t="shared" si="12"/>
        <v>0</v>
      </c>
      <c r="BG28" s="207" t="str">
        <f>IF(AND(C28="Skema 1",B28="ma"),Skemaoplysninger!$E$46,"")</f>
        <v/>
      </c>
      <c r="BH28" s="207" t="str">
        <f>IF(AND(C28="Skema 1",B28="ti"),Skemaoplysninger!$G$46,"")</f>
        <v/>
      </c>
      <c r="BI28" s="207" t="str">
        <f>IF(AND(C28="Skema 1",B28="on"),Skemaoplysninger!$I$46,"")</f>
        <v/>
      </c>
      <c r="BJ28" s="207" t="str">
        <f>IF(AND(C28="Skema 1",B28="to"),Skemaoplysninger!$K$46,"")</f>
        <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0</v>
      </c>
      <c r="CB28" s="1">
        <f t="shared" si="13"/>
        <v>0</v>
      </c>
      <c r="CC28" s="1">
        <f t="shared" si="14"/>
        <v>0</v>
      </c>
      <c r="CD28" s="207" t="str">
        <f>IF(AND(C28="Skema 1",B28="ma"),Skemaoplysninger!$E$47,"")</f>
        <v/>
      </c>
      <c r="CE28" s="207" t="str">
        <f>IF(AND(C28="Skema 1",B28="ti"),Skemaoplysninger!$G$47,"")</f>
        <v/>
      </c>
      <c r="CF28" s="207" t="str">
        <f>IF(AND(C28="Skema 1",B28="on"),Skemaoplysninger!$I$47,"")</f>
        <v/>
      </c>
      <c r="CG28" s="207" t="str">
        <f>IF(AND(C28="Skema 1",B28="to"),Skemaoplysninger!$K$47,"")</f>
        <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t="str">
        <f t="shared" si="33"/>
        <v>Sommerferie</v>
      </c>
      <c r="DJ28" t="str">
        <f t="shared" si="34"/>
        <v/>
      </c>
      <c r="DK28" t="str">
        <f t="shared" si="15"/>
        <v/>
      </c>
      <c r="DL28" t="str">
        <f t="shared" si="15"/>
        <v>Sommerferie</v>
      </c>
      <c r="DM28" t="str">
        <f t="shared" si="15"/>
        <v/>
      </c>
      <c r="DN28" t="str">
        <f t="shared" si="35"/>
        <v>Sommerferie</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6"/>
        <v>0</v>
      </c>
      <c r="FZ28" s="634">
        <f t="shared" si="17"/>
        <v>0</v>
      </c>
      <c r="GA28">
        <f t="shared" si="18"/>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9"/>
        <v>0</v>
      </c>
      <c r="GL28">
        <f t="shared" si="20"/>
        <v>0</v>
      </c>
      <c r="GM28">
        <f t="shared" si="21"/>
        <v>0</v>
      </c>
      <c r="GN28" s="713">
        <f t="shared" si="22"/>
        <v>0</v>
      </c>
      <c r="GO28">
        <f t="shared" si="37"/>
        <v>0</v>
      </c>
      <c r="GP28" s="647">
        <f t="shared" si="38"/>
        <v>0</v>
      </c>
    </row>
    <row r="29" spans="1:198">
      <c r="A29" s="239">
        <f>IF(ISNUMBER(A28),A28+1,1)</f>
        <v>16</v>
      </c>
      <c r="B29" s="125" t="str">
        <f t="shared" si="0"/>
        <v>fr</v>
      </c>
      <c r="C29" s="126" t="s">
        <v>207</v>
      </c>
      <c r="D29" s="127" t="str">
        <f t="shared" si="1"/>
        <v/>
      </c>
      <c r="E29" s="1060" t="s">
        <v>112</v>
      </c>
      <c r="F29" s="1061"/>
      <c r="G29" s="1062"/>
      <c r="H29" s="292"/>
      <c r="I29" s="745"/>
      <c r="J29" s="746" t="str">
        <f t="shared" si="2"/>
        <v/>
      </c>
      <c r="K29" s="368"/>
      <c r="L29" s="368"/>
      <c r="M29" s="368"/>
      <c r="N29" s="311">
        <f t="shared" si="24"/>
        <v>0</v>
      </c>
      <c r="O29" s="311">
        <f t="shared" si="25"/>
        <v>0</v>
      </c>
      <c r="P29" s="311">
        <f>IF(Stamoplysninger!$H$34="JA",Juli!DG29,CX29)</f>
        <v>0</v>
      </c>
      <c r="Q29" s="311">
        <f t="shared" si="26"/>
        <v>0</v>
      </c>
      <c r="R29" s="751"/>
      <c r="S29" s="315"/>
      <c r="T29" s="316"/>
      <c r="U29" s="316"/>
      <c r="V29" s="422"/>
      <c r="W29" s="400"/>
      <c r="X29" s="619"/>
      <c r="Y29">
        <f t="shared" si="27"/>
        <v>0</v>
      </c>
      <c r="Z29">
        <f t="shared" si="3"/>
        <v>0</v>
      </c>
      <c r="AA29" s="1">
        <f t="shared" si="4"/>
        <v>0</v>
      </c>
      <c r="AB29" s="1">
        <f t="shared" si="5"/>
        <v>0</v>
      </c>
      <c r="AC29" s="1">
        <f t="shared" si="6"/>
        <v>0</v>
      </c>
      <c r="AD29" s="1">
        <f t="shared" si="7"/>
        <v>0</v>
      </c>
      <c r="AE29" s="1">
        <f t="shared" si="8"/>
        <v>0</v>
      </c>
      <c r="AF29" s="1">
        <f>IF(C29="Orlov",7.4*Stamoplysninger!$E$20,0)</f>
        <v>0</v>
      </c>
      <c r="AG29" t="str">
        <f>IF(AND(C29="Skema 1",B29="ma"),Arbejdstidsoversigt!$E$77,"")</f>
        <v/>
      </c>
      <c r="AH29" t="str">
        <f>IF(AND(C29="Skema 1",B29="ti"),Arbejdstidsoversigt!$E$78,"")</f>
        <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9"/>
        <v>0</v>
      </c>
      <c r="BC29" s="1">
        <f t="shared" si="29"/>
        <v>0</v>
      </c>
      <c r="BD29" s="1">
        <f t="shared" si="10"/>
        <v>0</v>
      </c>
      <c r="BE29" s="1">
        <f t="shared" si="11"/>
        <v>0</v>
      </c>
      <c r="BF29" s="1">
        <f t="shared" si="12"/>
        <v>0</v>
      </c>
      <c r="BG29" s="207" t="str">
        <f>IF(AND(C29="Skema 1",B29="ma"),Skemaoplysninger!$E$46,"")</f>
        <v/>
      </c>
      <c r="BH29" s="207" t="str">
        <f>IF(AND(C29="Skema 1",B29="ti"),Skemaoplysninger!$G$46,"")</f>
        <v/>
      </c>
      <c r="BI29" s="207" t="str">
        <f>IF(AND(C29="Skema 1",B29="on"),Skemaoplysninger!$I$46,"")</f>
        <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0</v>
      </c>
      <c r="CB29" s="1">
        <f t="shared" si="13"/>
        <v>0</v>
      </c>
      <c r="CC29" s="1">
        <f t="shared" si="14"/>
        <v>0</v>
      </c>
      <c r="CD29" s="207" t="str">
        <f>IF(AND(C29="Skema 1",B29="ma"),Skemaoplysninger!$E$47,"")</f>
        <v/>
      </c>
      <c r="CE29" s="207" t="str">
        <f>IF(AND(C29="Skema 1",B29="ti"),Skemaoplysninger!$G$47,"")</f>
        <v/>
      </c>
      <c r="CF29" s="207" t="str">
        <f>IF(AND(C29="Skema 1",B29="on"),Skemaoplysninger!$I$47,"")</f>
        <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t="str">
        <f t="shared" si="33"/>
        <v>Sommerferie</v>
      </c>
      <c r="DJ29" t="str">
        <f t="shared" si="34"/>
        <v/>
      </c>
      <c r="DK29" t="str">
        <f t="shared" si="15"/>
        <v/>
      </c>
      <c r="DL29" t="str">
        <f t="shared" si="15"/>
        <v>Sommerferie</v>
      </c>
      <c r="DM29" t="str">
        <f t="shared" si="15"/>
        <v/>
      </c>
      <c r="DN29" t="str">
        <f t="shared" si="35"/>
        <v>Sommerferie</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6"/>
        <v>0</v>
      </c>
      <c r="FZ29" s="634">
        <f t="shared" si="17"/>
        <v>0</v>
      </c>
      <c r="GA29">
        <f t="shared" si="18"/>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9"/>
        <v>0</v>
      </c>
      <c r="GL29">
        <f t="shared" si="20"/>
        <v>0</v>
      </c>
      <c r="GM29">
        <f t="shared" si="21"/>
        <v>0</v>
      </c>
      <c r="GN29" s="713">
        <f t="shared" si="22"/>
        <v>0</v>
      </c>
      <c r="GO29">
        <f t="shared" si="37"/>
        <v>0</v>
      </c>
      <c r="GP29" s="647">
        <f t="shared" si="38"/>
        <v>0</v>
      </c>
    </row>
    <row r="30" spans="1:198">
      <c r="A30" s="239">
        <f t="shared" si="23"/>
        <v>17</v>
      </c>
      <c r="B30" s="125" t="str">
        <f t="shared" si="0"/>
        <v>lø</v>
      </c>
      <c r="C30" s="126" t="s">
        <v>118</v>
      </c>
      <c r="D30" s="127" t="str">
        <f t="shared" si="1"/>
        <v/>
      </c>
      <c r="E30" s="1060"/>
      <c r="F30" s="1061"/>
      <c r="G30" s="1062"/>
      <c r="H30" s="292"/>
      <c r="I30" s="803" t="str">
        <f>IF(GO30=1,"X","")</f>
        <v/>
      </c>
      <c r="J30" s="746" t="str">
        <f t="shared" si="2"/>
        <v/>
      </c>
      <c r="K30" s="368"/>
      <c r="L30" s="368"/>
      <c r="M30" s="368"/>
      <c r="N30" s="311">
        <f t="shared" si="24"/>
        <v>0</v>
      </c>
      <c r="O30" s="311">
        <f t="shared" si="25"/>
        <v>0</v>
      </c>
      <c r="P30" s="311">
        <f>IF(Stamoplysninger!$H$34="JA",Juli!DG30,CX30)</f>
        <v>0</v>
      </c>
      <c r="Q30" s="311">
        <f t="shared" si="26"/>
        <v>0</v>
      </c>
      <c r="R30" s="751"/>
      <c r="S30" s="315"/>
      <c r="T30" s="316"/>
      <c r="U30" s="316"/>
      <c r="V30" s="422"/>
      <c r="W30" s="400"/>
      <c r="X30" s="619"/>
      <c r="Y30">
        <f t="shared" si="27"/>
        <v>0</v>
      </c>
      <c r="Z30">
        <f t="shared" si="3"/>
        <v>0</v>
      </c>
      <c r="AA30" s="1">
        <f t="shared" si="4"/>
        <v>0</v>
      </c>
      <c r="AB30" s="1">
        <f t="shared" si="5"/>
        <v>0</v>
      </c>
      <c r="AC30" s="1">
        <f t="shared" si="6"/>
        <v>0</v>
      </c>
      <c r="AD30" s="1">
        <f t="shared" si="7"/>
        <v>0</v>
      </c>
      <c r="AE30" s="1">
        <f t="shared" si="8"/>
        <v>0</v>
      </c>
      <c r="AF30" s="1">
        <f>IF(C30="Orlov",7.4*Stamoplysninger!$E$20,0)</f>
        <v>0</v>
      </c>
      <c r="AG30" t="str">
        <f>IF(AND(C30="Skema 1",B30="ma"),Arbejdstidsoversigt!$E$77,"")</f>
        <v/>
      </c>
      <c r="AH30" t="str">
        <f>IF(AND(C30="Skema 1",B30="ti"),Arbejdstidsoversigt!$E$78,"")</f>
        <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9"/>
        <v>0</v>
      </c>
      <c r="BC30" s="1">
        <f t="shared" si="29"/>
        <v>0</v>
      </c>
      <c r="BD30" s="1">
        <f t="shared" si="10"/>
        <v>0</v>
      </c>
      <c r="BE30" s="1">
        <f t="shared" si="11"/>
        <v>0</v>
      </c>
      <c r="BF30" s="1">
        <f t="shared" si="12"/>
        <v>0</v>
      </c>
      <c r="BG30" s="207" t="str">
        <f>IF(AND(C30="Skema 1",B30="ma"),Skemaoplysninger!$E$46,"")</f>
        <v/>
      </c>
      <c r="BH30" s="207" t="str">
        <f>IF(AND(C30="Skema 1",B30="ti"),Skemaoplysninger!$G$46,"")</f>
        <v/>
      </c>
      <c r="BI30" s="207" t="str">
        <f>IF(AND(C30="Skema 1",B30="on"),Skemaoplysninger!$I$46,"")</f>
        <v/>
      </c>
      <c r="BJ30" s="207" t="str">
        <f>IF(AND(C30="Skema 1",B30="to"),Skemaoplysninger!$K$46,"")</f>
        <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0</v>
      </c>
      <c r="CB30" s="1">
        <f t="shared" si="13"/>
        <v>0</v>
      </c>
      <c r="CC30" s="1">
        <f t="shared" si="14"/>
        <v>0</v>
      </c>
      <c r="CD30" s="207" t="str">
        <f>IF(AND(C30="Skema 1",B30="ma"),Skemaoplysninger!$E$47,"")</f>
        <v/>
      </c>
      <c r="CE30" s="207" t="str">
        <f>IF(AND(C30="Skema 1",B30="ti"),Skemaoplysninger!$G$47,"")</f>
        <v/>
      </c>
      <c r="CF30" s="207" t="str">
        <f>IF(AND(C30="Skema 1",B30="on"),Skemaoplysninger!$I$47,"")</f>
        <v/>
      </c>
      <c r="CG30" s="207" t="str">
        <f>IF(AND(C30="Skema 1",B30="to"),Skemaoplysninger!$K$47,"")</f>
        <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5"/>
        <v/>
      </c>
      <c r="DL30" t="str">
        <f t="shared" si="15"/>
        <v/>
      </c>
      <c r="DM30" t="str">
        <f t="shared" si="15"/>
        <v/>
      </c>
      <c r="DN30" t="str">
        <f t="shared" si="35"/>
        <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6"/>
        <v>0</v>
      </c>
      <c r="FZ30" s="634">
        <f t="shared" si="17"/>
        <v>0</v>
      </c>
      <c r="GA30">
        <f t="shared" si="18"/>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9"/>
        <v>0</v>
      </c>
      <c r="GL30">
        <f t="shared" si="20"/>
        <v>0</v>
      </c>
      <c r="GM30">
        <f t="shared" si="21"/>
        <v>0</v>
      </c>
      <c r="GN30" s="713">
        <f t="shared" si="22"/>
        <v>0</v>
      </c>
      <c r="GO30">
        <f t="shared" si="37"/>
        <v>0</v>
      </c>
      <c r="GP30" s="647">
        <f t="shared" si="38"/>
        <v>0</v>
      </c>
    </row>
    <row r="31" spans="1:198">
      <c r="A31" s="239">
        <f t="shared" si="23"/>
        <v>18</v>
      </c>
      <c r="B31" s="125" t="str">
        <f t="shared" si="0"/>
        <v>sø</v>
      </c>
      <c r="C31" s="126" t="s">
        <v>118</v>
      </c>
      <c r="D31" s="127" t="str">
        <f t="shared" si="1"/>
        <v/>
      </c>
      <c r="E31" s="1060"/>
      <c r="F31" s="1061"/>
      <c r="G31" s="1062"/>
      <c r="H31" s="292"/>
      <c r="I31" s="803" t="str">
        <f>IF(GO31=1,"X","")</f>
        <v/>
      </c>
      <c r="J31" s="746" t="str">
        <f t="shared" si="2"/>
        <v/>
      </c>
      <c r="K31" s="368"/>
      <c r="L31" s="368"/>
      <c r="M31" s="368"/>
      <c r="N31" s="311">
        <f t="shared" si="24"/>
        <v>0</v>
      </c>
      <c r="O31" s="311">
        <f t="shared" si="25"/>
        <v>0</v>
      </c>
      <c r="P31" s="311">
        <f>IF(Stamoplysninger!$H$34="JA",Juli!DG31,CX31)</f>
        <v>0</v>
      </c>
      <c r="Q31" s="311">
        <f t="shared" si="26"/>
        <v>0</v>
      </c>
      <c r="R31" s="751"/>
      <c r="S31" s="315"/>
      <c r="T31" s="316"/>
      <c r="U31" s="316"/>
      <c r="V31" s="422"/>
      <c r="W31" s="400"/>
      <c r="X31" s="619"/>
      <c r="Y31">
        <f t="shared" si="27"/>
        <v>0</v>
      </c>
      <c r="Z31">
        <f t="shared" si="3"/>
        <v>0</v>
      </c>
      <c r="AA31" s="1">
        <f t="shared" si="4"/>
        <v>0</v>
      </c>
      <c r="AB31" s="1">
        <f t="shared" si="5"/>
        <v>0</v>
      </c>
      <c r="AC31" s="1">
        <f t="shared" si="6"/>
        <v>0</v>
      </c>
      <c r="AD31" s="1">
        <f t="shared" si="7"/>
        <v>0</v>
      </c>
      <c r="AE31" s="1">
        <f t="shared" si="8"/>
        <v>0</v>
      </c>
      <c r="AF31" s="1">
        <f>IF(C31="Orlov",7.4*Stamoplysninger!$E$20,0)</f>
        <v>0</v>
      </c>
      <c r="AG31" t="str">
        <f>IF(AND(C31="Skema 1",B31="ma"),Arbejdstidsoversigt!$E$77,"")</f>
        <v/>
      </c>
      <c r="AH31" t="str">
        <f>IF(AND(C31="Skema 1",B31="ti"),Arbejdstidsoversigt!$E$78,"")</f>
        <v/>
      </c>
      <c r="AI31" t="str">
        <f>IF(AND(C31="Skema 1",B31="on"),Arbejdstidsoversigt!$E$79,"")</f>
        <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9"/>
        <v>0</v>
      </c>
      <c r="BC31" s="1">
        <f t="shared" si="29"/>
        <v>0</v>
      </c>
      <c r="BD31" s="1">
        <f t="shared" si="10"/>
        <v>0</v>
      </c>
      <c r="BE31" s="1">
        <f t="shared" si="11"/>
        <v>0</v>
      </c>
      <c r="BF31" s="1">
        <f t="shared" si="12"/>
        <v>0</v>
      </c>
      <c r="BG31" s="207" t="str">
        <f>IF(AND(C31="Skema 1",B31="ma"),Skemaoplysninger!$E$46,"")</f>
        <v/>
      </c>
      <c r="BH31" s="207" t="str">
        <f>IF(AND(C31="Skema 1",B31="ti"),Skemaoplysninger!$G$46,"")</f>
        <v/>
      </c>
      <c r="BI31" s="207" t="str">
        <f>IF(AND(C31="Skema 1",B31="on"),Skemaoplysninger!$I$46,"")</f>
        <v/>
      </c>
      <c r="BJ31" s="207" t="str">
        <f>IF(AND(C31="Skema 1",B31="to"),Skemaoplysninger!$K$46,"")</f>
        <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0</v>
      </c>
      <c r="CB31" s="1">
        <f t="shared" si="13"/>
        <v>0</v>
      </c>
      <c r="CC31" s="1">
        <f t="shared" si="14"/>
        <v>0</v>
      </c>
      <c r="CD31" s="207" t="str">
        <f>IF(AND(C31="Skema 1",B31="ma"),Skemaoplysninger!$E$47,"")</f>
        <v/>
      </c>
      <c r="CE31" s="207" t="str">
        <f>IF(AND(C31="Skema 1",B31="ti"),Skemaoplysninger!$G$47,"")</f>
        <v/>
      </c>
      <c r="CF31" s="207" t="str">
        <f>IF(AND(C31="Skema 1",B31="on"),Skemaoplysninger!$I$47,"")</f>
        <v/>
      </c>
      <c r="CG31" s="207" t="str">
        <f>IF(AND(C31="Skema 1",B31="to"),Skemaoplysninger!$K$47,"")</f>
        <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5"/>
        <v/>
      </c>
      <c r="DL31" t="str">
        <f t="shared" si="15"/>
        <v/>
      </c>
      <c r="DM31" t="str">
        <f t="shared" si="15"/>
        <v/>
      </c>
      <c r="DN31" t="str">
        <f t="shared" si="35"/>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6"/>
        <v>0</v>
      </c>
      <c r="FZ31" s="634">
        <f t="shared" si="17"/>
        <v>0</v>
      </c>
      <c r="GA31">
        <f t="shared" si="18"/>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9"/>
        <v>0</v>
      </c>
      <c r="GL31">
        <f t="shared" si="20"/>
        <v>0</v>
      </c>
      <c r="GM31">
        <f t="shared" si="21"/>
        <v>0</v>
      </c>
      <c r="GN31" s="713">
        <f t="shared" si="22"/>
        <v>0</v>
      </c>
      <c r="GO31">
        <f t="shared" si="37"/>
        <v>0</v>
      </c>
      <c r="GP31" s="647">
        <f t="shared" si="38"/>
        <v>0</v>
      </c>
    </row>
    <row r="32" spans="1:198">
      <c r="A32" s="239">
        <f t="shared" si="23"/>
        <v>19</v>
      </c>
      <c r="B32" s="125" t="str">
        <f t="shared" si="0"/>
        <v>ma</v>
      </c>
      <c r="C32" s="126" t="s">
        <v>207</v>
      </c>
      <c r="D32" s="127">
        <f t="shared" si="1"/>
        <v>29.428571428571427</v>
      </c>
      <c r="E32" s="1060" t="s">
        <v>112</v>
      </c>
      <c r="F32" s="1061"/>
      <c r="G32" s="1062"/>
      <c r="H32" s="292"/>
      <c r="I32" s="745"/>
      <c r="J32" s="746" t="str">
        <f t="shared" si="2"/>
        <v/>
      </c>
      <c r="K32" s="368"/>
      <c r="L32" s="368"/>
      <c r="M32" s="368"/>
      <c r="N32" s="311">
        <f t="shared" si="24"/>
        <v>0</v>
      </c>
      <c r="O32" s="311">
        <f t="shared" si="25"/>
        <v>0</v>
      </c>
      <c r="P32" s="311">
        <f>IF(Stamoplysninger!$H$34="JA",Juli!DG32,CX32)</f>
        <v>0</v>
      </c>
      <c r="Q32" s="311">
        <f t="shared" si="26"/>
        <v>0</v>
      </c>
      <c r="R32" s="751"/>
      <c r="S32" s="315"/>
      <c r="T32" s="316"/>
      <c r="U32" s="316"/>
      <c r="V32" s="422"/>
      <c r="W32" s="400"/>
      <c r="X32" s="619"/>
      <c r="Y32">
        <f t="shared" si="27"/>
        <v>0</v>
      </c>
      <c r="Z32">
        <f t="shared" si="3"/>
        <v>0</v>
      </c>
      <c r="AA32" s="1">
        <f t="shared" si="4"/>
        <v>0</v>
      </c>
      <c r="AB32" s="1">
        <f t="shared" si="5"/>
        <v>0</v>
      </c>
      <c r="AC32" s="1">
        <f t="shared" si="6"/>
        <v>0</v>
      </c>
      <c r="AD32" s="1">
        <f t="shared" si="7"/>
        <v>0</v>
      </c>
      <c r="AE32" s="1">
        <f t="shared" si="8"/>
        <v>0</v>
      </c>
      <c r="AF32" s="1">
        <f>IF(C32="Orlov",7.4*Stamoplysninger!$E$20,0)</f>
        <v>0</v>
      </c>
      <c r="AG32" t="str">
        <f>IF(AND(C32="Skema 1",B32="ma"),Arbejdstidsoversigt!$E$77,"")</f>
        <v/>
      </c>
      <c r="AH32" t="str">
        <f>IF(AND(C32="Skema 1",B32="ti"),Arbejdstidsoversigt!$E$78,"")</f>
        <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9"/>
        <v>0</v>
      </c>
      <c r="BC32" s="1">
        <f t="shared" si="29"/>
        <v>0</v>
      </c>
      <c r="BD32" s="1">
        <f t="shared" si="10"/>
        <v>0</v>
      </c>
      <c r="BE32" s="1">
        <f t="shared" si="11"/>
        <v>0</v>
      </c>
      <c r="BF32" s="1">
        <f t="shared" si="12"/>
        <v>0</v>
      </c>
      <c r="BG32" s="207" t="str">
        <f>IF(AND(C32="Skema 1",B32="ma"),Skemaoplysninger!$E$46,"")</f>
        <v/>
      </c>
      <c r="BH32" s="207" t="str">
        <f>IF(AND(C32="Skema 1",B32="ti"),Skemaoplysninger!$G$46,"")</f>
        <v/>
      </c>
      <c r="BI32" s="207" t="str">
        <f>IF(AND(C32="Skema 1",B32="on"),Skemaoplysninger!$I$46,"")</f>
        <v/>
      </c>
      <c r="BJ32" s="207" t="str">
        <f>IF(AND(C32="Skema 1",B32="to"),Skemaoplysninger!$K$46,"")</f>
        <v/>
      </c>
      <c r="BK32" s="207" t="str">
        <f>IF(AND(C32="Skema 1",B32="fr"),Skemaoplysninger!$M$46,"")</f>
        <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0</v>
      </c>
      <c r="CB32" s="1">
        <f t="shared" si="13"/>
        <v>0</v>
      </c>
      <c r="CC32" s="1">
        <f t="shared" si="14"/>
        <v>0</v>
      </c>
      <c r="CD32" s="207" t="str">
        <f>IF(AND(C32="Skema 1",B32="ma"),Skemaoplysninger!$E$47,"")</f>
        <v/>
      </c>
      <c r="CE32" s="207" t="str">
        <f>IF(AND(C32="Skema 1",B32="ti"),Skemaoplysninger!$G$47,"")</f>
        <v/>
      </c>
      <c r="CF32" s="207" t="str">
        <f>IF(AND(C32="Skema 1",B32="on"),Skemaoplysninger!$I$47,"")</f>
        <v/>
      </c>
      <c r="CG32" s="207" t="str">
        <f>IF(AND(C32="Skema 1",B32="to"),Skemaoplysninger!$K$47,"")</f>
        <v/>
      </c>
      <c r="CH32" s="207" t="str">
        <f>IF(AND(C32="Skema 1",B32="fr"),Skemaoplysninger!$M$47,"")</f>
        <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t="str">
        <f t="shared" si="33"/>
        <v>Sommerferie</v>
      </c>
      <c r="DJ32" t="str">
        <f t="shared" si="34"/>
        <v/>
      </c>
      <c r="DK32" t="str">
        <f t="shared" si="15"/>
        <v/>
      </c>
      <c r="DL32" t="str">
        <f t="shared" si="15"/>
        <v>Sommerferie</v>
      </c>
      <c r="DM32" t="str">
        <f t="shared" si="15"/>
        <v/>
      </c>
      <c r="DN32" t="str">
        <f t="shared" si="35"/>
        <v>Sommerferie</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6"/>
        <v>0</v>
      </c>
      <c r="FZ32" s="634">
        <f t="shared" si="17"/>
        <v>0</v>
      </c>
      <c r="GA32">
        <f t="shared" si="18"/>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9"/>
        <v>0</v>
      </c>
      <c r="GL32">
        <f t="shared" si="20"/>
        <v>0</v>
      </c>
      <c r="GM32">
        <f t="shared" si="21"/>
        <v>0</v>
      </c>
      <c r="GN32" s="713">
        <f t="shared" si="22"/>
        <v>0</v>
      </c>
      <c r="GO32">
        <f t="shared" si="37"/>
        <v>0</v>
      </c>
      <c r="GP32" s="647">
        <f t="shared" si="38"/>
        <v>0</v>
      </c>
    </row>
    <row r="33" spans="1:198">
      <c r="A33" s="239">
        <f t="shared" si="23"/>
        <v>20</v>
      </c>
      <c r="B33" s="125" t="str">
        <f t="shared" si="0"/>
        <v>ti</v>
      </c>
      <c r="C33" s="126" t="s">
        <v>207</v>
      </c>
      <c r="D33" s="127" t="str">
        <f t="shared" si="1"/>
        <v/>
      </c>
      <c r="E33" s="1060" t="s">
        <v>112</v>
      </c>
      <c r="F33" s="1061"/>
      <c r="G33" s="1062"/>
      <c r="H33" s="292"/>
      <c r="I33" s="745"/>
      <c r="J33" s="746" t="str">
        <f t="shared" si="2"/>
        <v/>
      </c>
      <c r="K33" s="368"/>
      <c r="L33" s="368"/>
      <c r="M33" s="368"/>
      <c r="N33" s="311">
        <f t="shared" si="24"/>
        <v>0</v>
      </c>
      <c r="O33" s="311">
        <f t="shared" si="25"/>
        <v>0</v>
      </c>
      <c r="P33" s="311">
        <f>IF(Stamoplysninger!$H$34="JA",Juli!DG33,CX33)</f>
        <v>0</v>
      </c>
      <c r="Q33" s="311">
        <f t="shared" si="26"/>
        <v>0</v>
      </c>
      <c r="R33" s="751"/>
      <c r="S33" s="315"/>
      <c r="T33" s="316"/>
      <c r="U33" s="316"/>
      <c r="V33" s="422"/>
      <c r="W33" s="400"/>
      <c r="X33" s="619"/>
      <c r="Y33">
        <f t="shared" si="27"/>
        <v>0</v>
      </c>
      <c r="Z33">
        <f t="shared" si="3"/>
        <v>0</v>
      </c>
      <c r="AA33" s="1">
        <f t="shared" si="4"/>
        <v>0</v>
      </c>
      <c r="AB33" s="1">
        <f t="shared" si="5"/>
        <v>0</v>
      </c>
      <c r="AC33" s="1">
        <f t="shared" si="6"/>
        <v>0</v>
      </c>
      <c r="AD33" s="1">
        <f t="shared" si="7"/>
        <v>0</v>
      </c>
      <c r="AE33" s="1">
        <f t="shared" si="8"/>
        <v>0</v>
      </c>
      <c r="AF33" s="1">
        <f>IF(C33="Orlov",7.4*Stamoplysninger!$E$20,0)</f>
        <v>0</v>
      </c>
      <c r="AG33" t="str">
        <f>IF(AND(C33="Skema 1",B33="ma"),Arbejdstidsoversigt!$E$77,"")</f>
        <v/>
      </c>
      <c r="AH33" t="str">
        <f>IF(AND(C33="Skema 1",B33="ti"),Arbejdstidsoversigt!$E$78,"")</f>
        <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9"/>
        <v>0</v>
      </c>
      <c r="BC33" s="1">
        <f t="shared" si="29"/>
        <v>0</v>
      </c>
      <c r="BD33" s="1">
        <f t="shared" si="10"/>
        <v>0</v>
      </c>
      <c r="BE33" s="1">
        <f t="shared" si="11"/>
        <v>0</v>
      </c>
      <c r="BF33" s="1">
        <f t="shared" si="12"/>
        <v>0</v>
      </c>
      <c r="BG33" s="207" t="str">
        <f>IF(AND(C33="Skema 1",B33="ma"),Skemaoplysninger!$E$46,"")</f>
        <v/>
      </c>
      <c r="BH33" s="207" t="str">
        <f>IF(AND(C33="Skema 1",B33="ti"),Skemaoplysninger!$G$46,"")</f>
        <v/>
      </c>
      <c r="BI33" s="207" t="str">
        <f>IF(AND(C33="Skema 1",B33="on"),Skemaoplysninger!$I$46,"")</f>
        <v/>
      </c>
      <c r="BJ33" s="207" t="str">
        <f>IF(AND(C33="Skema 1",B33="to"),Skemaoplysninger!$K$46,"")</f>
        <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0</v>
      </c>
      <c r="CB33" s="1">
        <f t="shared" si="13"/>
        <v>0</v>
      </c>
      <c r="CC33" s="1">
        <f t="shared" si="14"/>
        <v>0</v>
      </c>
      <c r="CD33" s="207" t="str">
        <f>IF(AND(C33="Skema 1",B33="ma"),Skemaoplysninger!$E$47,"")</f>
        <v/>
      </c>
      <c r="CE33" s="207" t="str">
        <f>IF(AND(C33="Skema 1",B33="ti"),Skemaoplysninger!$G$47,"")</f>
        <v/>
      </c>
      <c r="CF33" s="207" t="str">
        <f>IF(AND(C33="Skema 1",B33="on"),Skemaoplysninger!$I$47,"")</f>
        <v/>
      </c>
      <c r="CG33" s="207" t="str">
        <f>IF(AND(C33="Skema 1",B33="to"),Skemaoplysninger!$K$47,"")</f>
        <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t="str">
        <f t="shared" si="33"/>
        <v>Sommerferie</v>
      </c>
      <c r="DJ33" t="str">
        <f t="shared" si="34"/>
        <v/>
      </c>
      <c r="DK33" t="str">
        <f t="shared" si="15"/>
        <v/>
      </c>
      <c r="DL33" t="str">
        <f t="shared" si="15"/>
        <v>Sommerferie</v>
      </c>
      <c r="DM33" t="str">
        <f t="shared" si="15"/>
        <v/>
      </c>
      <c r="DN33" t="str">
        <f t="shared" si="35"/>
        <v>Sommerferie</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6"/>
        <v>0</v>
      </c>
      <c r="FZ33" s="634">
        <f t="shared" si="17"/>
        <v>0</v>
      </c>
      <c r="GA33">
        <f t="shared" si="18"/>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9"/>
        <v>0</v>
      </c>
      <c r="GL33">
        <f t="shared" si="20"/>
        <v>0</v>
      </c>
      <c r="GM33">
        <f t="shared" si="21"/>
        <v>0</v>
      </c>
      <c r="GN33" s="713">
        <f t="shared" si="22"/>
        <v>0</v>
      </c>
      <c r="GO33">
        <f t="shared" si="37"/>
        <v>0</v>
      </c>
      <c r="GP33" s="647">
        <f t="shared" si="38"/>
        <v>0</v>
      </c>
    </row>
    <row r="34" spans="1:198">
      <c r="A34" s="239">
        <f t="shared" si="23"/>
        <v>21</v>
      </c>
      <c r="B34" s="125" t="str">
        <f t="shared" si="0"/>
        <v>on</v>
      </c>
      <c r="C34" s="126" t="s">
        <v>207</v>
      </c>
      <c r="D34" s="127" t="str">
        <f t="shared" si="1"/>
        <v/>
      </c>
      <c r="E34" s="1060" t="s">
        <v>112</v>
      </c>
      <c r="F34" s="1061"/>
      <c r="G34" s="1062"/>
      <c r="H34" s="292"/>
      <c r="I34" s="745"/>
      <c r="J34" s="746" t="str">
        <f t="shared" si="2"/>
        <v/>
      </c>
      <c r="K34" s="368"/>
      <c r="L34" s="368"/>
      <c r="M34" s="368"/>
      <c r="N34" s="311">
        <f t="shared" si="24"/>
        <v>0</v>
      </c>
      <c r="O34" s="311">
        <f t="shared" si="25"/>
        <v>0</v>
      </c>
      <c r="P34" s="311">
        <f>IF(Stamoplysninger!$H$34="JA",Juli!DG34,CX34)</f>
        <v>0</v>
      </c>
      <c r="Q34" s="311">
        <f t="shared" si="26"/>
        <v>0</v>
      </c>
      <c r="R34" s="751"/>
      <c r="S34" s="315"/>
      <c r="T34" s="316"/>
      <c r="U34" s="316"/>
      <c r="V34" s="422"/>
      <c r="W34" s="400"/>
      <c r="X34" s="619"/>
      <c r="Y34">
        <f t="shared" si="27"/>
        <v>0</v>
      </c>
      <c r="Z34">
        <f t="shared" si="3"/>
        <v>0</v>
      </c>
      <c r="AA34" s="1">
        <f t="shared" si="4"/>
        <v>0</v>
      </c>
      <c r="AB34" s="1">
        <f t="shared" si="5"/>
        <v>0</v>
      </c>
      <c r="AC34" s="1">
        <f t="shared" si="6"/>
        <v>0</v>
      </c>
      <c r="AD34" s="1">
        <f t="shared" si="7"/>
        <v>0</v>
      </c>
      <c r="AE34" s="1">
        <f t="shared" si="8"/>
        <v>0</v>
      </c>
      <c r="AF34" s="1">
        <f>IF(C34="Orlov",7.4*Stamoplysninger!$E$20,0)</f>
        <v>0</v>
      </c>
      <c r="AG34" t="str">
        <f>IF(AND(C34="Skema 1",B34="ma"),Arbejdstidsoversigt!$E$77,"")</f>
        <v/>
      </c>
      <c r="AH34" t="str">
        <f>IF(AND(C34="Skema 1",B34="ti"),Arbejdstidsoversigt!$E$78,"")</f>
        <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9"/>
        <v>0</v>
      </c>
      <c r="BC34" s="1">
        <f t="shared" si="29"/>
        <v>0</v>
      </c>
      <c r="BD34" s="1">
        <f t="shared" si="10"/>
        <v>0</v>
      </c>
      <c r="BE34" s="1">
        <f t="shared" si="11"/>
        <v>0</v>
      </c>
      <c r="BF34" s="1">
        <f t="shared" si="12"/>
        <v>0</v>
      </c>
      <c r="BG34" s="207" t="str">
        <f>IF(AND(C34="Skema 1",B34="ma"),Skemaoplysninger!$E$46,"")</f>
        <v/>
      </c>
      <c r="BH34" s="207" t="str">
        <f>IF(AND(C34="Skema 1",B34="ti"),Skemaoplysninger!$G$46,"")</f>
        <v/>
      </c>
      <c r="BI34" s="207" t="str">
        <f>IF(AND(C34="Skema 1",B34="on"),Skemaoplysninger!$I$46,"")</f>
        <v/>
      </c>
      <c r="BJ34" s="207" t="str">
        <f>IF(AND(C34="Skema 1",B34="to"),Skemaoplysninger!$K$46,"")</f>
        <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0</v>
      </c>
      <c r="CB34" s="1">
        <f t="shared" si="13"/>
        <v>0</v>
      </c>
      <c r="CC34" s="1">
        <f t="shared" si="14"/>
        <v>0</v>
      </c>
      <c r="CD34" s="207" t="str">
        <f>IF(AND(C34="Skema 1",B34="ma"),Skemaoplysninger!$E$47,"")</f>
        <v/>
      </c>
      <c r="CE34" s="207" t="str">
        <f>IF(AND(C34="Skema 1",B34="ti"),Skemaoplysninger!$G$47,"")</f>
        <v/>
      </c>
      <c r="CF34" s="207" t="str">
        <f>IF(AND(C34="Skema 1",B34="on"),Skemaoplysninger!$I$47,"")</f>
        <v/>
      </c>
      <c r="CG34" s="207" t="str">
        <f>IF(AND(C34="Skema 1",B34="to"),Skemaoplysninger!$K$47,"")</f>
        <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t="str">
        <f t="shared" si="33"/>
        <v>Sommerferie</v>
      </c>
      <c r="DJ34" t="str">
        <f t="shared" si="34"/>
        <v/>
      </c>
      <c r="DK34" t="str">
        <f t="shared" si="15"/>
        <v/>
      </c>
      <c r="DL34" t="str">
        <f t="shared" si="15"/>
        <v>Sommerferie</v>
      </c>
      <c r="DM34" t="str">
        <f t="shared" si="15"/>
        <v/>
      </c>
      <c r="DN34" t="str">
        <f t="shared" si="35"/>
        <v>Sommerferie</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6"/>
        <v>0</v>
      </c>
      <c r="FZ34" s="634">
        <f t="shared" si="17"/>
        <v>0</v>
      </c>
      <c r="GA34">
        <f t="shared" si="18"/>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9"/>
        <v>0</v>
      </c>
      <c r="GL34">
        <f t="shared" si="20"/>
        <v>0</v>
      </c>
      <c r="GM34">
        <f t="shared" si="21"/>
        <v>0</v>
      </c>
      <c r="GN34" s="713">
        <f t="shared" si="22"/>
        <v>0</v>
      </c>
      <c r="GO34">
        <f t="shared" si="37"/>
        <v>0</v>
      </c>
      <c r="GP34" s="647">
        <f t="shared" si="38"/>
        <v>0</v>
      </c>
    </row>
    <row r="35" spans="1:198">
      <c r="A35" s="239">
        <f t="shared" si="23"/>
        <v>22</v>
      </c>
      <c r="B35" s="125" t="str">
        <f t="shared" si="0"/>
        <v>to</v>
      </c>
      <c r="C35" s="126" t="s">
        <v>207</v>
      </c>
      <c r="D35" s="127" t="str">
        <f t="shared" si="1"/>
        <v/>
      </c>
      <c r="E35" s="1060" t="s">
        <v>112</v>
      </c>
      <c r="F35" s="1061"/>
      <c r="G35" s="1062"/>
      <c r="H35" s="292"/>
      <c r="I35" s="745"/>
      <c r="J35" s="746" t="str">
        <f t="shared" si="2"/>
        <v/>
      </c>
      <c r="K35" s="368"/>
      <c r="L35" s="368"/>
      <c r="M35" s="368"/>
      <c r="N35" s="311">
        <f t="shared" si="24"/>
        <v>0</v>
      </c>
      <c r="O35" s="311">
        <f t="shared" si="25"/>
        <v>0</v>
      </c>
      <c r="P35" s="311">
        <f>IF(Stamoplysninger!$H$34="JA",Juli!DG35,CX35)</f>
        <v>0</v>
      </c>
      <c r="Q35" s="311">
        <f t="shared" si="26"/>
        <v>0</v>
      </c>
      <c r="R35" s="751"/>
      <c r="S35" s="315"/>
      <c r="T35" s="316"/>
      <c r="U35" s="316"/>
      <c r="V35" s="422"/>
      <c r="W35" s="400"/>
      <c r="X35" s="619"/>
      <c r="Y35">
        <f t="shared" si="27"/>
        <v>0</v>
      </c>
      <c r="Z35">
        <f t="shared" si="3"/>
        <v>0</v>
      </c>
      <c r="AA35" s="1">
        <f t="shared" si="4"/>
        <v>0</v>
      </c>
      <c r="AB35" s="1">
        <f t="shared" si="5"/>
        <v>0</v>
      </c>
      <c r="AC35" s="1">
        <f t="shared" si="6"/>
        <v>0</v>
      </c>
      <c r="AD35" s="1">
        <f t="shared" si="7"/>
        <v>0</v>
      </c>
      <c r="AE35" s="1">
        <f t="shared" si="8"/>
        <v>0</v>
      </c>
      <c r="AF35" s="1">
        <f>IF(C35="Orlov",7.4*Stamoplysninger!$E$20,0)</f>
        <v>0</v>
      </c>
      <c r="AG35" t="str">
        <f>IF(AND(C35="Skema 1",B35="ma"),Arbejdstidsoversigt!$E$77,"")</f>
        <v/>
      </c>
      <c r="AH35" t="str">
        <f>IF(AND(C35="Skema 1",B35="ti"),Arbejdstidsoversigt!$E$78,"")</f>
        <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9"/>
        <v>0</v>
      </c>
      <c r="BC35" s="1">
        <f t="shared" si="29"/>
        <v>0</v>
      </c>
      <c r="BD35" s="1">
        <f t="shared" si="10"/>
        <v>0</v>
      </c>
      <c r="BE35" s="1">
        <f t="shared" si="11"/>
        <v>0</v>
      </c>
      <c r="BF35" s="1">
        <f t="shared" si="12"/>
        <v>0</v>
      </c>
      <c r="BG35" s="207" t="str">
        <f>IF(AND(C35="Skema 1",B35="ma"),Skemaoplysninger!$E$46,"")</f>
        <v/>
      </c>
      <c r="BH35" s="207" t="str">
        <f>IF(AND(C35="Skema 1",B35="ti"),Skemaoplysninger!$G$46,"")</f>
        <v/>
      </c>
      <c r="BI35" s="207" t="str">
        <f>IF(AND(C35="Skema 1",B35="on"),Skemaoplysninger!$I$46,"")</f>
        <v/>
      </c>
      <c r="BJ35" s="207" t="str">
        <f>IF(AND(C35="Skema 1",B35="to"),Skemaoplysninger!$K$46,"")</f>
        <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0</v>
      </c>
      <c r="CB35" s="1">
        <f t="shared" si="13"/>
        <v>0</v>
      </c>
      <c r="CC35" s="1">
        <f t="shared" si="14"/>
        <v>0</v>
      </c>
      <c r="CD35" s="207" t="str">
        <f>IF(AND(C35="Skema 1",B35="ma"),Skemaoplysninger!$E$47,"")</f>
        <v/>
      </c>
      <c r="CE35" s="207" t="str">
        <f>IF(AND(C35="Skema 1",B35="ti"),Skemaoplysninger!$G$47,"")</f>
        <v/>
      </c>
      <c r="CF35" s="207" t="str">
        <f>IF(AND(C35="Skema 1",B35="on"),Skemaoplysninger!$I$47,"")</f>
        <v/>
      </c>
      <c r="CG35" s="207" t="str">
        <f>IF(AND(C35="Skema 1",B35="to"),Skemaoplysninger!$K$47,"")</f>
        <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t="str">
        <f t="shared" si="33"/>
        <v>Sommerferie</v>
      </c>
      <c r="DJ35" t="str">
        <f t="shared" si="34"/>
        <v/>
      </c>
      <c r="DK35" t="str">
        <f t="shared" si="15"/>
        <v/>
      </c>
      <c r="DL35" t="str">
        <f t="shared" si="15"/>
        <v>Sommerferie</v>
      </c>
      <c r="DM35" t="str">
        <f t="shared" si="15"/>
        <v/>
      </c>
      <c r="DN35" t="str">
        <f t="shared" si="35"/>
        <v>Sommerferie</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6"/>
        <v>0</v>
      </c>
      <c r="FZ35" s="634">
        <f t="shared" si="17"/>
        <v>0</v>
      </c>
      <c r="GA35">
        <f t="shared" si="18"/>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9"/>
        <v>0</v>
      </c>
      <c r="GL35">
        <f t="shared" si="20"/>
        <v>0</v>
      </c>
      <c r="GM35">
        <f t="shared" si="21"/>
        <v>0</v>
      </c>
      <c r="GN35" s="713">
        <f t="shared" si="22"/>
        <v>0</v>
      </c>
      <c r="GO35">
        <f t="shared" si="37"/>
        <v>0</v>
      </c>
      <c r="GP35" s="647">
        <f t="shared" si="38"/>
        <v>0</v>
      </c>
    </row>
    <row r="36" spans="1:198">
      <c r="A36" s="239">
        <f t="shared" si="23"/>
        <v>23</v>
      </c>
      <c r="B36" s="125" t="str">
        <f t="shared" si="0"/>
        <v>fr</v>
      </c>
      <c r="C36" s="126" t="s">
        <v>207</v>
      </c>
      <c r="D36" s="127" t="str">
        <f t="shared" si="1"/>
        <v/>
      </c>
      <c r="E36" s="1060" t="s">
        <v>112</v>
      </c>
      <c r="F36" s="1061"/>
      <c r="G36" s="1062"/>
      <c r="H36" s="292"/>
      <c r="I36" s="745"/>
      <c r="J36" s="746" t="str">
        <f t="shared" si="2"/>
        <v/>
      </c>
      <c r="K36" s="368"/>
      <c r="L36" s="368"/>
      <c r="M36" s="368"/>
      <c r="N36" s="311">
        <f t="shared" si="24"/>
        <v>0</v>
      </c>
      <c r="O36" s="311">
        <f t="shared" si="25"/>
        <v>0</v>
      </c>
      <c r="P36" s="311">
        <f>IF(Stamoplysninger!$H$34="JA",Juli!DG36,CX36)</f>
        <v>0</v>
      </c>
      <c r="Q36" s="311">
        <f t="shared" si="26"/>
        <v>0</v>
      </c>
      <c r="R36" s="751"/>
      <c r="S36" s="315"/>
      <c r="T36" s="316"/>
      <c r="U36" s="316"/>
      <c r="V36" s="422"/>
      <c r="W36" s="400"/>
      <c r="X36" s="619"/>
      <c r="Y36">
        <f t="shared" si="27"/>
        <v>0</v>
      </c>
      <c r="Z36">
        <f t="shared" si="3"/>
        <v>0</v>
      </c>
      <c r="AA36" s="1">
        <f t="shared" si="4"/>
        <v>0</v>
      </c>
      <c r="AB36" s="1">
        <f t="shared" si="5"/>
        <v>0</v>
      </c>
      <c r="AC36" s="1">
        <f t="shared" si="6"/>
        <v>0</v>
      </c>
      <c r="AD36" s="1">
        <f t="shared" si="7"/>
        <v>0</v>
      </c>
      <c r="AE36" s="1">
        <f t="shared" si="8"/>
        <v>0</v>
      </c>
      <c r="AF36" s="1">
        <f>IF(C36="Orlov",7.4*Stamoplysninger!$E$20,0)</f>
        <v>0</v>
      </c>
      <c r="AG36" t="str">
        <f>IF(AND(C36="Skema 1",B36="ma"),Arbejdstidsoversigt!$E$77,"")</f>
        <v/>
      </c>
      <c r="AH36" t="str">
        <f>IF(AND(C36="Skema 1",B36="ti"),Arbejdstidsoversigt!$E$78,"")</f>
        <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9"/>
        <v>0</v>
      </c>
      <c r="BC36" s="1">
        <f t="shared" si="29"/>
        <v>0</v>
      </c>
      <c r="BD36" s="1">
        <f t="shared" si="10"/>
        <v>0</v>
      </c>
      <c r="BE36" s="1">
        <f t="shared" si="11"/>
        <v>0</v>
      </c>
      <c r="BF36" s="1">
        <f t="shared" si="12"/>
        <v>0</v>
      </c>
      <c r="BG36" s="207" t="str">
        <f>IF(AND(C36="Skema 1",B36="ma"),Skemaoplysninger!$E$46,"")</f>
        <v/>
      </c>
      <c r="BH36" s="207" t="str">
        <f>IF(AND(C36="Skema 1",B36="ti"),Skemaoplysninger!$G$46,"")</f>
        <v/>
      </c>
      <c r="BI36" s="207" t="str">
        <f>IF(AND(C36="Skema 1",B36="on"),Skemaoplysninger!$I$46,"")</f>
        <v/>
      </c>
      <c r="BJ36" s="207" t="str">
        <f>IF(AND(C36="Skema 1",B36="to"),Skemaoplysninger!$K$46,"")</f>
        <v/>
      </c>
      <c r="BK36" s="207" t="str">
        <f>IF(AND(C36="Skema 1",B36="fr"),Skemaoplysninger!$M$46,"")</f>
        <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0</v>
      </c>
      <c r="CB36" s="1">
        <f t="shared" si="13"/>
        <v>0</v>
      </c>
      <c r="CC36" s="1">
        <f t="shared" si="14"/>
        <v>0</v>
      </c>
      <c r="CD36" s="207" t="str">
        <f>IF(AND(C36="Skema 1",B36="ma"),Skemaoplysninger!$E$47,"")</f>
        <v/>
      </c>
      <c r="CE36" s="207" t="str">
        <f>IF(AND(C36="Skema 1",B36="ti"),Skemaoplysninger!$G$47,"")</f>
        <v/>
      </c>
      <c r="CF36" s="207" t="str">
        <f>IF(AND(C36="Skema 1",B36="on"),Skemaoplysninger!$I$47,"")</f>
        <v/>
      </c>
      <c r="CG36" s="207" t="str">
        <f>IF(AND(C36="Skema 1",B36="to"),Skemaoplysninger!$K$47,"")</f>
        <v/>
      </c>
      <c r="CH36" s="207" t="str">
        <f>IF(AND(C36="Skema 1",B36="fr"),Skemaoplysninger!$M$47,"")</f>
        <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t="str">
        <f t="shared" si="33"/>
        <v>Sommerferie</v>
      </c>
      <c r="DJ36" t="str">
        <f t="shared" si="34"/>
        <v/>
      </c>
      <c r="DK36" t="str">
        <f t="shared" si="15"/>
        <v/>
      </c>
      <c r="DL36" t="str">
        <f t="shared" si="15"/>
        <v>Sommerferie</v>
      </c>
      <c r="DM36" t="str">
        <f t="shared" si="15"/>
        <v/>
      </c>
      <c r="DN36" t="str">
        <f t="shared" si="35"/>
        <v>Sommerferie</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6"/>
        <v>0</v>
      </c>
      <c r="FZ36" s="634">
        <f t="shared" si="17"/>
        <v>0</v>
      </c>
      <c r="GA36">
        <f t="shared" si="18"/>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9"/>
        <v>0</v>
      </c>
      <c r="GL36">
        <f t="shared" si="20"/>
        <v>0</v>
      </c>
      <c r="GM36">
        <f t="shared" si="21"/>
        <v>0</v>
      </c>
      <c r="GN36" s="713">
        <f t="shared" si="22"/>
        <v>0</v>
      </c>
      <c r="GO36">
        <f t="shared" si="37"/>
        <v>0</v>
      </c>
      <c r="GP36" s="647">
        <f t="shared" si="38"/>
        <v>0</v>
      </c>
    </row>
    <row r="37" spans="1:198">
      <c r="A37" s="239">
        <f t="shared" si="23"/>
        <v>24</v>
      </c>
      <c r="B37" s="125" t="str">
        <f t="shared" si="0"/>
        <v>lø</v>
      </c>
      <c r="C37" s="126" t="s">
        <v>118</v>
      </c>
      <c r="D37" s="127" t="str">
        <f t="shared" si="1"/>
        <v/>
      </c>
      <c r="E37" s="1123"/>
      <c r="F37" s="1124"/>
      <c r="G37" s="1125"/>
      <c r="H37" s="292"/>
      <c r="I37" s="803" t="str">
        <f>IF(GO37=1,"X","")</f>
        <v/>
      </c>
      <c r="J37" s="746" t="str">
        <f t="shared" si="2"/>
        <v/>
      </c>
      <c r="K37" s="368"/>
      <c r="L37" s="368"/>
      <c r="M37" s="368"/>
      <c r="N37" s="311">
        <f t="shared" si="24"/>
        <v>0</v>
      </c>
      <c r="O37" s="311">
        <f t="shared" si="25"/>
        <v>0</v>
      </c>
      <c r="P37" s="311">
        <f>IF(Stamoplysninger!$H$34="JA",Juli!DG37,CX37)</f>
        <v>0</v>
      </c>
      <c r="Q37" s="311">
        <f t="shared" si="26"/>
        <v>0</v>
      </c>
      <c r="R37" s="751"/>
      <c r="S37" s="315"/>
      <c r="T37" s="316"/>
      <c r="U37" s="316"/>
      <c r="V37" s="422"/>
      <c r="W37" s="400"/>
      <c r="X37" s="619"/>
      <c r="Y37">
        <f t="shared" si="27"/>
        <v>0</v>
      </c>
      <c r="Z37">
        <f t="shared" si="3"/>
        <v>0</v>
      </c>
      <c r="AA37" s="1">
        <f t="shared" si="4"/>
        <v>0</v>
      </c>
      <c r="AB37" s="1">
        <f t="shared" si="5"/>
        <v>0</v>
      </c>
      <c r="AC37" s="1">
        <f t="shared" si="6"/>
        <v>0</v>
      </c>
      <c r="AD37" s="1">
        <f t="shared" si="7"/>
        <v>0</v>
      </c>
      <c r="AE37" s="1">
        <f t="shared" si="8"/>
        <v>0</v>
      </c>
      <c r="AF37" s="1">
        <f>IF(C37="Orlov",7.4*Stamoplysninger!$E$20,0)</f>
        <v>0</v>
      </c>
      <c r="AG37" t="str">
        <f>IF(AND(C37="Skema 1",B37="ma"),Arbejdstidsoversigt!$E$77,"")</f>
        <v/>
      </c>
      <c r="AH37" t="str">
        <f>IF(AND(C37="Skema 1",B37="ti"),Arbejdstidsoversigt!$E$78,"")</f>
        <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9"/>
        <v>0</v>
      </c>
      <c r="BC37" s="1">
        <f t="shared" si="29"/>
        <v>0</v>
      </c>
      <c r="BD37" s="1">
        <f t="shared" si="10"/>
        <v>0</v>
      </c>
      <c r="BE37" s="1">
        <f t="shared" si="11"/>
        <v>0</v>
      </c>
      <c r="BF37" s="1">
        <f t="shared" si="12"/>
        <v>0</v>
      </c>
      <c r="BG37" s="207" t="str">
        <f>IF(AND(C37="Skema 1",B37="ma"),Skemaoplysninger!$E$46,"")</f>
        <v/>
      </c>
      <c r="BH37" s="207" t="str">
        <f>IF(AND(C37="Skema 1",B37="ti"),Skemaoplysninger!$G$46,"")</f>
        <v/>
      </c>
      <c r="BI37" s="207" t="str">
        <f>IF(AND(C37="Skema 1",B37="on"),Skemaoplysninger!$I$46,"")</f>
        <v/>
      </c>
      <c r="BJ37" s="207" t="str">
        <f>IF(AND(C37="Skema 1",B37="to"),Skemaoplysninger!$K$46,"")</f>
        <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0</v>
      </c>
      <c r="CB37" s="1">
        <f t="shared" si="13"/>
        <v>0</v>
      </c>
      <c r="CC37" s="1">
        <f t="shared" si="14"/>
        <v>0</v>
      </c>
      <c r="CD37" s="207" t="str">
        <f>IF(AND(C37="Skema 1",B37="ma"),Skemaoplysninger!$E$47,"")</f>
        <v/>
      </c>
      <c r="CE37" s="207" t="str">
        <f>IF(AND(C37="Skema 1",B37="ti"),Skemaoplysninger!$G$47,"")</f>
        <v/>
      </c>
      <c r="CF37" s="207" t="str">
        <f>IF(AND(C37="Skema 1",B37="on"),Skemaoplysninger!$I$47,"")</f>
        <v/>
      </c>
      <c r="CG37" s="207" t="str">
        <f>IF(AND(C37="Skema 1",B37="to"),Skemaoplysninger!$K$47,"")</f>
        <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5"/>
        <v/>
      </c>
      <c r="DL37" t="str">
        <f t="shared" si="15"/>
        <v/>
      </c>
      <c r="DM37" t="str">
        <f t="shared" si="15"/>
        <v/>
      </c>
      <c r="DN37" t="str">
        <f t="shared" si="35"/>
        <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6"/>
        <v>0</v>
      </c>
      <c r="FZ37" s="634">
        <f t="shared" si="17"/>
        <v>0</v>
      </c>
      <c r="GA37">
        <f t="shared" si="18"/>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9"/>
        <v>0</v>
      </c>
      <c r="GL37">
        <f t="shared" si="20"/>
        <v>0</v>
      </c>
      <c r="GM37">
        <f t="shared" si="21"/>
        <v>0</v>
      </c>
      <c r="GN37" s="713">
        <f t="shared" si="22"/>
        <v>0</v>
      </c>
      <c r="GO37">
        <f t="shared" si="37"/>
        <v>0</v>
      </c>
      <c r="GP37" s="647">
        <f t="shared" si="38"/>
        <v>0</v>
      </c>
    </row>
    <row r="38" spans="1:198">
      <c r="A38" s="239">
        <f t="shared" si="23"/>
        <v>25</v>
      </c>
      <c r="B38" s="125" t="str">
        <f t="shared" si="0"/>
        <v>sø</v>
      </c>
      <c r="C38" s="126" t="s">
        <v>118</v>
      </c>
      <c r="D38" s="127" t="str">
        <f t="shared" si="1"/>
        <v/>
      </c>
      <c r="E38" s="1060"/>
      <c r="F38" s="1061"/>
      <c r="G38" s="1062"/>
      <c r="H38" s="292"/>
      <c r="I38" s="803" t="str">
        <f>IF(GO38=1,"X","")</f>
        <v/>
      </c>
      <c r="J38" s="746" t="str">
        <f t="shared" si="2"/>
        <v/>
      </c>
      <c r="K38" s="368"/>
      <c r="L38" s="368"/>
      <c r="M38" s="368"/>
      <c r="N38" s="311">
        <f t="shared" si="24"/>
        <v>0</v>
      </c>
      <c r="O38" s="311">
        <f t="shared" si="25"/>
        <v>0</v>
      </c>
      <c r="P38" s="311">
        <f>IF(Stamoplysninger!$H$34="JA",Juli!DG38,CX38)</f>
        <v>0</v>
      </c>
      <c r="Q38" s="311">
        <f t="shared" si="26"/>
        <v>0</v>
      </c>
      <c r="R38" s="751"/>
      <c r="S38" s="315"/>
      <c r="T38" s="316"/>
      <c r="U38" s="316"/>
      <c r="V38" s="422"/>
      <c r="W38" s="400"/>
      <c r="X38" s="619"/>
      <c r="Y38">
        <f t="shared" si="27"/>
        <v>0</v>
      </c>
      <c r="Z38">
        <f t="shared" si="3"/>
        <v>0</v>
      </c>
      <c r="AA38" s="1">
        <f t="shared" si="4"/>
        <v>0</v>
      </c>
      <c r="AB38" s="1">
        <f t="shared" si="5"/>
        <v>0</v>
      </c>
      <c r="AC38" s="1">
        <f t="shared" si="6"/>
        <v>0</v>
      </c>
      <c r="AD38" s="1">
        <f t="shared" si="7"/>
        <v>0</v>
      </c>
      <c r="AE38" s="1">
        <f t="shared" si="8"/>
        <v>0</v>
      </c>
      <c r="AF38" s="1">
        <f>IF(C38="Orlov",7.4*Stamoplysninger!$E$20,0)</f>
        <v>0</v>
      </c>
      <c r="AG38" t="str">
        <f>IF(AND(C38="Skema 1",B38="ma"),Arbejdstidsoversigt!$E$77,"")</f>
        <v/>
      </c>
      <c r="AH38" t="str">
        <f>IF(AND(C38="Skema 1",B38="ti"),Arbejdstidsoversigt!$E$78,"")</f>
        <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9"/>
        <v>0</v>
      </c>
      <c r="BC38" s="1">
        <f t="shared" si="29"/>
        <v>0</v>
      </c>
      <c r="BD38" s="1">
        <f t="shared" si="10"/>
        <v>0</v>
      </c>
      <c r="BE38" s="1">
        <f t="shared" si="11"/>
        <v>0</v>
      </c>
      <c r="BF38" s="1">
        <f t="shared" si="12"/>
        <v>0</v>
      </c>
      <c r="BG38" s="207" t="str">
        <f>IF(AND(C38="Skema 1",B38="ma"),Skemaoplysninger!$E$46,"")</f>
        <v/>
      </c>
      <c r="BH38" s="207" t="str">
        <f>IF(AND(C38="Skema 1",B38="ti"),Skemaoplysninger!$G$46,"")</f>
        <v/>
      </c>
      <c r="BI38" s="207" t="str">
        <f>IF(AND(C38="Skema 1",B38="on"),Skemaoplysninger!$I$46,"")</f>
        <v/>
      </c>
      <c r="BJ38" s="207" t="str">
        <f>IF(AND(C38="Skema 1",B38="to"),Skemaoplysninger!$K$46,"")</f>
        <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0</v>
      </c>
      <c r="CB38" s="1">
        <f t="shared" si="13"/>
        <v>0</v>
      </c>
      <c r="CC38" s="1">
        <f t="shared" si="14"/>
        <v>0</v>
      </c>
      <c r="CD38" s="207" t="str">
        <f>IF(AND(C38="Skema 1",B38="ma"),Skemaoplysninger!$E$47,"")</f>
        <v/>
      </c>
      <c r="CE38" s="207" t="str">
        <f>IF(AND(C38="Skema 1",B38="ti"),Skemaoplysninger!$G$47,"")</f>
        <v/>
      </c>
      <c r="CF38" s="207" t="str">
        <f>IF(AND(C38="Skema 1",B38="on"),Skemaoplysninger!$I$47,"")</f>
        <v/>
      </c>
      <c r="CG38" s="207" t="str">
        <f>IF(AND(C38="Skema 1",B38="to"),Skemaoplysninger!$K$47,"")</f>
        <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f t="shared" si="33"/>
        <v>0</v>
      </c>
      <c r="DJ38">
        <f t="shared" si="34"/>
        <v>0</v>
      </c>
      <c r="DK38" t="str">
        <f t="shared" si="15"/>
        <v/>
      </c>
      <c r="DL38" t="str">
        <f t="shared" si="15"/>
        <v/>
      </c>
      <c r="DM38" t="str">
        <f t="shared" si="15"/>
        <v/>
      </c>
      <c r="DN38" t="str">
        <f t="shared" si="35"/>
        <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6"/>
        <v>0</v>
      </c>
      <c r="FZ38" s="634">
        <f t="shared" si="17"/>
        <v>0</v>
      </c>
      <c r="GA38">
        <f t="shared" si="18"/>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9"/>
        <v>0</v>
      </c>
      <c r="GL38">
        <f t="shared" si="20"/>
        <v>0</v>
      </c>
      <c r="GM38">
        <f t="shared" si="21"/>
        <v>0</v>
      </c>
      <c r="GN38" s="713">
        <f t="shared" si="22"/>
        <v>0</v>
      </c>
      <c r="GO38">
        <f t="shared" si="37"/>
        <v>0</v>
      </c>
      <c r="GP38" s="647">
        <f t="shared" si="38"/>
        <v>0</v>
      </c>
    </row>
    <row r="39" spans="1:198">
      <c r="A39" s="239">
        <f t="shared" si="23"/>
        <v>26</v>
      </c>
      <c r="B39" s="125" t="str">
        <f t="shared" si="0"/>
        <v>ma</v>
      </c>
      <c r="C39" s="126" t="s">
        <v>207</v>
      </c>
      <c r="D39" s="127">
        <f t="shared" si="1"/>
        <v>30.428571428571427</v>
      </c>
      <c r="E39" s="1060" t="s">
        <v>112</v>
      </c>
      <c r="F39" s="1061"/>
      <c r="G39" s="1062"/>
      <c r="H39" s="292"/>
      <c r="I39" s="745"/>
      <c r="J39" s="746" t="str">
        <f t="shared" si="2"/>
        <v/>
      </c>
      <c r="K39" s="368"/>
      <c r="L39" s="368"/>
      <c r="M39" s="368"/>
      <c r="N39" s="311">
        <f t="shared" si="24"/>
        <v>0</v>
      </c>
      <c r="O39" s="311">
        <f t="shared" si="25"/>
        <v>0</v>
      </c>
      <c r="P39" s="311">
        <f>IF(Stamoplysninger!$H$34="JA",Juli!DG39,CX39)</f>
        <v>0</v>
      </c>
      <c r="Q39" s="311">
        <f t="shared" si="26"/>
        <v>0</v>
      </c>
      <c r="R39" s="751"/>
      <c r="S39" s="315"/>
      <c r="T39" s="316"/>
      <c r="U39" s="316"/>
      <c r="V39" s="422"/>
      <c r="W39" s="400"/>
      <c r="X39" s="619"/>
      <c r="Y39">
        <f t="shared" si="27"/>
        <v>0</v>
      </c>
      <c r="Z39">
        <f t="shared" si="3"/>
        <v>0</v>
      </c>
      <c r="AA39" s="1">
        <f t="shared" si="4"/>
        <v>0</v>
      </c>
      <c r="AB39" s="1">
        <f t="shared" si="5"/>
        <v>0</v>
      </c>
      <c r="AC39" s="1">
        <f t="shared" si="6"/>
        <v>0</v>
      </c>
      <c r="AD39" s="1">
        <f t="shared" si="7"/>
        <v>0</v>
      </c>
      <c r="AE39" s="1">
        <f t="shared" si="8"/>
        <v>0</v>
      </c>
      <c r="AF39" s="1">
        <f>IF(C39="Orlov",7.4*Stamoplysninger!$E$20,0)</f>
        <v>0</v>
      </c>
      <c r="AG39" t="str">
        <f>IF(AND(C39="Skema 1",B39="ma"),Arbejdstidsoversigt!$E$77,"")</f>
        <v/>
      </c>
      <c r="AH39" t="str">
        <f>IF(AND(C39="Skema 1",B39="ti"),Arbejdstidsoversigt!$E$78,"")</f>
        <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9"/>
        <v>0</v>
      </c>
      <c r="BC39" s="1">
        <f t="shared" si="29"/>
        <v>0</v>
      </c>
      <c r="BD39" s="1">
        <f t="shared" si="10"/>
        <v>0</v>
      </c>
      <c r="BE39" s="1">
        <f t="shared" si="11"/>
        <v>0</v>
      </c>
      <c r="BF39" s="1">
        <f t="shared" si="12"/>
        <v>0</v>
      </c>
      <c r="BG39" s="207" t="str">
        <f>IF(AND(C39="Skema 1",B39="ma"),Skemaoplysninger!$E$46,"")</f>
        <v/>
      </c>
      <c r="BH39" s="207" t="str">
        <f>IF(AND(C39="Skema 1",B39="ti"),Skemaoplysninger!$G$46,"")</f>
        <v/>
      </c>
      <c r="BI39" s="207" t="str">
        <f>IF(AND(C39="Skema 1",B39="on"),Skemaoplysninger!$I$46,"")</f>
        <v/>
      </c>
      <c r="BJ39" s="207" t="str">
        <f>IF(AND(C39="Skema 1",B39="to"),Skemaoplysninger!$K$46,"")</f>
        <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0</v>
      </c>
      <c r="CB39" s="1">
        <f t="shared" si="13"/>
        <v>0</v>
      </c>
      <c r="CC39" s="1">
        <f t="shared" si="14"/>
        <v>0</v>
      </c>
      <c r="CD39" s="207" t="str">
        <f>IF(AND(C39="Skema 1",B39="ma"),Skemaoplysninger!$E$47,"")</f>
        <v/>
      </c>
      <c r="CE39" s="207" t="str">
        <f>IF(AND(C39="Skema 1",B39="ti"),Skemaoplysninger!$G$47,"")</f>
        <v/>
      </c>
      <c r="CF39" s="207" t="str">
        <f>IF(AND(C39="Skema 1",B39="on"),Skemaoplysninger!$I$47,"")</f>
        <v/>
      </c>
      <c r="CG39" s="207" t="str">
        <f>IF(AND(C39="Skema 1",B39="to"),Skemaoplysninger!$K$47,"")</f>
        <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t="str">
        <f t="shared" si="33"/>
        <v>Sommerferie</v>
      </c>
      <c r="DJ39" t="str">
        <f t="shared" si="34"/>
        <v/>
      </c>
      <c r="DK39" t="str">
        <f t="shared" si="15"/>
        <v/>
      </c>
      <c r="DL39" t="str">
        <f t="shared" si="15"/>
        <v>Sommerferie</v>
      </c>
      <c r="DM39" t="str">
        <f t="shared" si="15"/>
        <v/>
      </c>
      <c r="DN39" t="str">
        <f t="shared" si="35"/>
        <v>Sommerferie</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6"/>
        <v>0</v>
      </c>
      <c r="FZ39" s="634">
        <f t="shared" si="17"/>
        <v>0</v>
      </c>
      <c r="GA39">
        <f t="shared" si="18"/>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9"/>
        <v>0</v>
      </c>
      <c r="GL39">
        <f t="shared" si="20"/>
        <v>0</v>
      </c>
      <c r="GM39">
        <f t="shared" si="21"/>
        <v>0</v>
      </c>
      <c r="GN39" s="713">
        <f t="shared" si="22"/>
        <v>0</v>
      </c>
      <c r="GO39">
        <f t="shared" si="37"/>
        <v>0</v>
      </c>
      <c r="GP39" s="647">
        <f t="shared" si="38"/>
        <v>0</v>
      </c>
    </row>
    <row r="40" spans="1:198">
      <c r="A40" s="239">
        <f t="shared" si="23"/>
        <v>27</v>
      </c>
      <c r="B40" s="125" t="str">
        <f t="shared" si="0"/>
        <v>ti</v>
      </c>
      <c r="C40" s="126" t="s">
        <v>207</v>
      </c>
      <c r="D40" s="127" t="str">
        <f t="shared" si="1"/>
        <v/>
      </c>
      <c r="E40" s="1060" t="s">
        <v>112</v>
      </c>
      <c r="F40" s="1061"/>
      <c r="G40" s="1062"/>
      <c r="H40" s="292"/>
      <c r="I40" s="745"/>
      <c r="J40" s="746" t="str">
        <f t="shared" si="2"/>
        <v/>
      </c>
      <c r="K40" s="368"/>
      <c r="L40" s="368"/>
      <c r="M40" s="368"/>
      <c r="N40" s="311">
        <f t="shared" si="24"/>
        <v>0</v>
      </c>
      <c r="O40" s="311">
        <f t="shared" si="25"/>
        <v>0</v>
      </c>
      <c r="P40" s="311">
        <f>IF(Stamoplysninger!$H$34="JA",Juli!DG40,CX40)</f>
        <v>0</v>
      </c>
      <c r="Q40" s="311">
        <f t="shared" si="26"/>
        <v>0</v>
      </c>
      <c r="R40" s="751"/>
      <c r="S40" s="315"/>
      <c r="T40" s="316"/>
      <c r="U40" s="316"/>
      <c r="V40" s="422"/>
      <c r="W40" s="400"/>
      <c r="X40" s="619"/>
      <c r="Y40">
        <f t="shared" si="27"/>
        <v>0</v>
      </c>
      <c r="Z40">
        <f t="shared" si="3"/>
        <v>0</v>
      </c>
      <c r="AA40" s="1">
        <f t="shared" si="4"/>
        <v>0</v>
      </c>
      <c r="AB40" s="1">
        <f t="shared" si="5"/>
        <v>0</v>
      </c>
      <c r="AC40" s="1">
        <f t="shared" si="6"/>
        <v>0</v>
      </c>
      <c r="AD40" s="1">
        <f t="shared" si="7"/>
        <v>0</v>
      </c>
      <c r="AE40" s="1">
        <f t="shared" si="8"/>
        <v>0</v>
      </c>
      <c r="AF40" s="1">
        <f>IF(C40="Orlov",7.4*Stamoplysninger!$E$20,0)</f>
        <v>0</v>
      </c>
      <c r="AG40" t="str">
        <f>IF(AND(C40="Skema 1",B40="ma"),Arbejdstidsoversigt!$E$77,"")</f>
        <v/>
      </c>
      <c r="AH40" t="str">
        <f>IF(AND(C40="Skema 1",B40="ti"),Arbejdstidsoversigt!$E$78,"")</f>
        <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0</v>
      </c>
      <c r="BB40" s="224">
        <f t="shared" si="9"/>
        <v>0</v>
      </c>
      <c r="BC40" s="1">
        <f t="shared" si="29"/>
        <v>0</v>
      </c>
      <c r="BD40" s="1">
        <f t="shared" si="10"/>
        <v>0</v>
      </c>
      <c r="BE40" s="1">
        <f t="shared" si="11"/>
        <v>0</v>
      </c>
      <c r="BF40" s="1">
        <f t="shared" si="12"/>
        <v>0</v>
      </c>
      <c r="BG40" s="207" t="str">
        <f>IF(AND(C40="Skema 1",B40="ma"),Skemaoplysninger!$E$46,"")</f>
        <v/>
      </c>
      <c r="BH40" s="207" t="str">
        <f>IF(AND(C40="Skema 1",B40="ti"),Skemaoplysninger!$G$46,"")</f>
        <v/>
      </c>
      <c r="BI40" s="207" t="str">
        <f>IF(AND(C40="Skema 1",B40="on"),Skemaoplysninger!$I$46,"")</f>
        <v/>
      </c>
      <c r="BJ40" s="207" t="str">
        <f>IF(AND(C40="Skema 1",B40="to"),Skemaoplysninger!$K$46,"")</f>
        <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0"/>
        <v>0</v>
      </c>
      <c r="CB40" s="1">
        <f t="shared" si="13"/>
        <v>0</v>
      </c>
      <c r="CC40" s="1">
        <f t="shared" si="14"/>
        <v>0</v>
      </c>
      <c r="CD40" s="207" t="str">
        <f>IF(AND(C40="Skema 1",B40="ma"),Skemaoplysninger!$E$47,"")</f>
        <v/>
      </c>
      <c r="CE40" s="207" t="str">
        <f>IF(AND(C40="Skema 1",B40="ti"),Skemaoplysninger!$G$47,"")</f>
        <v/>
      </c>
      <c r="CF40" s="207" t="str">
        <f>IF(AND(C40="Skema 1",B40="on"),Skemaoplysninger!$I$47,"")</f>
        <v/>
      </c>
      <c r="CG40" s="207" t="str">
        <f>IF(AND(C40="Skema 1",B40="to"),Skemaoplysninger!$K$47,"")</f>
        <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t="str">
        <f t="shared" si="33"/>
        <v>Sommerferie</v>
      </c>
      <c r="DJ40" t="str">
        <f t="shared" si="34"/>
        <v/>
      </c>
      <c r="DK40" t="str">
        <f t="shared" si="15"/>
        <v/>
      </c>
      <c r="DL40" t="str">
        <f t="shared" si="15"/>
        <v>Sommerferie</v>
      </c>
      <c r="DM40" t="str">
        <f t="shared" si="15"/>
        <v/>
      </c>
      <c r="DN40" t="str">
        <f t="shared" si="35"/>
        <v>Sommerferie</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6"/>
        <v>0</v>
      </c>
      <c r="FZ40" s="634">
        <f t="shared" si="17"/>
        <v>0</v>
      </c>
      <c r="GA40">
        <f t="shared" si="18"/>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9"/>
        <v>0</v>
      </c>
      <c r="GL40">
        <f t="shared" si="20"/>
        <v>0</v>
      </c>
      <c r="GM40">
        <f t="shared" si="21"/>
        <v>0</v>
      </c>
      <c r="GN40" s="713">
        <f t="shared" si="22"/>
        <v>0</v>
      </c>
      <c r="GO40">
        <f t="shared" si="37"/>
        <v>0</v>
      </c>
      <c r="GP40" s="647">
        <f t="shared" si="38"/>
        <v>0</v>
      </c>
    </row>
    <row r="41" spans="1:198">
      <c r="A41" s="239">
        <f t="shared" si="23"/>
        <v>28</v>
      </c>
      <c r="B41" s="125" t="str">
        <f t="shared" si="0"/>
        <v>on</v>
      </c>
      <c r="C41" s="126" t="s">
        <v>207</v>
      </c>
      <c r="D41" s="127" t="str">
        <f t="shared" si="1"/>
        <v/>
      </c>
      <c r="E41" s="1060" t="s">
        <v>112</v>
      </c>
      <c r="F41" s="1061"/>
      <c r="G41" s="1062"/>
      <c r="H41" s="292"/>
      <c r="I41" s="745"/>
      <c r="J41" s="746" t="str">
        <f t="shared" si="2"/>
        <v/>
      </c>
      <c r="K41" s="368"/>
      <c r="L41" s="368"/>
      <c r="M41" s="368"/>
      <c r="N41" s="311">
        <f t="shared" si="24"/>
        <v>0</v>
      </c>
      <c r="O41" s="311">
        <f t="shared" si="25"/>
        <v>0</v>
      </c>
      <c r="P41" s="311">
        <f>IF(Stamoplysninger!$H$34="JA",Juli!DG41,CX41)</f>
        <v>0</v>
      </c>
      <c r="Q41" s="311">
        <f t="shared" si="26"/>
        <v>0</v>
      </c>
      <c r="R41" s="751"/>
      <c r="S41" s="315"/>
      <c r="T41" s="316"/>
      <c r="U41" s="316"/>
      <c r="V41" s="422"/>
      <c r="W41" s="400"/>
      <c r="X41" s="619"/>
      <c r="Y41">
        <f t="shared" si="27"/>
        <v>0</v>
      </c>
      <c r="Z41">
        <f t="shared" si="3"/>
        <v>0</v>
      </c>
      <c r="AA41" s="1">
        <f t="shared" si="4"/>
        <v>0</v>
      </c>
      <c r="AB41" s="1">
        <f t="shared" si="5"/>
        <v>0</v>
      </c>
      <c r="AC41" s="1">
        <f t="shared" si="6"/>
        <v>0</v>
      </c>
      <c r="AD41" s="1">
        <f t="shared" si="7"/>
        <v>0</v>
      </c>
      <c r="AE41" s="1">
        <f t="shared" si="8"/>
        <v>0</v>
      </c>
      <c r="AF41" s="1">
        <f>IF(C41="Orlov",7.4*Stamoplysninger!$E$20,0)</f>
        <v>0</v>
      </c>
      <c r="AG41" t="str">
        <f>IF(AND(C41="Skema 1",B41="ma"),Arbejdstidsoversigt!$E$77,"")</f>
        <v/>
      </c>
      <c r="AH41" t="str">
        <f>IF(AND(C41="Skema 1",B41="ti"),Arbejdstidsoversigt!$E$78,"")</f>
        <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9"/>
        <v>0</v>
      </c>
      <c r="BC41" s="1">
        <f t="shared" si="29"/>
        <v>0</v>
      </c>
      <c r="BD41" s="1">
        <f t="shared" si="10"/>
        <v>0</v>
      </c>
      <c r="BE41" s="1">
        <f t="shared" si="11"/>
        <v>0</v>
      </c>
      <c r="BF41" s="1">
        <f t="shared" si="12"/>
        <v>0</v>
      </c>
      <c r="BG41" s="207" t="str">
        <f>IF(AND(C41="Skema 1",B41="ma"),Skemaoplysninger!$E$46,"")</f>
        <v/>
      </c>
      <c r="BH41" s="207" t="str">
        <f>IF(AND(C41="Skema 1",B41="ti"),Skemaoplysninger!$G$46,"")</f>
        <v/>
      </c>
      <c r="BI41" s="207" t="str">
        <f>IF(AND(C41="Skema 1",B41="on"),Skemaoplysninger!$I$46,"")</f>
        <v/>
      </c>
      <c r="BJ41" s="207" t="str">
        <f>IF(AND(C41="Skema 1",B41="to"),Skemaoplysninger!$K$46,"")</f>
        <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0"/>
        <v>0</v>
      </c>
      <c r="CB41" s="1">
        <f t="shared" si="13"/>
        <v>0</v>
      </c>
      <c r="CC41" s="1">
        <f t="shared" si="14"/>
        <v>0</v>
      </c>
      <c r="CD41" s="207" t="str">
        <f>IF(AND(C41="Skema 1",B41="ma"),Skemaoplysninger!$E$47,"")</f>
        <v/>
      </c>
      <c r="CE41" s="207" t="str">
        <f>IF(AND(C41="Skema 1",B41="ti"),Skemaoplysninger!$G$47,"")</f>
        <v/>
      </c>
      <c r="CF41" s="207" t="str">
        <f>IF(AND(C41="Skema 1",B41="on"),Skemaoplysninger!$I$47,"")</f>
        <v/>
      </c>
      <c r="CG41" s="207" t="str">
        <f>IF(AND(C41="Skema 1",B41="to"),Skemaoplysninger!$K$47,"")</f>
        <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t="str">
        <f t="shared" si="33"/>
        <v>Sommerferie</v>
      </c>
      <c r="DJ41" t="str">
        <f t="shared" si="34"/>
        <v/>
      </c>
      <c r="DK41" t="str">
        <f t="shared" si="15"/>
        <v/>
      </c>
      <c r="DL41" t="str">
        <f t="shared" si="15"/>
        <v>Sommerferie</v>
      </c>
      <c r="DM41" t="str">
        <f t="shared" si="15"/>
        <v/>
      </c>
      <c r="DN41" t="str">
        <f t="shared" si="35"/>
        <v>Sommerferie</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6"/>
        <v>0</v>
      </c>
      <c r="FZ41" s="634">
        <f t="shared" si="17"/>
        <v>0</v>
      </c>
      <c r="GA41">
        <f t="shared" si="18"/>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9"/>
        <v>0</v>
      </c>
      <c r="GL41">
        <f t="shared" si="20"/>
        <v>0</v>
      </c>
      <c r="GM41">
        <f t="shared" si="21"/>
        <v>0</v>
      </c>
      <c r="GN41" s="713">
        <f t="shared" si="22"/>
        <v>0</v>
      </c>
      <c r="GO41">
        <f t="shared" si="37"/>
        <v>0</v>
      </c>
      <c r="GP41" s="647">
        <f t="shared" si="38"/>
        <v>0</v>
      </c>
    </row>
    <row r="42" spans="1:198">
      <c r="A42" s="239">
        <f>IF(ISNUMBER(A41),A41+1,1)</f>
        <v>29</v>
      </c>
      <c r="B42" s="125" t="str">
        <f t="shared" si="0"/>
        <v>to</v>
      </c>
      <c r="C42" s="126" t="s">
        <v>207</v>
      </c>
      <c r="D42" s="127" t="str">
        <f t="shared" si="1"/>
        <v/>
      </c>
      <c r="E42" s="1060" t="s">
        <v>112</v>
      </c>
      <c r="F42" s="1061"/>
      <c r="G42" s="1062"/>
      <c r="H42" s="292"/>
      <c r="I42" s="745"/>
      <c r="J42" s="746" t="str">
        <f t="shared" si="2"/>
        <v/>
      </c>
      <c r="K42" s="368"/>
      <c r="L42" s="368"/>
      <c r="M42" s="368"/>
      <c r="N42" s="311">
        <f t="shared" si="24"/>
        <v>0</v>
      </c>
      <c r="O42" s="311">
        <f t="shared" si="25"/>
        <v>0</v>
      </c>
      <c r="P42" s="311">
        <f>IF(Stamoplysninger!$H$34="JA",Juli!DG42,CX42)</f>
        <v>0</v>
      </c>
      <c r="Q42" s="311">
        <f t="shared" si="26"/>
        <v>0</v>
      </c>
      <c r="R42" s="751"/>
      <c r="S42" s="315"/>
      <c r="T42" s="316"/>
      <c r="U42" s="316"/>
      <c r="V42" s="422"/>
      <c r="W42" s="400"/>
      <c r="X42" s="619"/>
      <c r="Y42">
        <f t="shared" si="27"/>
        <v>0</v>
      </c>
      <c r="Z42">
        <f t="shared" si="3"/>
        <v>0</v>
      </c>
      <c r="AA42" s="1">
        <f t="shared" si="4"/>
        <v>0</v>
      </c>
      <c r="AB42" s="1">
        <f t="shared" si="5"/>
        <v>0</v>
      </c>
      <c r="AC42" s="1">
        <f t="shared" si="6"/>
        <v>0</v>
      </c>
      <c r="AD42" s="1">
        <f t="shared" si="7"/>
        <v>0</v>
      </c>
      <c r="AE42" s="1">
        <f t="shared" si="8"/>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0</v>
      </c>
      <c r="BB42" s="224">
        <f t="shared" si="9"/>
        <v>0</v>
      </c>
      <c r="BC42" s="1">
        <f t="shared" si="29"/>
        <v>0</v>
      </c>
      <c r="BD42" s="1">
        <f t="shared" si="10"/>
        <v>0</v>
      </c>
      <c r="BE42" s="1">
        <f t="shared" si="11"/>
        <v>0</v>
      </c>
      <c r="BF42" s="1">
        <f t="shared" si="12"/>
        <v>0</v>
      </c>
      <c r="BG42" s="207" t="str">
        <f>IF(AND(C42="Skema 1",B42="ma"),Skemaoplysninger!$E$46,"")</f>
        <v/>
      </c>
      <c r="BH42" s="207" t="str">
        <f>IF(AND(C42="Skema 1",B42="ti"),Skemaoplysninger!$G$46,"")</f>
        <v/>
      </c>
      <c r="BI42" s="207" t="str">
        <f>IF(AND(C42="Skema 1",B42="on"),Skemaoplysninger!$I$46,"")</f>
        <v/>
      </c>
      <c r="BJ42" s="207" t="str">
        <f>IF(AND(C42="Skema 1",B42="to"),Skemaoplysninger!$K$46,"")</f>
        <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 t="shared" si="30"/>
        <v>0</v>
      </c>
      <c r="CB42" s="1">
        <f t="shared" si="13"/>
        <v>0</v>
      </c>
      <c r="CC42" s="1">
        <f t="shared" si="14"/>
        <v>0</v>
      </c>
      <c r="CD42" s="207" t="str">
        <f>IF(AND(C42="Skema 1",B42="ma"),Skemaoplysninger!$E$47,"")</f>
        <v/>
      </c>
      <c r="CE42" s="207" t="str">
        <f>IF(AND(C42="Skema 1",B42="ti"),Skemaoplysninger!$G$47,"")</f>
        <v/>
      </c>
      <c r="CF42" s="207" t="str">
        <f>IF(AND(C42="Skema 1",B42="on"),Skemaoplysninger!$I$47,"")</f>
        <v/>
      </c>
      <c r="CG42" s="207" t="str">
        <f>IF(AND(C42="Skema 1",B42="to"),Skemaoplysninger!$K$47,"")</f>
        <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t="str">
        <f t="shared" si="33"/>
        <v>Sommerferie</v>
      </c>
      <c r="DJ42" t="str">
        <f t="shared" si="34"/>
        <v/>
      </c>
      <c r="DK42" t="str">
        <f t="shared" si="15"/>
        <v/>
      </c>
      <c r="DL42" t="str">
        <f t="shared" si="15"/>
        <v>Sommerferie</v>
      </c>
      <c r="DM42" t="str">
        <f t="shared" si="15"/>
        <v/>
      </c>
      <c r="DN42" t="str">
        <f t="shared" si="35"/>
        <v>Sommerferie</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6"/>
        <v>0</v>
      </c>
      <c r="FZ42" s="634">
        <f t="shared" si="17"/>
        <v>0</v>
      </c>
      <c r="GA42">
        <f t="shared" si="18"/>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9"/>
        <v>0</v>
      </c>
      <c r="GL42">
        <f t="shared" si="20"/>
        <v>0</v>
      </c>
      <c r="GM42">
        <f t="shared" si="21"/>
        <v>0</v>
      </c>
      <c r="GN42" s="713">
        <f t="shared" si="22"/>
        <v>0</v>
      </c>
      <c r="GO42">
        <f t="shared" si="37"/>
        <v>0</v>
      </c>
      <c r="GP42" s="647">
        <f t="shared" si="38"/>
        <v>0</v>
      </c>
    </row>
    <row r="43" spans="1:198">
      <c r="A43" s="239">
        <f t="shared" si="23"/>
        <v>30</v>
      </c>
      <c r="B43" s="125" t="str">
        <f t="shared" si="0"/>
        <v>fr</v>
      </c>
      <c r="C43" s="126" t="s">
        <v>207</v>
      </c>
      <c r="D43" s="127" t="str">
        <f t="shared" si="1"/>
        <v/>
      </c>
      <c r="E43" s="1060" t="s">
        <v>112</v>
      </c>
      <c r="F43" s="1061"/>
      <c r="G43" s="1062"/>
      <c r="H43" s="292"/>
      <c r="I43" s="745"/>
      <c r="J43" s="746" t="str">
        <f t="shared" si="2"/>
        <v/>
      </c>
      <c r="K43" s="368"/>
      <c r="L43" s="368"/>
      <c r="M43" s="368"/>
      <c r="N43" s="311">
        <f t="shared" si="24"/>
        <v>0</v>
      </c>
      <c r="O43" s="311">
        <f t="shared" si="25"/>
        <v>0</v>
      </c>
      <c r="P43" s="311">
        <f>IF(Stamoplysninger!$H$34="JA",Juli!DG43,CX43)</f>
        <v>0</v>
      </c>
      <c r="Q43" s="311">
        <f t="shared" si="26"/>
        <v>0</v>
      </c>
      <c r="R43" s="751"/>
      <c r="S43" s="315"/>
      <c r="T43" s="316"/>
      <c r="U43" s="428"/>
      <c r="V43" s="422"/>
      <c r="W43" s="400"/>
      <c r="X43" s="619"/>
      <c r="Y43">
        <f t="shared" si="27"/>
        <v>0</v>
      </c>
      <c r="Z43">
        <f t="shared" si="3"/>
        <v>0</v>
      </c>
      <c r="AA43" s="1">
        <f t="shared" si="4"/>
        <v>0</v>
      </c>
      <c r="AB43" s="1">
        <f t="shared" si="5"/>
        <v>0</v>
      </c>
      <c r="AC43" s="1">
        <f t="shared" si="6"/>
        <v>0</v>
      </c>
      <c r="AD43" s="1">
        <f t="shared" si="7"/>
        <v>0</v>
      </c>
      <c r="AE43" s="1">
        <f t="shared" si="8"/>
        <v>0</v>
      </c>
      <c r="AF43" s="1">
        <f>IF(C43="Orlov",7.4*Stamoplysninger!$E$20,0)</f>
        <v>0</v>
      </c>
      <c r="AG43" t="str">
        <f>IF(AND(C43="Skema 1",B43="ma"),Arbejdstidsoversigt!$E$77,"")</f>
        <v/>
      </c>
      <c r="AH43" t="str">
        <f>IF(AND(C43="Skema 1",B43="ti"),Arbejdstidsoversigt!$E$78,"")</f>
        <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0</v>
      </c>
      <c r="BB43" s="224">
        <f t="shared" si="9"/>
        <v>0</v>
      </c>
      <c r="BC43" s="1">
        <f t="shared" si="29"/>
        <v>0</v>
      </c>
      <c r="BD43" s="1">
        <f t="shared" si="10"/>
        <v>0</v>
      </c>
      <c r="BE43" s="1">
        <f t="shared" si="11"/>
        <v>0</v>
      </c>
      <c r="BF43" s="1">
        <f t="shared" si="12"/>
        <v>0</v>
      </c>
      <c r="BG43" s="207" t="str">
        <f>IF(AND(C43="Skema 1",B43="ma"),Skemaoplysninger!$E$46,"")</f>
        <v/>
      </c>
      <c r="BH43" s="207" t="str">
        <f>IF(AND(C43="Skema 1",B43="ti"),Skemaoplysninger!$G$46,"")</f>
        <v/>
      </c>
      <c r="BI43" s="207" t="str">
        <f>IF(AND(C43="Skema 1",B43="on"),Skemaoplysninger!$I$46,"")</f>
        <v/>
      </c>
      <c r="BJ43" s="207" t="str">
        <f>IF(AND(C43="Skema 1",B43="to"),Skemaoplysninger!$K$46,"")</f>
        <v/>
      </c>
      <c r="BK43" s="207" t="str">
        <f>IF(AND(C43="Skema 1",B43="fr"),Skemaoplysninger!$M$46,"")</f>
        <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 t="shared" si="30"/>
        <v>0</v>
      </c>
      <c r="CB43" s="1">
        <f t="shared" si="13"/>
        <v>0</v>
      </c>
      <c r="CC43" s="1">
        <f t="shared" si="14"/>
        <v>0</v>
      </c>
      <c r="CD43" s="207" t="str">
        <f>IF(AND(C43="Skema 1",B43="ma"),Skemaoplysninger!$E$47,"")</f>
        <v/>
      </c>
      <c r="CE43" s="207" t="str">
        <f>IF(AND(C43="Skema 1",B43="ti"),Skemaoplysninger!$G$47,"")</f>
        <v/>
      </c>
      <c r="CF43" s="207" t="str">
        <f>IF(AND(C43="Skema 1",B43="on"),Skemaoplysninger!$I$47,"")</f>
        <v/>
      </c>
      <c r="CG43" s="207" t="str">
        <f>IF(AND(C43="Skema 1",B43="to"),Skemaoplysninger!$K$47,"")</f>
        <v/>
      </c>
      <c r="CH43" s="207" t="str">
        <f>IF(AND(C43="Skema 1",B43="fr"),Skemaoplysninger!$M$47,"")</f>
        <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t="str">
        <f t="shared" si="33"/>
        <v>Sommerferie</v>
      </c>
      <c r="DJ43" t="str">
        <f t="shared" si="34"/>
        <v/>
      </c>
      <c r="DK43" t="str">
        <f t="shared" si="15"/>
        <v/>
      </c>
      <c r="DL43" t="str">
        <f t="shared" si="15"/>
        <v>Sommerferie</v>
      </c>
      <c r="DM43" t="str">
        <f t="shared" si="15"/>
        <v/>
      </c>
      <c r="DN43" t="str">
        <f t="shared" si="35"/>
        <v>Sommerferie</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6"/>
        <v>0</v>
      </c>
      <c r="FZ43" s="634">
        <f t="shared" si="17"/>
        <v>0</v>
      </c>
      <c r="GA43">
        <f t="shared" si="18"/>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9"/>
        <v>0</v>
      </c>
      <c r="GL43">
        <f t="shared" si="20"/>
        <v>0</v>
      </c>
      <c r="GM43">
        <f t="shared" si="21"/>
        <v>0</v>
      </c>
      <c r="GN43" s="713">
        <f t="shared" si="22"/>
        <v>0</v>
      </c>
      <c r="GO43">
        <f t="shared" si="37"/>
        <v>0</v>
      </c>
      <c r="GP43" s="647">
        <f t="shared" si="38"/>
        <v>0</v>
      </c>
    </row>
    <row r="44" spans="1:198" ht="17" thickBot="1">
      <c r="A44" s="239">
        <f>IF(ISNUMBER(A43),A43+1,1)</f>
        <v>31</v>
      </c>
      <c r="B44" s="125" t="str">
        <f t="shared" si="0"/>
        <v>lø</v>
      </c>
      <c r="C44" s="126" t="s">
        <v>118</v>
      </c>
      <c r="D44" s="127" t="str">
        <f t="shared" si="1"/>
        <v/>
      </c>
      <c r="E44" s="1123"/>
      <c r="F44" s="1124"/>
      <c r="G44" s="1125"/>
      <c r="H44" s="291"/>
      <c r="I44" s="803" t="str">
        <f>IF(GO44=1,"X","")</f>
        <v/>
      </c>
      <c r="J44" s="746" t="str">
        <f t="shared" si="2"/>
        <v/>
      </c>
      <c r="K44" s="368"/>
      <c r="L44" s="368"/>
      <c r="M44" s="368"/>
      <c r="N44" s="311">
        <f t="shared" si="24"/>
        <v>0</v>
      </c>
      <c r="O44" s="311">
        <f t="shared" si="25"/>
        <v>0</v>
      </c>
      <c r="P44" s="311">
        <f>IF(Stamoplysninger!$H$34="JA",Juli!DG44,CX44)</f>
        <v>0</v>
      </c>
      <c r="Q44" s="311">
        <f t="shared" si="26"/>
        <v>0</v>
      </c>
      <c r="R44" s="751"/>
      <c r="S44" s="315"/>
      <c r="T44" s="316"/>
      <c r="U44" s="211"/>
      <c r="V44" s="422"/>
      <c r="W44" s="400"/>
      <c r="X44" s="620"/>
      <c r="Y44">
        <f t="shared" si="27"/>
        <v>0</v>
      </c>
      <c r="Z44">
        <f t="shared" si="3"/>
        <v>0</v>
      </c>
      <c r="AA44" s="1">
        <f t="shared" si="4"/>
        <v>0</v>
      </c>
      <c r="AB44" s="1">
        <f t="shared" si="5"/>
        <v>0</v>
      </c>
      <c r="AC44" s="1">
        <f t="shared" si="6"/>
        <v>0</v>
      </c>
      <c r="AD44" s="1">
        <f t="shared" si="7"/>
        <v>0</v>
      </c>
      <c r="AE44" s="1">
        <f t="shared" si="8"/>
        <v>0</v>
      </c>
      <c r="AF44" s="1">
        <f>IF(C44="Orlov",7.4*Stamoplysninger!$E$20,0)</f>
        <v>0</v>
      </c>
      <c r="AG44" t="str">
        <f>IF(AND(C44="Skema 1",B44="ma"),Arbejdstidsoversigt!$E$77,"")</f>
        <v/>
      </c>
      <c r="AH44" t="str">
        <f>IF(AND(C44="Skema 1",B44="ti"),Arbejdstidsoversigt!$E$78,"")</f>
        <v/>
      </c>
      <c r="AI44" t="str">
        <f>IF(AND(C44="Skema 1",B44="on"),Arbejdstidsoversigt!$E$79,"")</f>
        <v/>
      </c>
      <c r="AJ44" t="str">
        <f>IF(AND(C44="Skema 1",B44="to"),Arbejdstidsoversigt!$E$80,"")</f>
        <v/>
      </c>
      <c r="AK44" t="str">
        <f>IF(AND(C44="Skema 1",B44="fr"),Arbejdstidsoversigt!$E$81,"")</f>
        <v/>
      </c>
      <c r="AL44" t="str">
        <f>IF(AND(C44="Skema 2",B44="ma"),Arbejdstidsoversigt!$E$86,"")</f>
        <v/>
      </c>
      <c r="AM44" t="str">
        <f>IF(AND(C44="Skema 2",B44="ti"),Arbejdstidsoversigt!$E$87,"")</f>
        <v/>
      </c>
      <c r="AN44" t="str">
        <f>IF(AND(C44="Skema 2",B44="on"),Arbejdstidsoversigt!$E$88,"")</f>
        <v/>
      </c>
      <c r="AO44" t="str">
        <f>IF(AND(C44="Skema 2",B44="to"),Arbejdstidsoversigt!$E$89,"")</f>
        <v/>
      </c>
      <c r="AP44" t="str">
        <f>IF(AND(C44="Skema 2",B44="fr"),Arbejdstidsoversigt!$E$90,"")</f>
        <v/>
      </c>
      <c r="AQ44" t="str">
        <f>IF(AND(C44="Skema 3",B44="ma"),Arbejdstidsoversigt!$E$95,"")</f>
        <v/>
      </c>
      <c r="AR44" t="str">
        <f>IF(AND(C44="Skema 3",B44="ti"),Arbejdstidsoversigt!$E$96,"")</f>
        <v/>
      </c>
      <c r="AS44" t="str">
        <f>IF(AND(C44="Skema 3",B44="on"),Arbejdstidsoversigt!$E$97,"")</f>
        <v/>
      </c>
      <c r="AT44" t="str">
        <f>IF(AND(C44="Skema 3",B44="to"),Arbejdstidsoversigt!$E$98,"")</f>
        <v/>
      </c>
      <c r="AU44" t="str">
        <f>IF(AND(C44="Skema 3",B44="fr"),Arbejdstidsoversigt!$E$99,"")</f>
        <v/>
      </c>
      <c r="AV44" t="str">
        <f>IF(AND(C44="Skema 4",B44="ma"),Arbejdstidsoversigt!$E$104,"")</f>
        <v/>
      </c>
      <c r="AW44" t="str">
        <f>IF(AND(C44="Skema 4",B44="ti"),Arbejdstidsoversigt!$E$105,"")</f>
        <v/>
      </c>
      <c r="AX44" t="str">
        <f>IF(AND(C44="Skema 4",B44="on"),Arbejdstidsoversigt!$E$106,"")</f>
        <v/>
      </c>
      <c r="AY44" t="str">
        <f>IF(AND(C44="Skema 4",B44="to"),Arbejdstidsoversigt!$E$107,"")</f>
        <v/>
      </c>
      <c r="AZ44" t="str">
        <f>IF(AND(C44="Skema 4",B44="fr"),Arbejdstidsoversigt!$E$108,"")</f>
        <v/>
      </c>
      <c r="BA44" s="1">
        <f t="shared" si="28"/>
        <v>0</v>
      </c>
      <c r="BB44" s="224">
        <f t="shared" si="9"/>
        <v>0</v>
      </c>
      <c r="BC44" s="1">
        <f t="shared" si="29"/>
        <v>0</v>
      </c>
      <c r="BD44" s="1">
        <f t="shared" si="10"/>
        <v>0</v>
      </c>
      <c r="BE44" s="1">
        <f t="shared" si="11"/>
        <v>0</v>
      </c>
      <c r="BF44" s="1">
        <f t="shared" si="12"/>
        <v>0</v>
      </c>
      <c r="BG44" s="207" t="str">
        <f>IF(AND(C44="Skema 1",B44="ma"),Skemaoplysninger!$E$46,"")</f>
        <v/>
      </c>
      <c r="BH44" s="207" t="str">
        <f>IF(AND(C44="Skema 1",B44="ti"),Skemaoplysninger!$G$46,"")</f>
        <v/>
      </c>
      <c r="BI44" s="207" t="str">
        <f>IF(AND(C44="Skema 1",B44="on"),Skemaoplysninger!$I$46,"")</f>
        <v/>
      </c>
      <c r="BJ44" s="207" t="str">
        <f>IF(AND(C44="Skema 1",B44="to"),Skemaoplysninger!$K$46,"")</f>
        <v/>
      </c>
      <c r="BK44" s="207" t="str">
        <f>IF(AND(C44="Skema 1",B44="fr"),Skemaoplysninger!$M$46,"")</f>
        <v/>
      </c>
      <c r="BL44" s="207" t="str">
        <f>IF(AND(C44="Skema 2",B44="ma"),Skemaoplysninger!$S$46,"")</f>
        <v/>
      </c>
      <c r="BM44" s="207" t="str">
        <f>IF(AND(C44="Skema 2",B44="ti"),Skemaoplysninger!$U$46,"")</f>
        <v/>
      </c>
      <c r="BN44" s="207" t="str">
        <f>IF(AND(C44="Skema 2",B44="on"),Skemaoplysninger!$W$46,"")</f>
        <v/>
      </c>
      <c r="BO44" s="207" t="str">
        <f>IF(AND(C44="Skema 2",B44="to"),Skemaoplysninger!$Y$46,"")</f>
        <v/>
      </c>
      <c r="BP44" s="207" t="str">
        <f>IF(AND(C44="Skema 2",B44="fr"),Skemaoplysninger!$AA$46,"")</f>
        <v/>
      </c>
      <c r="BQ44" s="207" t="str">
        <f>IF(AND(C44="Skema 3",B44="ma"),Skemaoplysninger!$AG$46,"")</f>
        <v/>
      </c>
      <c r="BR44" s="207" t="str">
        <f>IF(AND(C44="Skema 3",B44="ti"),Skemaoplysninger!$AI$46,"")</f>
        <v/>
      </c>
      <c r="BS44" s="207" t="str">
        <f>IF(AND(C44="Skema 3",B44="on"),Skemaoplysninger!$AK$46,"")</f>
        <v/>
      </c>
      <c r="BT44" s="207" t="str">
        <f>IF(AND(C44="Skema 3",B44="to"),Skemaoplysninger!$AM$46,"")</f>
        <v/>
      </c>
      <c r="BU44" s="207" t="str">
        <f>IF(AND(C44="Skema 3",B44="fr"),Skemaoplysninger!$AO$46,"")</f>
        <v/>
      </c>
      <c r="BV44" s="207" t="str">
        <f>IF(AND(C44="Skema 4",B44="ma"),Skemaoplysninger!$AU$46,"")</f>
        <v/>
      </c>
      <c r="BW44" s="207" t="str">
        <f>IF(AND(C44="Skema 4",B44="ti"),Skemaoplysninger!$AW$46,"")</f>
        <v/>
      </c>
      <c r="BX44" s="207" t="str">
        <f>IF(AND(C44="Skema 4",B44="on"),Skemaoplysninger!$AY$46,"")</f>
        <v/>
      </c>
      <c r="BY44" s="207" t="str">
        <f>IF(AND(C44="Skema 4",B44="to"),Skemaoplysninger!$BA$46,"")</f>
        <v/>
      </c>
      <c r="BZ44" s="207" t="str">
        <f>IF(AND(C44="Skema 4",B44="fr"),Skemaoplysninger!$BC$46,"")</f>
        <v/>
      </c>
      <c r="CA44" s="1">
        <f t="shared" si="30"/>
        <v>0</v>
      </c>
      <c r="CB44" s="1">
        <f t="shared" si="13"/>
        <v>0</v>
      </c>
      <c r="CC44" s="1">
        <f t="shared" si="14"/>
        <v>0</v>
      </c>
      <c r="CD44" s="207" t="str">
        <f>IF(AND(C44="Skema 1",B44="ma"),Skemaoplysninger!$E$47,"")</f>
        <v/>
      </c>
      <c r="CE44" s="207" t="str">
        <f>IF(AND(C44="Skema 1",B44="ti"),Skemaoplysninger!$G$47,"")</f>
        <v/>
      </c>
      <c r="CF44" s="207" t="str">
        <f>IF(AND(C44="Skema 1",B44="on"),Skemaoplysninger!$I$47,"")</f>
        <v/>
      </c>
      <c r="CG44" s="207" t="str">
        <f>IF(AND(C44="Skema 1",B44="to"),Skemaoplysninger!$K$47,"")</f>
        <v/>
      </c>
      <c r="CH44" s="207" t="str">
        <f>IF(AND(C44="Skema 1",B44="fr"),Skemaoplysninger!$M$47,"")</f>
        <v/>
      </c>
      <c r="CI44" s="207" t="str">
        <f>IF(AND(C44="Skema 2",B44="ma"),Skemaoplysninger!$S$47,"")</f>
        <v/>
      </c>
      <c r="CJ44" s="207" t="str">
        <f>IF(AND(C44="Skema 2",B44="ti"),Skemaoplysninger!$U$47,"")</f>
        <v/>
      </c>
      <c r="CK44" s="207" t="str">
        <f>IF(AND(C44="Skema 2",B44="on"),Skemaoplysninger!$W$47,"")</f>
        <v/>
      </c>
      <c r="CL44" s="207" t="str">
        <f>IF(AND(C44="Skema 2",B44="to"),Skemaoplysninger!$Y$47,"")</f>
        <v/>
      </c>
      <c r="CM44" s="207" t="str">
        <f>IF(AND(C44="Skema 2",B44="fr"),Skemaoplysninger!$AA$47,"")</f>
        <v/>
      </c>
      <c r="CN44" s="207" t="str">
        <f>IF(AND(C44="Skema 3",B44="ma"),Skemaoplysninger!$AG$47,"")</f>
        <v/>
      </c>
      <c r="CO44" s="207" t="str">
        <f>IF(AND(C44="Skema 3",B44="ti"),Skemaoplysninger!$AI$47,"")</f>
        <v/>
      </c>
      <c r="CP44" s="207" t="str">
        <f>IF(AND(C44="Skema 3",B44="on"),Skemaoplysninger!$AK$47,"")</f>
        <v/>
      </c>
      <c r="CQ44" s="207" t="str">
        <f>IF(AND(C44="Skema 3",B44="to"),Skemaoplysninger!$AM$47,"")</f>
        <v/>
      </c>
      <c r="CR44" s="207" t="str">
        <f>IF(AND(C44="Skema 3",B44="fr"),Skemaoplysninger!$AO$47,"")</f>
        <v/>
      </c>
      <c r="CS44" s="207" t="str">
        <f>IF(AND(C44="Skema 4",B44="ma"),Skemaoplysninger!$AU$47,"")</f>
        <v/>
      </c>
      <c r="CT44" s="207" t="str">
        <f>IF(AND(C44="Skema 4",B44="ti"),Skemaoplysninger!$AW$47,"")</f>
        <v/>
      </c>
      <c r="CU44" s="207" t="str">
        <f>IF(AND(C44="Skema 4",B44="on"),Skemaoplysninger!$AY$47,"")</f>
        <v/>
      </c>
      <c r="CV44" s="207" t="str">
        <f>IF(AND(C44="Skema 4",B44="to"),Skemaoplysninger!$BA$47,"")</f>
        <v/>
      </c>
      <c r="CW44" s="207" t="str">
        <f>IF(AND(C44="Skema 4",B44="fr"),Skemaoplysninger!$BC$47,"")</f>
        <v/>
      </c>
      <c r="CX44" s="243">
        <f>IF(Stamoplysninger!$H$34="NEJ",SUM(CD44:CW44)*24+CB44+CC44,0)</f>
        <v>0</v>
      </c>
      <c r="CY44" s="243">
        <f>IF(C44="Skema 1",Stamoplysninger!$H$35/200,0)</f>
        <v>0</v>
      </c>
      <c r="CZ44" s="243">
        <f>IF(C44="Skema 2",Stamoplysninger!$H$35/200,0)</f>
        <v>0</v>
      </c>
      <c r="DA44" s="243">
        <f>IF(C44="Skema 3",Stamoplysninger!$H$35/200,0)</f>
        <v>0</v>
      </c>
      <c r="DB44" s="243">
        <f>IF(C44="Skema 4",Stamoplysninger!$H$35/200,0)</f>
        <v>0</v>
      </c>
      <c r="DC44" s="243">
        <f>IF(C44="fagdag",Stamoplysninger!$H$35/200,0)</f>
        <v>0</v>
      </c>
      <c r="DD44" s="243">
        <f>IF(C44="emnedag",Stamoplysninger!$H$35/200,0)</f>
        <v>0</v>
      </c>
      <c r="DE44" s="243">
        <f>IF(C44="lejrskole",Stamoplysninger!$H$35/200,0)</f>
        <v>0</v>
      </c>
      <c r="DF44" s="243">
        <f>IF(C44="ekskursion",Stamoplysninger!$H$35/200,0)</f>
        <v>0</v>
      </c>
      <c r="DG44" s="243">
        <f t="shared" si="31"/>
        <v>0</v>
      </c>
      <c r="DH44" t="str">
        <f t="shared" si="32"/>
        <v/>
      </c>
      <c r="DI44">
        <f t="shared" si="33"/>
        <v>0</v>
      </c>
      <c r="DJ44">
        <f t="shared" si="34"/>
        <v>0</v>
      </c>
      <c r="DK44" t="str">
        <f>IF(DH44=0,"",DH44)</f>
        <v/>
      </c>
      <c r="DL44" t="str">
        <f>IF(DI44=0,"",DI44)</f>
        <v/>
      </c>
      <c r="DM44" t="str">
        <f>IF(DJ44=0,"",DJ44)</f>
        <v/>
      </c>
      <c r="DN44" t="str">
        <f t="shared" si="35"/>
        <v/>
      </c>
      <c r="DO44" s="628">
        <f>IF(AND(Stamoplysninger!$B$27="Ulempetillæg udbetales med 25% af nettotimelønnen.",H44&gt;0),(R44/4),0)</f>
        <v>0</v>
      </c>
      <c r="DP44">
        <f>IF(AND(AND(Stamoplysninger!$B$27="Ulempetillæg udbetales med 25% af nettotimelønnen.",I44="X",J44="")),K44/4,0)</f>
        <v>0</v>
      </c>
      <c r="DQ44">
        <f>IF(AND(Stamoplysninger!$B$27="Ulempetillæg udbetales med 25% af nettotimelønnen.",U44="X"),(X44/4),0)</f>
        <v>0</v>
      </c>
      <c r="DR44">
        <f>IF(AND(AND(AND(Stamoplysninger!$B$27="Ulempetillæg udbetales med 25% af nettotimelønnen.",S44="X",I44="X",J44=""))),V44/4,0)</f>
        <v>0</v>
      </c>
      <c r="DS44" s="647">
        <f>IF(AND(AND(Stamoplysninger!$B$27="Ulempetillæg udbetales med 25% af nettotimelønnen.",C44="ikke relevant",H44&gt;"")),(R44)/4,0)</f>
        <v>0</v>
      </c>
      <c r="DT44" s="647">
        <f>IF(AND(AND(Stamoplysninger!$B$27="Ulempetillæg udbetales med 25% af nettotimelønnen.",I44="X",C44="Ikke relevant")),K44/4,0)</f>
        <v>0</v>
      </c>
      <c r="DU44" s="647">
        <f>IF(AND(AND(Stamoplysninger!$B$27="Ulempetillæg udbetales med 25% af nettotimelønnen.",C44="ikke relevant",U44="X")),(X44/4),0)</f>
        <v>0</v>
      </c>
      <c r="DV44" s="648">
        <f>IF(AND(AND(AND(Stamoplysninger!$B$27="Ulempetillæg udbetales med 25% af nettotimelønnen.",I44="X",C44="Ikke relevant",U44="X"))),X44/4,0)</f>
        <v>0</v>
      </c>
      <c r="DW44" s="628">
        <f>IF(AND(Stamoplysninger!$B$27="Ulempetillæg afspadseres med 25%(Kræver en aftale imellem ledelsen og den ansatte)",H44&gt;0),R44/4,0)</f>
        <v>0</v>
      </c>
      <c r="DX44">
        <f>IF(AND(AND(Stamoplysninger!$B$27="Ulempetillæg afspadseres med 25%(Kræver en aftale imellem ledelsen og den ansatte)",I44="X",J44="")),K44/4,0)</f>
        <v>0</v>
      </c>
      <c r="DY44">
        <f>IF(AND(Stamoplysninger!$B$27="Ulempetillæg afspadseres med 25%(Kræver en aftale imellem ledelsen og den ansatte)",U44="X"),X44/4,0)</f>
        <v>0</v>
      </c>
      <c r="DZ44">
        <f>IF(AND(AND(AND(Stamoplysninger!$B$27="Ulempetillæg afspadseres med 25%(Kræver en aftale imellem ledelsen og den ansatte)",I44="X",S44="X",J44=""))),V44/4,0)</f>
        <v>0</v>
      </c>
      <c r="EA44" s="647">
        <f>IF(AND(Stamoplysninger!$B$27="Ulempetillæg afspadseres med 25%(Kræver en aftale imellem ledelsen og den ansatte)",C44="ikke relevant"),(R44)/4,0)</f>
        <v>0</v>
      </c>
      <c r="EB44" s="647">
        <f>IF(AND(AND(Stamoplysninger!$B$27="Ulempetillæg afspadseres med 25%(Kræver en aftale imellem ledelsen og den ansatte)",I44="X",C44="Ikke relevant")),K44/4,0)</f>
        <v>0</v>
      </c>
      <c r="EC44" s="647">
        <f>IF(AND(AND(Stamoplysninger!$B$27="Ulempetillæg afspadseres med 25%(Kræver en aftale imellem ledelsen og den ansatte)",U44="X",C44="Ikke relevant")),X44/4,0)</f>
        <v>0</v>
      </c>
      <c r="ED44" s="647">
        <f>IF(AND(AND(AND(Stamoplysninger!$B$27="Ulempetillæg afspadseres med 25%(Kræver en aftale imellem ledelsen og den ansatte)",I44="X",C44="Ikke relevant",S44="X"))),V44/4,0)</f>
        <v>0</v>
      </c>
      <c r="EE44" s="277">
        <f>IF(AND(AND(Stamoplysninger!$B$31="Weekendtimer og weekendtillæg afspadseres.",I44="X",J44="")),K44*1.5,0)</f>
        <v>0</v>
      </c>
      <c r="EF44" s="245">
        <f>IF(AND(AND(AND(Stamoplysninger!$B$31="Weekendtimer og weekendtillæg afspadseres.",I44="X",S44="X",J44=""))),V44*1.5,0)</f>
        <v>0</v>
      </c>
      <c r="EG44" s="650">
        <f>IF(AND(AND(Stamoplysninger!$B$31="Weekendtimer og weekendtillæg afspadseres.",I44="X",C44="ikke relevant")),K44*1.5,0)</f>
        <v>0</v>
      </c>
      <c r="EH44" s="651">
        <f>IF(AND(AND(AND(Stamoplysninger!$B$31="Weekendtimer og weekendtillæg afspadseres.",I44="X",C44="ikke relevant",S44="X"))),(V44*1.5),0)</f>
        <v>0</v>
      </c>
      <c r="EI44" s="277">
        <f>IF(AND(AND(Stamoplysninger!$B$31="Weekendtimer og weekendtillæg afspadseres.",I44="X",J44="X")),K44,0)</f>
        <v>0</v>
      </c>
      <c r="EJ44" s="718">
        <f>IF(AND(AND(AND(Stamoplysninger!$B$31="Weekendtimer og weekendtillæg afspadseres.",I44="X",S44="X",J44="X"))),V44,0)</f>
        <v>0</v>
      </c>
      <c r="EK44" s="650">
        <f>IF(AND(AND(Stamoplysninger!$B$31="Weekendtimer og weekendtillæg afspadseres.",M44="X",G44="ikke relevant")),O44*1.5,0)</f>
        <v>0</v>
      </c>
      <c r="EL44" s="651">
        <f>IF(AND(AND(AND(Stamoplysninger!$B$31="Weekendtimer og weekendtillæg afspadseres.",M44="X",G44="ikke relevant",W44="X"))),(Z44*1.5),0)</f>
        <v>0</v>
      </c>
      <c r="EM44" s="277">
        <f>IF(AND(AND(Stamoplysninger!$B$31="Weekendtimer og weekendtillæg udbetales.",I44="X",J44="")),K44*1.5,0)</f>
        <v>0</v>
      </c>
      <c r="EN44" s="245">
        <f>IF(AND(AND(AND(Stamoplysninger!$B$31="Weekendtimer og weekendtillæg udbetales.",I44="X",S44="X",J44=""))),V44*1.5,0)</f>
        <v>0</v>
      </c>
      <c r="EO44" s="650">
        <f>IF(AND(AND(Stamoplysninger!$B$31="Weekendtimer og weekendtillæg udbetales.",I44="X",C44="ikke relevant")),K44*1.5,0)</f>
        <v>0</v>
      </c>
      <c r="EP44" s="651">
        <f>IF(AND(AND(AND(Stamoplysninger!$B$31="Weekendtimer og weekendtillæg udbetales.",I44="X",C44="ikke relevant",S44="X"))),(V44*1.5),0)</f>
        <v>0</v>
      </c>
      <c r="EQ44" s="277">
        <f>IF(AND(AND(Stamoplysninger!$B$31="Weekendtimer og weekendtillæg udbetales.",I44="X",J44="X")),K44,0)</f>
        <v>0</v>
      </c>
      <c r="ER44" s="718">
        <f>IF(AND(AND(AND(Stamoplysninger!$B$31="Weekendtimer og weekendtillæg udbetales.",I44="X",S44="X",J44="x"))),V44,0)</f>
        <v>0</v>
      </c>
      <c r="ES44" s="650">
        <f>IF(AND(AND(Stamoplysninger!$B$31="Weekendtimer og weekendtillæg udbetales.",M44="X",G44="ikke relevant")),O44*1.5,0)</f>
        <v>0</v>
      </c>
      <c r="ET44" s="651">
        <f>IF(AND(AND(AND(Stamoplysninger!$B$31="Weekendtimer og weekendtillæg udbetales.",M44="X",G44="ikke relevant",W44="X"))),(Z44*1.5),0)</f>
        <v>0</v>
      </c>
      <c r="EU44" s="277">
        <f>IF(AND(AND(Stamoplysninger!$B$31="Der er indgået lokalaftale omkring weekendtimer.(Kræver aftale med TR/FSL) Weekendtillæg afspadseres.",I44="X",J44="")),K44*0.5,0)</f>
        <v>0</v>
      </c>
      <c r="EV44" s="245">
        <f>IF(AND(AND(AND(Stamoplysninger!$B$31="Der er indgået lokalaftale omkring weekendtimer.(Kræver aftale med TR/FSL) Weekendtillæg afspadseres.",I44="X",S44="X",J44=""))),V44*0.5,0)</f>
        <v>0</v>
      </c>
      <c r="EW44" s="650">
        <f>IF(AND(AND(Stamoplysninger!$B$31="Der er indgået lokalaftale omkring weekendtimer.(Kræver aftale med TR/FSL) Weekendtillæg afspadseres.",I44="X",C44="ikke relevant")),K44*0.5,0)</f>
        <v>0</v>
      </c>
      <c r="EX44" s="651">
        <f>IF(AND(AND(AND(Stamoplysninger!$B$31="Der er indgået lokalaftale omkring weekendtimer.(Kræver aftale med TR/FSL) Weekendtillæg afspadseres.",I44="X",C44="ikke relevant",S44="X"))),(V44*0.5),0)</f>
        <v>0</v>
      </c>
      <c r="EY44" s="277">
        <f>IF(AND(AND(Stamoplysninger!$B$31="Der er indgået lokalaftale omkring weekendtimer(Kræver aftale med TR/FSL). Weekendtillæg udbetales.",I44="X",J44="")),K44*0.5,0)</f>
        <v>0</v>
      </c>
      <c r="EZ44" s="245">
        <f>IF(AND(AND(AND(Stamoplysninger!$B$31="Der er indgået lokalaftale omkring weekendtimer(Kræver aftale med TR/FSL). Weekendtillæg udbetales.",I44="X",S44="X",J44=""))),V44*0.5,0)</f>
        <v>0</v>
      </c>
      <c r="FA44" s="650">
        <f>IF(AND(AND(Stamoplysninger!$B$31="Der er indgået lokalaftale omkring weekendtimer(Kræver aftale med TR/FSL). Weekendtillæg udbetales.",I44="X",C44="ikke relevant")),K44*0.5,0)</f>
        <v>0</v>
      </c>
      <c r="FB44" s="651">
        <f>IF(AND(AND(AND(Stamoplysninger!$B$31="Der er indgået lokalaftale omkring weekendtimer(Kræver aftale med TR/FSL). Weekendtillæg udbetales.",I44="X",C44="ikke relevant",S44="X"))),(V44*0.5),0)</f>
        <v>0</v>
      </c>
      <c r="FC44" s="277">
        <f>IF(AND(Stamoplysninger!$B$31="Der er indgået lokalaftale omkring weekendtillæg(Kræver aftale med TR/FSL). Weekendtimerne afspadseres.",I44="X"),K44,0)</f>
        <v>0</v>
      </c>
      <c r="FD44" s="245">
        <f>IF(AND(AND(Stamoplysninger!$B$31="Der er indgået lokalaftale omkring weekendtillæg(Kræver aftale med TR/FSL). Weekendtimerne afspadseres.",I44="X",S44="X")),V44,0)</f>
        <v>0</v>
      </c>
      <c r="FE44" s="650">
        <f>IF(AND(AND(Stamoplysninger!$B$31="Der er indgået lokalaftale omkring weekendtillæg(Kræver aftale med TR/FSL). Weekendtimerne afspadseres..",I44="X",C44="ikke relevant")),K44,0)</f>
        <v>0</v>
      </c>
      <c r="FF44" s="651">
        <f>IF(AND(AND(AND(Stamoplysninger!$B$31="Der er indgået lokalaftale omkring weekendtillæg(Kræver aftale med TR/FSL). Weekendtimerne afspadseres.",I44="X",C44="ikke relevant",S44="X"))),(V44),0)</f>
        <v>0</v>
      </c>
      <c r="FG44" s="277">
        <f>IF(AND(Stamoplysninger!$B$31="Der er indgået lokalaftale omkring weekendtillæg(Kræver aftale med TR/FSL). Weekendtimerne udbetales.",I44="X"),K44,0)</f>
        <v>0</v>
      </c>
      <c r="FH44" s="245">
        <f>IF(AND(AND(Stamoplysninger!$B$31="Der er indgået lokalaftale omkring weekendtillæg(Kræver aftale med TR/FSL). Weekendtimerne udbetales.",I44="X",S44="X")),V44,0)</f>
        <v>0</v>
      </c>
      <c r="FI44" s="650">
        <f>IF(AND(AND(Stamoplysninger!$B$31="Der er indgået lokalaftale omkring weekendtillæg(Kræver aftale med TR/FSL). Weekendtimerne udbetales.",I44="X",C44="ikke relevant")),K44,0)</f>
        <v>0</v>
      </c>
      <c r="FJ44" s="651">
        <f>IF(AND(AND(AND(Stamoplysninger!$B$31="Der er indgået lokalaftale omkring weekendtillæg(Kræver aftale med TR/FSL). Weekendtimerne udbetales.",I44="X",C44="ikke relevant",S44="X"))),(V44),0)</f>
        <v>0</v>
      </c>
      <c r="FK44" s="277">
        <f>IF(AND(AND(Stamoplysninger!$B$31="Weekendtimer og weekendtillæg afspadseres.",I44="X",J44="")),K44,0)</f>
        <v>0</v>
      </c>
      <c r="FL44" s="245">
        <f>IF(AND(Stamoplysninger!$B$31="Weekendtimer og weekendtillæg afspadseres.",Y44="X"),(AA44+AL44)/2,0)</f>
        <v>0</v>
      </c>
      <c r="FM44" s="650">
        <f>IF(AND(AND(Stamoplysninger!$B$31="Weekendtimer og weekendtillæg afspadseres.",I44="X",C44="ikke relevant")),K44,0)</f>
        <v>0</v>
      </c>
      <c r="FN44" s="651">
        <f>IF(AND(AND(Stamoplysninger!$B$31="Weekendtimer og weekendtillæg afspadseres.",Y44="X",S44="ikke relevant")),(AA44+AL44)/2,0)</f>
        <v>0</v>
      </c>
      <c r="FO44" s="277">
        <f>IF(AND(AND(Stamoplysninger!$B$31="Weekendtimer og weekendtillæg afspadseres.",I44="X",J44="X")),K44,0)</f>
        <v>0</v>
      </c>
      <c r="FP44" s="245">
        <f>IF(AND(Stamoplysninger!$B$31="Weekendtimer og weekendtillæg afspadseres.",AC44="X"),(AE44+AP44)/2,0)</f>
        <v>0</v>
      </c>
      <c r="FQ44" s="650">
        <f>IF(AND(AND(Stamoplysninger!$B$31="Weekendtimer og weekendtillæg afspadseres.",M44="X",G44="ikke relevant")),O44,0)</f>
        <v>0</v>
      </c>
      <c r="FR44" s="651">
        <f>IF(AND(AND(Stamoplysninger!$B$31="Weekendtimer og weekendtillæg afspadseres.",AC44="X",W44="ikke relevant")),(AE44+AP44)/2,0)</f>
        <v>0</v>
      </c>
      <c r="FS44" s="277">
        <f>IF(AND(Stamoplysninger!$B$31="Der er indgået lokalaftale omkring weekendtillæg(Kræver aftale med TR/FSL). Weekendtimerne afspadseres.",I44="X"),K44,0)</f>
        <v>0</v>
      </c>
      <c r="FT44" s="650">
        <f>IF(AND(AND(Stamoplysninger!$B$31="Der er indgået lokalaftale omkring weekendtillæg(Kræver aftale med TR/FSL). Weekendtimerne afspadseres.",I44="X",C44="ikke relevant")),K44,0)</f>
        <v>0</v>
      </c>
      <c r="FU44" s="277">
        <f>IF(AND(Stamoplysninger!$B$31="Weekendtimer og weekendtillæg udbetales.",I44="X"),K44,0)</f>
        <v>0</v>
      </c>
      <c r="FV44" s="245">
        <f>IF(AND(Stamoplysninger!$B$31="Weekendtimer og weekendtillæg udbetales.",AA44="X"),(AC44+AN44)/2,0)</f>
        <v>0</v>
      </c>
      <c r="FW44" s="650">
        <f>IF(AND(AND(Stamoplysninger!$B$31="Weekendtimer og weekendtillæg udbetales.",I44="X",C44="ikke relevant")),K44,0)</f>
        <v>0</v>
      </c>
      <c r="FX44" s="664">
        <f>IF(AND(AND(Stamoplysninger!$B$31="Weekendtimer og weekendtillæg udbetales.",AA44="X",U44="ikke relevant")),(AC44+AN44)/2,0)</f>
        <v>0</v>
      </c>
      <c r="FY44" s="277">
        <f t="shared" si="16"/>
        <v>0</v>
      </c>
      <c r="FZ44" s="634">
        <f t="shared" si="17"/>
        <v>0</v>
      </c>
      <c r="GA44">
        <f t="shared" si="18"/>
        <v>0</v>
      </c>
      <c r="GB44" s="277">
        <f>IF(AND(Stamoplysninger!$B$31="Der er indgået lokalaftale omkring weekendtimer.(Kræver aftale med TR/FSL) Weekendtillæg afspadseres.",I44="X"),K44,0)</f>
        <v>0</v>
      </c>
      <c r="GC44" s="650">
        <f>IF(AND(AND(Stamoplysninger!$B$31="Der er indgået lokalaftale omkring weekendtimer.(Kræver aftale med TR/FSL) Weekendtillæg afspadseres.",I44="X",C44="ikke relevant")),K44,0)</f>
        <v>0</v>
      </c>
      <c r="GD44" s="277">
        <f>IF(AND(Stamoplysninger!$B$31="Der er indgået lokalaftale omkring weekendtimer(Kræver aftale med TR/FSL). Weekendtillæg udbetales.",I44="X"),K44,0)</f>
        <v>0</v>
      </c>
      <c r="GE44" s="650">
        <f>IF(AND(AND(Stamoplysninger!$B$31="Der er indgået lokalaftale omkring weekendtimer(Kræver aftale med TR/FSL). Weekendtillæg udbetales.",I44="X",C44="ikke relevant")),K44,0)</f>
        <v>0</v>
      </c>
      <c r="GF44" s="277">
        <f>IF(AND(Stamoplysninger!$B$31="Der er indgået lokalaftale omkring weekendtillæg(Kræver aftale med TR/FSL). Weekendtimerne udbetales.",I44="X"),K44,0)</f>
        <v>0</v>
      </c>
      <c r="GG44" s="650">
        <f>IF(AND(AND(Stamoplysninger!$B$31="Der er indgået lokalaftale omkring weekendtillæg(Kræver aftale med TR/FSL). Weekendtimerne udbetales.",I44="X",C44="ikke relevant")),K44,0)</f>
        <v>0</v>
      </c>
      <c r="GH44" s="277">
        <f>IF(AND(Stamoplysninger!$B$31="Der er indgået lokalaftale omkring weekendtimer og weekendtillæg.(Kræver aftale med TR/FSL).",I44="X"),K44,0)</f>
        <v>0</v>
      </c>
      <c r="GI44" s="650">
        <f>IF(AND(AND(Stamoplysninger!$B$31="Der er indgået lokalaftale omkring weekendtimer og weekendtillæg.(Kræver aftale med TR/FSL).",I44="X",C44="ikke relevant")),K44,0)</f>
        <v>0</v>
      </c>
      <c r="GJ44">
        <f t="shared" si="36"/>
        <v>0</v>
      </c>
      <c r="GK44">
        <f t="shared" si="19"/>
        <v>0</v>
      </c>
      <c r="GL44">
        <f t="shared" si="20"/>
        <v>0</v>
      </c>
      <c r="GM44">
        <f t="shared" si="21"/>
        <v>0</v>
      </c>
      <c r="GN44" s="713">
        <f t="shared" si="22"/>
        <v>0</v>
      </c>
      <c r="GO44">
        <f t="shared" si="37"/>
        <v>0</v>
      </c>
      <c r="GP44" s="647">
        <f t="shared" si="38"/>
        <v>0</v>
      </c>
    </row>
    <row r="45" spans="1:198" ht="17" thickBot="1">
      <c r="A45" s="1100" t="s">
        <v>257</v>
      </c>
      <c r="B45" s="1101"/>
      <c r="C45" s="1101"/>
      <c r="D45" s="1101"/>
      <c r="E45" s="1101"/>
      <c r="F45" s="1101"/>
      <c r="G45" s="1101"/>
      <c r="H45" s="1101"/>
      <c r="I45" s="1102"/>
      <c r="J45" s="306"/>
      <c r="K45" s="313"/>
      <c r="L45" s="313"/>
      <c r="M45" s="313"/>
      <c r="N45" s="314">
        <f>SUM(N14:N44)</f>
        <v>0</v>
      </c>
      <c r="O45" s="314">
        <f>SUM(O14:O44)</f>
        <v>0</v>
      </c>
      <c r="P45" s="314">
        <f>SUM(P14:P44)</f>
        <v>0</v>
      </c>
      <c r="Q45" s="314">
        <f>SUM(Q14:Q44)</f>
        <v>0</v>
      </c>
      <c r="R45" s="752">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IF(H44&gt;0,R44,0)</f>
        <v>0</v>
      </c>
      <c r="S45" s="419"/>
      <c r="T45" s="420"/>
      <c r="U45" s="420"/>
      <c r="V45"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IF(S44="x",V44,0)</f>
        <v>0</v>
      </c>
      <c r="W45" s="420">
        <f>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IF(T44="x",W44,0)</f>
        <v>0</v>
      </c>
      <c r="X45" s="421">
        <f>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IF(U44="x",X44,0)</f>
        <v>0</v>
      </c>
      <c r="Y45" s="208">
        <f>SUM(Y14:Y44)</f>
        <v>0</v>
      </c>
      <c r="Z45" s="386">
        <f>Z14+Z15+Z16+Z17+Z18+Z19+Z20+Z21+Z22+Z23+Z24+Z25+Z26+Z27+Z28+Z29+Z30+Z31+Z32+Z33+Z34+Z35+Z36+Z37+Z38+Z39+Z40+Z41+Z42+Z43+Z44</f>
        <v>0</v>
      </c>
      <c r="AA45" s="229">
        <f t="shared" ref="AA45:AF45" si="39">SUM(AA14:AA44)</f>
        <v>0</v>
      </c>
      <c r="AB45" s="229">
        <f t="shared" si="39"/>
        <v>0</v>
      </c>
      <c r="AC45" s="229">
        <f t="shared" si="39"/>
        <v>0</v>
      </c>
      <c r="AD45" s="229">
        <f t="shared" si="39"/>
        <v>0</v>
      </c>
      <c r="AE45" s="229">
        <f t="shared" si="39"/>
        <v>0</v>
      </c>
      <c r="AF45" s="229">
        <f t="shared" si="39"/>
        <v>0</v>
      </c>
      <c r="BA45" s="1">
        <f>SUM(BA14:BA44)</f>
        <v>0</v>
      </c>
      <c r="BB45" s="109"/>
      <c r="BC45" s="229">
        <f>SUM(BC14:BC44)</f>
        <v>0</v>
      </c>
      <c r="BD45" s="229">
        <f>SUM(BD14:BD44)</f>
        <v>0</v>
      </c>
      <c r="BE45" s="229">
        <f>SUM(BE14:BE44)</f>
        <v>0</v>
      </c>
      <c r="BF45" s="229">
        <f>SUM(BF14:BF44)</f>
        <v>0</v>
      </c>
      <c r="CA45" s="229">
        <f>SUM(CA14:CA44)</f>
        <v>0</v>
      </c>
      <c r="CB45" s="229">
        <f>SUM(CB14:CB44)</f>
        <v>0</v>
      </c>
      <c r="CC45" s="229">
        <f>SUM(CC14:CC44)</f>
        <v>0</v>
      </c>
      <c r="CX45" s="243"/>
      <c r="CY45" s="243">
        <f t="shared" ref="CY45:DG45" si="40">SUM(CY14:CY44)</f>
        <v>0</v>
      </c>
      <c r="CZ45" s="243">
        <f t="shared" si="40"/>
        <v>0</v>
      </c>
      <c r="DA45" s="243">
        <f t="shared" si="40"/>
        <v>0</v>
      </c>
      <c r="DB45" s="243">
        <f t="shared" si="40"/>
        <v>0</v>
      </c>
      <c r="DC45" s="243">
        <f t="shared" si="40"/>
        <v>0</v>
      </c>
      <c r="DD45" s="243">
        <f t="shared" si="40"/>
        <v>0</v>
      </c>
      <c r="DE45" s="243">
        <f t="shared" si="40"/>
        <v>0</v>
      </c>
      <c r="DF45" s="243">
        <f t="shared" si="40"/>
        <v>0</v>
      </c>
      <c r="DG45" s="243">
        <f t="shared" si="40"/>
        <v>0</v>
      </c>
      <c r="DO45" s="645">
        <f>SUM(DO14:DO44)</f>
        <v>0</v>
      </c>
      <c r="DP45" s="646">
        <f t="shared" ref="DP45:GI45" si="41">SUM(DP14:DP44)</f>
        <v>0</v>
      </c>
      <c r="DQ45" s="646">
        <f t="shared" si="41"/>
        <v>0</v>
      </c>
      <c r="DR45" s="646">
        <f t="shared" si="41"/>
        <v>0</v>
      </c>
      <c r="DS45" s="649">
        <f t="shared" si="41"/>
        <v>0</v>
      </c>
      <c r="DT45" s="649">
        <f t="shared" si="41"/>
        <v>0</v>
      </c>
      <c r="DU45" s="646">
        <f t="shared" si="41"/>
        <v>0</v>
      </c>
      <c r="DV45" s="649">
        <f t="shared" si="41"/>
        <v>0</v>
      </c>
      <c r="DW45" s="646">
        <f t="shared" si="41"/>
        <v>0</v>
      </c>
      <c r="DX45" s="646">
        <f t="shared" si="41"/>
        <v>0</v>
      </c>
      <c r="DY45" s="646">
        <f t="shared" si="41"/>
        <v>0</v>
      </c>
      <c r="DZ45" s="646">
        <f t="shared" si="41"/>
        <v>0</v>
      </c>
      <c r="EA45" s="649">
        <f t="shared" si="41"/>
        <v>0</v>
      </c>
      <c r="EB45" s="649">
        <f t="shared" si="41"/>
        <v>0</v>
      </c>
      <c r="EC45" s="649">
        <f t="shared" si="41"/>
        <v>0</v>
      </c>
      <c r="ED45" s="649">
        <f t="shared" si="41"/>
        <v>0</v>
      </c>
      <c r="EE45" s="646">
        <f t="shared" si="41"/>
        <v>0</v>
      </c>
      <c r="EF45" s="646">
        <f t="shared" si="41"/>
        <v>0</v>
      </c>
      <c r="EG45" s="649">
        <f t="shared" si="41"/>
        <v>0</v>
      </c>
      <c r="EH45" s="649">
        <f t="shared" si="41"/>
        <v>0</v>
      </c>
      <c r="EI45" s="646">
        <f t="shared" si="41"/>
        <v>0</v>
      </c>
      <c r="EJ45" s="646">
        <f t="shared" si="41"/>
        <v>0</v>
      </c>
      <c r="EK45" s="649">
        <f t="shared" si="41"/>
        <v>0</v>
      </c>
      <c r="EL45" s="649">
        <f t="shared" si="41"/>
        <v>0</v>
      </c>
      <c r="EM45" s="646">
        <f t="shared" si="41"/>
        <v>0</v>
      </c>
      <c r="EN45" s="646">
        <f t="shared" si="41"/>
        <v>0</v>
      </c>
      <c r="EO45" s="649">
        <f t="shared" si="41"/>
        <v>0</v>
      </c>
      <c r="EP45" s="652">
        <f t="shared" si="41"/>
        <v>0</v>
      </c>
      <c r="EQ45" s="646">
        <f t="shared" si="41"/>
        <v>0</v>
      </c>
      <c r="ER45" s="646">
        <f t="shared" si="41"/>
        <v>0</v>
      </c>
      <c r="ES45" s="649">
        <f t="shared" si="41"/>
        <v>0</v>
      </c>
      <c r="ET45" s="652">
        <f t="shared" si="41"/>
        <v>0</v>
      </c>
      <c r="EU45" s="646">
        <f t="shared" si="41"/>
        <v>0</v>
      </c>
      <c r="EV45" s="646">
        <f t="shared" si="41"/>
        <v>0</v>
      </c>
      <c r="EW45" s="649">
        <f t="shared" si="41"/>
        <v>0</v>
      </c>
      <c r="EX45" s="652">
        <f t="shared" si="41"/>
        <v>0</v>
      </c>
      <c r="EY45" s="646">
        <f t="shared" si="41"/>
        <v>0</v>
      </c>
      <c r="EZ45" s="646">
        <f t="shared" si="41"/>
        <v>0</v>
      </c>
      <c r="FA45" s="649">
        <f t="shared" si="41"/>
        <v>0</v>
      </c>
      <c r="FB45" s="652">
        <f t="shared" si="41"/>
        <v>0</v>
      </c>
      <c r="FC45" s="646">
        <f t="shared" si="41"/>
        <v>0</v>
      </c>
      <c r="FD45" s="646">
        <f t="shared" si="41"/>
        <v>0</v>
      </c>
      <c r="FE45" s="649">
        <f t="shared" si="41"/>
        <v>0</v>
      </c>
      <c r="FF45" s="652">
        <f t="shared" si="41"/>
        <v>0</v>
      </c>
      <c r="FG45" s="646">
        <f t="shared" si="41"/>
        <v>0</v>
      </c>
      <c r="FH45" s="646">
        <f t="shared" si="41"/>
        <v>0</v>
      </c>
      <c r="FI45" s="649">
        <f t="shared" si="41"/>
        <v>0</v>
      </c>
      <c r="FJ45" s="652">
        <f t="shared" si="41"/>
        <v>0</v>
      </c>
      <c r="FK45" s="661">
        <f t="shared" si="41"/>
        <v>0</v>
      </c>
      <c r="FL45" s="646">
        <f t="shared" si="41"/>
        <v>0</v>
      </c>
      <c r="FM45" s="661">
        <f t="shared" si="41"/>
        <v>0</v>
      </c>
      <c r="FN45" s="649">
        <f t="shared" si="41"/>
        <v>0</v>
      </c>
      <c r="FO45" s="661">
        <f t="shared" si="41"/>
        <v>0</v>
      </c>
      <c r="FP45" s="646">
        <f t="shared" si="41"/>
        <v>0</v>
      </c>
      <c r="FQ45" s="661">
        <f t="shared" si="41"/>
        <v>0</v>
      </c>
      <c r="FR45" s="649">
        <f t="shared" si="41"/>
        <v>0</v>
      </c>
      <c r="FS45" s="661">
        <f t="shared" si="41"/>
        <v>0</v>
      </c>
      <c r="FT45" s="661">
        <f t="shared" si="41"/>
        <v>0</v>
      </c>
      <c r="FU45" s="661">
        <f t="shared" si="41"/>
        <v>0</v>
      </c>
      <c r="FV45" s="646">
        <f t="shared" si="41"/>
        <v>0</v>
      </c>
      <c r="FW45" s="661">
        <f t="shared" si="41"/>
        <v>0</v>
      </c>
      <c r="FX45" s="652">
        <f t="shared" si="41"/>
        <v>0</v>
      </c>
      <c r="FY45" s="665">
        <f t="shared" si="41"/>
        <v>0</v>
      </c>
      <c r="FZ45" s="666">
        <f t="shared" si="41"/>
        <v>0</v>
      </c>
      <c r="GA45" s="666">
        <f t="shared" si="41"/>
        <v>0</v>
      </c>
      <c r="GB45" s="665">
        <f>SUM(GB14:GB44)</f>
        <v>0</v>
      </c>
      <c r="GC45" s="666">
        <f t="shared" si="41"/>
        <v>0</v>
      </c>
      <c r="GD45" s="665">
        <f t="shared" si="41"/>
        <v>0</v>
      </c>
      <c r="GE45" s="666">
        <f t="shared" si="41"/>
        <v>0</v>
      </c>
      <c r="GF45" s="661">
        <f t="shared" si="41"/>
        <v>0</v>
      </c>
      <c r="GG45" s="661">
        <f t="shared" si="41"/>
        <v>0</v>
      </c>
      <c r="GH45" s="661">
        <f t="shared" si="41"/>
        <v>0</v>
      </c>
      <c r="GI45" s="661">
        <f t="shared" si="41"/>
        <v>0</v>
      </c>
      <c r="GP45" s="647">
        <f>SUM(GP14:GP44)</f>
        <v>0</v>
      </c>
    </row>
    <row r="46" spans="1:198" ht="26" thickBot="1">
      <c r="A46" s="227"/>
      <c r="B46" s="227"/>
      <c r="C46" s="227"/>
      <c r="D46" s="227"/>
      <c r="E46" s="227"/>
      <c r="F46" s="227"/>
      <c r="G46" s="227"/>
      <c r="H46" s="227"/>
      <c r="I46" s="227"/>
      <c r="J46" s="227"/>
      <c r="K46" s="233"/>
      <c r="L46" s="233"/>
      <c r="M46" s="233"/>
      <c r="N46" s="233"/>
      <c r="O46" s="233"/>
      <c r="P46" s="233"/>
      <c r="Q46" s="233"/>
      <c r="R46" s="233"/>
      <c r="S46" s="433"/>
      <c r="T46" s="433"/>
      <c r="U46" s="433"/>
      <c r="V46" s="433"/>
      <c r="W46" s="433"/>
      <c r="X46" s="433"/>
      <c r="Y46" s="229"/>
      <c r="Z46" s="208"/>
      <c r="AA46" s="229"/>
      <c r="AB46" s="208"/>
      <c r="AC46" s="208"/>
      <c r="AD46" s="229"/>
      <c r="AE46" s="229"/>
      <c r="AG46" s="229"/>
      <c r="BC46" s="229"/>
      <c r="BD46" s="229"/>
      <c r="BE46" s="229"/>
      <c r="BF46" s="229"/>
      <c r="BG46" s="109"/>
      <c r="CB46" s="229"/>
      <c r="CC46" s="229"/>
      <c r="CD46" s="109"/>
      <c r="CX46" s="242"/>
      <c r="CZ46"/>
      <c r="DO46" s="728"/>
      <c r="DP46" s="728"/>
      <c r="DQ46" s="728"/>
      <c r="DR46" s="728"/>
      <c r="DS46" s="728"/>
      <c r="DT46" s="728"/>
      <c r="DU46" s="728"/>
      <c r="DV46" s="728"/>
      <c r="DW46" s="729"/>
      <c r="DX46" s="729"/>
      <c r="DY46" s="729"/>
      <c r="DZ46" s="729"/>
      <c r="EA46" s="729"/>
      <c r="EB46" s="729"/>
      <c r="EC46" s="729"/>
      <c r="ED46" s="729"/>
      <c r="EE46" s="732"/>
      <c r="EF46" s="732"/>
      <c r="EG46" s="732"/>
      <c r="EH46" s="732"/>
      <c r="EI46" s="732"/>
      <c r="EJ46" s="732"/>
      <c r="EM46" s="734"/>
      <c r="EN46" s="734"/>
      <c r="EO46" s="734"/>
      <c r="EP46" s="734"/>
      <c r="EQ46" s="734"/>
      <c r="ER46" s="734"/>
      <c r="EU46" s="736"/>
      <c r="EV46" s="736"/>
      <c r="EW46" s="736"/>
      <c r="EX46" s="736"/>
      <c r="EY46" s="738"/>
      <c r="EZ46" s="738"/>
      <c r="FA46" s="738"/>
      <c r="FB46" s="738"/>
      <c r="FC46" s="740"/>
      <c r="FD46" s="740"/>
      <c r="FE46" s="740"/>
      <c r="FF46" s="740"/>
      <c r="FG46" s="742"/>
      <c r="FH46" s="742"/>
      <c r="FI46" s="742"/>
      <c r="FJ46" s="742"/>
      <c r="FK46" s="726"/>
      <c r="FM46" s="744"/>
      <c r="FO46" s="726"/>
      <c r="FS46" s="726"/>
      <c r="FT46" s="744"/>
      <c r="FU46" s="726"/>
      <c r="FW46" s="744"/>
      <c r="GA46" s="744"/>
      <c r="GB46" s="726"/>
      <c r="GC46" s="744"/>
      <c r="GD46" s="726"/>
      <c r="GE46" s="744"/>
      <c r="GF46" s="726"/>
      <c r="GG46" s="744"/>
      <c r="GH46" s="726"/>
      <c r="GI46" s="744"/>
      <c r="GP46" s="743" t="s">
        <v>663</v>
      </c>
    </row>
    <row r="47" spans="1:198" ht="70" customHeight="1">
      <c r="A47" s="1086" t="str">
        <f>"Arbejdstid for "&amp;A12&amp;" måned:"</f>
        <v>Arbejdstid for Juli måned:</v>
      </c>
      <c r="B47" s="1087"/>
      <c r="C47" s="1087"/>
      <c r="D47" s="1087"/>
      <c r="E47" s="1087"/>
      <c r="F47" s="1087"/>
      <c r="G47" s="1087"/>
      <c r="H47" s="321" t="s">
        <v>252</v>
      </c>
      <c r="I47" s="1087" t="s">
        <v>218</v>
      </c>
      <c r="J47" s="1088"/>
      <c r="K47" s="1089"/>
      <c r="L47" s="256"/>
      <c r="M47" s="1134" t="str">
        <f>"Ulempetimer og weekendtimer i "&amp;A10&amp;""</f>
        <v>Ulempetimer og weekendtimer i Juli måneds kalender for: Beate Simonsen. Måneden vedr. normperioden:  - .</v>
      </c>
      <c r="N47" s="1117"/>
      <c r="O47" s="1117"/>
      <c r="P47" s="1117"/>
      <c r="Q47" s="1117"/>
      <c r="R47" s="1117"/>
      <c r="S47" s="1117"/>
      <c r="T47" s="1117"/>
      <c r="U47" s="1117"/>
      <c r="V47" s="1117"/>
      <c r="W47" s="1117"/>
      <c r="X47" s="1118"/>
      <c r="Y47" s="233"/>
      <c r="Z47" s="233"/>
      <c r="AD47" s="87"/>
      <c r="AE47" s="87"/>
      <c r="BM47" s="1"/>
      <c r="CJ47" s="1"/>
      <c r="CU47" s="242"/>
      <c r="CV47" s="242"/>
      <c r="CY47"/>
      <c r="CZ47"/>
    </row>
    <row r="48" spans="1:198">
      <c r="A48" s="1090" t="str">
        <f>August!A49</f>
        <v>Arbejdstid eks. lørdage og søndage</v>
      </c>
      <c r="B48" s="1091"/>
      <c r="C48" s="1091"/>
      <c r="D48" s="1091"/>
      <c r="E48" s="1091"/>
      <c r="F48" s="1091"/>
      <c r="G48" s="1091"/>
      <c r="H48" s="250">
        <f>D83</f>
        <v>22</v>
      </c>
      <c r="I48" s="1103">
        <f>IF(Stamoplysninger!$E$17="Ja",1924/Arbejdstidsoversigt!$K$14*Stamoplysninger!$E$20*H48,H48*7.4*Stamoplysninger!$E$20)</f>
        <v>162.80000000000001</v>
      </c>
      <c r="J48" s="1104"/>
      <c r="K48" s="1105"/>
      <c r="L48" s="252"/>
      <c r="M48" s="1135" t="s">
        <v>480</v>
      </c>
      <c r="N48" s="1136"/>
      <c r="O48" s="1136"/>
      <c r="P48" s="1136"/>
      <c r="Q48" s="1136"/>
      <c r="R48" s="1136"/>
      <c r="S48" s="1136"/>
      <c r="T48" s="1136"/>
      <c r="U48" s="1137"/>
      <c r="V48" s="1138">
        <f>P70+P74+P77+P79</f>
        <v>0</v>
      </c>
      <c r="W48" s="1139"/>
      <c r="X48" s="1140"/>
      <c r="Y48" s="233"/>
      <c r="Z48" s="233"/>
      <c r="AD48" s="87"/>
      <c r="AE48" s="87"/>
      <c r="BM48" s="1"/>
      <c r="CJ48" s="1"/>
      <c r="CU48" s="242"/>
      <c r="CV48" s="242"/>
      <c r="CY48"/>
      <c r="CZ48"/>
    </row>
    <row r="49" spans="1:110">
      <c r="A49" s="1090" t="str">
        <f>"Ferie "&amp;A12&amp;" måned"</f>
        <v>Ferie Juli måned</v>
      </c>
      <c r="B49" s="1091"/>
      <c r="C49" s="1091"/>
      <c r="D49" s="1091"/>
      <c r="E49" s="1091"/>
      <c r="F49" s="1091"/>
      <c r="G49" s="1091"/>
      <c r="H49" s="251">
        <f>IF(D78&gt;0,$D$78,"0")</f>
        <v>18</v>
      </c>
      <c r="I49" s="1092">
        <f>H49*7.4*Stamoplysninger!$E$20</f>
        <v>133.20000000000002</v>
      </c>
      <c r="J49" s="1093"/>
      <c r="K49" s="1094"/>
      <c r="L49" s="252"/>
      <c r="M49" s="1141" t="s">
        <v>256</v>
      </c>
      <c r="N49" s="1142"/>
      <c r="O49" s="1142"/>
      <c r="P49" s="1142"/>
      <c r="Q49" s="1142"/>
      <c r="R49" s="1142"/>
      <c r="S49" s="1142"/>
      <c r="T49" s="1142"/>
      <c r="U49" s="1143"/>
      <c r="V49" s="1144">
        <f>Q71+Q73+Q76+Q78</f>
        <v>0</v>
      </c>
      <c r="W49" s="1145"/>
      <c r="X49" s="1146"/>
      <c r="Y49" s="233"/>
      <c r="Z49" s="233"/>
      <c r="AD49" s="87"/>
      <c r="AE49" s="87"/>
      <c r="BM49" s="1"/>
      <c r="CJ49" s="1"/>
      <c r="CU49" s="242"/>
      <c r="CV49" s="242"/>
      <c r="CY49"/>
      <c r="CZ49"/>
    </row>
    <row r="50" spans="1:110">
      <c r="A50" s="1090" t="str">
        <f>"Søgnehelligdage i "&amp;A12&amp;" måned"</f>
        <v>Søgnehelligdage i Juli måned</v>
      </c>
      <c r="B50" s="1091"/>
      <c r="C50" s="1091"/>
      <c r="D50" s="1091"/>
      <c r="E50" s="1091"/>
      <c r="F50" s="1091"/>
      <c r="G50" s="1091"/>
      <c r="H50" s="251">
        <f>IF(D77&gt;0,D77,0)</f>
        <v>0</v>
      </c>
      <c r="I50" s="1092">
        <f>H50*7.4*Stamoplysninger!$E$20</f>
        <v>0</v>
      </c>
      <c r="J50" s="1093"/>
      <c r="K50" s="1094"/>
      <c r="L50" s="253"/>
      <c r="M50" s="1286" t="s">
        <v>292</v>
      </c>
      <c r="N50" s="1287"/>
      <c r="O50" s="1287"/>
      <c r="P50" s="1287"/>
      <c r="Q50" s="1287"/>
      <c r="R50" s="1287"/>
      <c r="S50" s="1287"/>
      <c r="T50" s="1287"/>
      <c r="U50" s="1288"/>
      <c r="V50" s="1291">
        <f>Juni!V57</f>
        <v>1.5</v>
      </c>
      <c r="W50" s="1292"/>
      <c r="X50" s="1295"/>
      <c r="Y50" s="233"/>
      <c r="Z50" s="233"/>
      <c r="AD50" s="87"/>
      <c r="AE50" s="87"/>
      <c r="BM50" s="1"/>
      <c r="CJ50" s="1"/>
      <c r="CU50" s="242"/>
      <c r="CV50" s="242"/>
      <c r="CY50"/>
      <c r="CZ50"/>
    </row>
    <row r="51" spans="1:110">
      <c r="A51" s="1090" t="str">
        <f>"Nettoarbejdstid ialt i "&amp;A12&amp;" måned"</f>
        <v>Nettoarbejdstid ialt i Juli måned</v>
      </c>
      <c r="B51" s="1091"/>
      <c r="C51" s="1091"/>
      <c r="D51" s="1091"/>
      <c r="E51" s="1091"/>
      <c r="F51" s="1091"/>
      <c r="G51" s="1091"/>
      <c r="H51" s="254">
        <f>H48-H49-H50</f>
        <v>4</v>
      </c>
      <c r="I51" s="1092">
        <f>I48-I49-I50</f>
        <v>29.599999999999994</v>
      </c>
      <c r="J51" s="1093"/>
      <c r="K51" s="1094"/>
      <c r="L51" s="375"/>
      <c r="M51" s="1149" t="s">
        <v>298</v>
      </c>
      <c r="N51" s="1150"/>
      <c r="O51" s="1150"/>
      <c r="P51" s="1150"/>
      <c r="Q51" s="1150"/>
      <c r="R51" s="1150"/>
      <c r="S51" s="1150"/>
      <c r="T51" s="1150"/>
      <c r="U51" s="1151"/>
      <c r="V51" s="1152">
        <f>SUM(V49:X50)</f>
        <v>1.5</v>
      </c>
      <c r="W51" s="1153"/>
      <c r="X51" s="1154"/>
      <c r="Y51" s="233"/>
      <c r="Z51" s="233"/>
      <c r="AD51" s="87"/>
      <c r="AE51" s="87"/>
      <c r="BM51" s="1"/>
      <c r="CJ51" s="1"/>
      <c r="CU51" s="242"/>
      <c r="CV51" s="242"/>
      <c r="CY51"/>
      <c r="CZ51"/>
    </row>
    <row r="52" spans="1:110">
      <c r="A52" s="1106" t="str">
        <f>"Planlagt arbejdstid efter ovennstående "&amp;A12&amp;" måned kalender"</f>
        <v>Planlagt arbejdstid efter ovennstående Juli måned kalender</v>
      </c>
      <c r="B52" s="1107"/>
      <c r="C52" s="1107"/>
      <c r="D52" s="1107"/>
      <c r="E52" s="1107"/>
      <c r="F52" s="1107"/>
      <c r="G52" s="1107"/>
      <c r="H52" s="461">
        <f>D69+D70+D71+D72+D73+D74+D75</f>
        <v>0</v>
      </c>
      <c r="I52" s="1108">
        <f>N45+R45+V111</f>
        <v>0</v>
      </c>
      <c r="J52" s="1109"/>
      <c r="K52" s="1110"/>
      <c r="L52" s="375"/>
      <c r="M52" s="1161" t="s">
        <v>290</v>
      </c>
      <c r="N52" s="1162"/>
      <c r="O52" s="1162"/>
      <c r="P52" s="1162"/>
      <c r="Q52" s="1162"/>
      <c r="R52" s="1162"/>
      <c r="S52" s="1162"/>
      <c r="T52" s="1162"/>
      <c r="U52" s="1162"/>
      <c r="V52" s="1162"/>
      <c r="W52" s="1162"/>
      <c r="X52" s="1163"/>
      <c r="Y52" s="233"/>
      <c r="Z52" s="233"/>
      <c r="AD52" s="87"/>
      <c r="AE52" s="87"/>
      <c r="BM52" s="1"/>
      <c r="CJ52" s="1"/>
      <c r="CU52" s="242"/>
      <c r="CV52" s="242"/>
      <c r="CY52"/>
      <c r="CZ52"/>
    </row>
    <row r="53" spans="1:110">
      <c r="A53" s="1114" t="s">
        <v>671</v>
      </c>
      <c r="B53" s="1115"/>
      <c r="C53" s="1115"/>
      <c r="D53" s="1115"/>
      <c r="E53" s="1115"/>
      <c r="F53" s="1115"/>
      <c r="G53" s="1115"/>
      <c r="H53" s="1116"/>
      <c r="I53" s="1111">
        <f>(FK45+FO45+FS45+FU45+GB45+GD45+GF45+GH45)*-1+FM45+FT45+FW45+GC45+GE45+GG45+GI45+GA45</f>
        <v>0</v>
      </c>
      <c r="J53" s="1112"/>
      <c r="K53" s="1113"/>
      <c r="L53" s="376"/>
      <c r="M53" s="1164" t="s">
        <v>450</v>
      </c>
      <c r="N53" s="1165"/>
      <c r="O53" s="1165"/>
      <c r="P53" s="1165"/>
      <c r="Q53" s="1165"/>
      <c r="R53" s="1165"/>
      <c r="S53" s="1165"/>
      <c r="T53" s="1165"/>
      <c r="U53" s="1166"/>
      <c r="V53" s="1167" t="s">
        <v>218</v>
      </c>
      <c r="W53" s="1168"/>
      <c r="X53" s="1169"/>
      <c r="Y53" s="233"/>
      <c r="Z53" s="233"/>
      <c r="AD53" s="87"/>
      <c r="AE53" s="87"/>
      <c r="BM53" s="1"/>
      <c r="CJ53" s="1"/>
      <c r="CU53" s="242"/>
      <c r="CV53" s="242"/>
      <c r="CY53"/>
      <c r="CZ53"/>
    </row>
    <row r="54" spans="1:110">
      <c r="A54" s="1128" t="str">
        <f>"Arbejde særligt planlagt for "&amp;A12&amp;" måned efter fanen skemaoplysninger"</f>
        <v>Arbejde særligt planlagt for Juli måned efter fanen skemaoplysninger</v>
      </c>
      <c r="B54" s="1129"/>
      <c r="C54" s="1129"/>
      <c r="D54" s="1129"/>
      <c r="E54" s="1129"/>
      <c r="F54" s="1129"/>
      <c r="G54" s="1129"/>
      <c r="H54" s="1130"/>
      <c r="I54" s="1109">
        <f>IF(I52&gt;0,Skemaoplysninger!V107,0)</f>
        <v>0</v>
      </c>
      <c r="J54" s="1126"/>
      <c r="K54" s="1127"/>
      <c r="L54" s="235"/>
      <c r="M54" s="1036"/>
      <c r="N54" s="1037"/>
      <c r="O54" s="1037"/>
      <c r="P54" s="1037"/>
      <c r="Q54" s="1037"/>
      <c r="R54" s="1037"/>
      <c r="S54" s="1037"/>
      <c r="T54" s="1037"/>
      <c r="U54" s="1038"/>
      <c r="V54" s="1170"/>
      <c r="W54" s="1170"/>
      <c r="X54" s="1171"/>
      <c r="Y54"/>
      <c r="Z54" s="233"/>
      <c r="AA54" s="233"/>
      <c r="AG54" s="87"/>
      <c r="AH54" s="87"/>
      <c r="BA54" s="233"/>
      <c r="BO54" s="1"/>
      <c r="CL54" s="1"/>
      <c r="CV54" s="242"/>
      <c r="CW54" s="242"/>
      <c r="CY54"/>
      <c r="CZ54"/>
    </row>
    <row r="55" spans="1:110">
      <c r="A55" s="1095" t="s">
        <v>439</v>
      </c>
      <c r="B55" s="1096"/>
      <c r="C55" s="1096"/>
      <c r="D55" s="1096"/>
      <c r="E55" s="1096"/>
      <c r="F55" s="1096"/>
      <c r="G55" s="1096"/>
      <c r="H55" s="1096"/>
      <c r="I55" s="1097">
        <f>V45+X45+R111-GP45+T111</f>
        <v>0</v>
      </c>
      <c r="J55" s="1098"/>
      <c r="K55" s="1099"/>
      <c r="L55" s="235"/>
      <c r="M55" s="1036"/>
      <c r="N55" s="1037"/>
      <c r="O55" s="1037"/>
      <c r="P55" s="1037"/>
      <c r="Q55" s="1037"/>
      <c r="R55" s="1037"/>
      <c r="S55" s="1037"/>
      <c r="T55" s="1037"/>
      <c r="U55" s="1038"/>
      <c r="V55" s="1039"/>
      <c r="W55" s="1040"/>
      <c r="X55" s="1041"/>
      <c r="Y55"/>
      <c r="Z55" s="233"/>
      <c r="AA55" s="233"/>
      <c r="AE55" s="87"/>
      <c r="AF55" s="241"/>
      <c r="AG55" s="87"/>
      <c r="BN55" s="1"/>
      <c r="CK55" s="1"/>
      <c r="CV55" s="242"/>
      <c r="CW55" s="242"/>
      <c r="CY55"/>
      <c r="CZ55"/>
    </row>
    <row r="56" spans="1:110" ht="17" thickBot="1">
      <c r="A56" s="255" t="str">
        <f>"Faktisk arbejdstid ialt i "&amp;A12&amp;" måned"</f>
        <v>Faktisk arbejdstid ialt i Juli måned</v>
      </c>
      <c r="B56" s="307"/>
      <c r="C56" s="308"/>
      <c r="D56" s="308"/>
      <c r="E56" s="308"/>
      <c r="F56" s="308"/>
      <c r="G56" s="308"/>
      <c r="H56" s="309"/>
      <c r="I56" s="1131">
        <f>I52+I55+I54+I53</f>
        <v>0</v>
      </c>
      <c r="J56" s="1132"/>
      <c r="K56" s="1133"/>
      <c r="L56" s="326"/>
      <c r="M56" s="1036"/>
      <c r="N56" s="1037"/>
      <c r="O56" s="1037"/>
      <c r="P56" s="1037"/>
      <c r="Q56" s="1037"/>
      <c r="R56" s="1037"/>
      <c r="S56" s="1037"/>
      <c r="T56" s="1037"/>
      <c r="U56" s="1038"/>
      <c r="V56" s="1039"/>
      <c r="W56" s="1040"/>
      <c r="X56" s="1041"/>
      <c r="Y56" s="233"/>
      <c r="Z56" s="233"/>
      <c r="AA56" s="211"/>
      <c r="AB56" s="241"/>
      <c r="AC56" s="241"/>
      <c r="AD56" s="241"/>
      <c r="AE56" s="233"/>
      <c r="AF56" s="241"/>
      <c r="AH56" s="233"/>
      <c r="AI56" s="233"/>
      <c r="AM56" s="87"/>
      <c r="AN56" s="87"/>
      <c r="BU56" s="1"/>
      <c r="CR56" s="1"/>
      <c r="CY56"/>
      <c r="CZ56"/>
      <c r="DC56" s="242"/>
      <c r="DD56" s="242"/>
    </row>
    <row r="57" spans="1:110" ht="17" thickBot="1">
      <c r="A57" s="249"/>
      <c r="B57" s="249"/>
      <c r="C57" s="249"/>
      <c r="D57" s="249"/>
      <c r="E57" s="249"/>
      <c r="F57" s="249"/>
      <c r="G57" s="249"/>
      <c r="H57" s="249"/>
      <c r="I57" s="507"/>
      <c r="J57" s="507"/>
      <c r="K57" s="507"/>
      <c r="L57" s="485"/>
      <c r="M57" s="1036"/>
      <c r="N57" s="1037"/>
      <c r="O57" s="1037"/>
      <c r="P57" s="1037"/>
      <c r="Q57" s="1037"/>
      <c r="R57" s="1037"/>
      <c r="S57" s="1037"/>
      <c r="T57" s="1037"/>
      <c r="U57" s="1038"/>
      <c r="V57" s="1039"/>
      <c r="W57" s="1040"/>
      <c r="X57" s="1041"/>
      <c r="Y57" s="233"/>
      <c r="Z57" s="233"/>
      <c r="AA57" s="233"/>
      <c r="AB57" s="233"/>
      <c r="AC57" s="211"/>
      <c r="AD57" s="241"/>
      <c r="AE57" s="241"/>
      <c r="AF57" s="241"/>
      <c r="AG57" s="241"/>
      <c r="AH57" s="233"/>
      <c r="AJ57" s="233"/>
      <c r="AK57" s="233"/>
      <c r="AO57" s="87"/>
      <c r="AP57" s="87"/>
      <c r="BW57" s="1"/>
      <c r="CT57" s="1"/>
      <c r="CY57"/>
      <c r="CZ57"/>
      <c r="DE57" s="242"/>
      <c r="DF57" s="242"/>
    </row>
    <row r="58" spans="1:110" ht="26" thickBot="1">
      <c r="A58" s="1086" t="s">
        <v>463</v>
      </c>
      <c r="B58" s="1087"/>
      <c r="C58" s="1087"/>
      <c r="D58" s="1087"/>
      <c r="E58" s="1087"/>
      <c r="F58" s="1087"/>
      <c r="G58" s="1087"/>
      <c r="H58" s="681" t="s">
        <v>608</v>
      </c>
      <c r="I58" s="1087" t="s">
        <v>462</v>
      </c>
      <c r="J58" s="1087"/>
      <c r="K58" s="1089"/>
      <c r="L58" s="485"/>
      <c r="M58" s="1155" t="s">
        <v>291</v>
      </c>
      <c r="N58" s="1156"/>
      <c r="O58" s="1156"/>
      <c r="P58" s="1156"/>
      <c r="Q58" s="1156"/>
      <c r="R58" s="1156"/>
      <c r="S58" s="1156"/>
      <c r="T58" s="1156"/>
      <c r="U58" s="1157"/>
      <c r="V58" s="1247">
        <f>V51-SUM(V54:X57)</f>
        <v>1.5</v>
      </c>
      <c r="W58" s="1248"/>
      <c r="X58" s="1249"/>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121"/>
      <c r="B59" s="1122"/>
      <c r="C59" s="1122"/>
      <c r="D59" s="1122"/>
      <c r="E59" s="1122"/>
      <c r="F59" s="1122"/>
      <c r="G59" s="1122"/>
      <c r="H59" s="589">
        <f>Juni!H66</f>
        <v>0</v>
      </c>
      <c r="I59" s="1250">
        <f>Juni!I66</f>
        <v>0</v>
      </c>
      <c r="J59" s="1250"/>
      <c r="K59" s="1251"/>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16" customHeight="1">
      <c r="A60" s="1235" t="s">
        <v>466</v>
      </c>
      <c r="B60" s="1236"/>
      <c r="C60" s="1236"/>
      <c r="D60" s="1236"/>
      <c r="E60" s="1236"/>
      <c r="F60" s="1236"/>
      <c r="G60" s="1237"/>
      <c r="H60" s="587"/>
      <c r="I60" s="1238"/>
      <c r="J60" s="1239"/>
      <c r="K60" s="1240"/>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7" customHeight="1">
      <c r="A61" s="1033" t="s">
        <v>609</v>
      </c>
      <c r="B61" s="1034"/>
      <c r="C61" s="1034"/>
      <c r="D61" s="1034"/>
      <c r="E61" s="1034"/>
      <c r="F61" s="1034"/>
      <c r="G61" s="1034"/>
      <c r="H61" s="1034"/>
      <c r="I61" s="1034"/>
      <c r="J61" s="1034"/>
      <c r="K61" s="1035"/>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ht="35" customHeight="1">
      <c r="A62" s="1079" t="s">
        <v>610</v>
      </c>
      <c r="B62" s="1080"/>
      <c r="C62" s="1052" t="s">
        <v>492</v>
      </c>
      <c r="D62" s="1053"/>
      <c r="E62" s="1081" t="s">
        <v>493</v>
      </c>
      <c r="F62" s="1034"/>
      <c r="G62" s="1082"/>
      <c r="H62" s="1083" t="s">
        <v>464</v>
      </c>
      <c r="I62" s="1083"/>
      <c r="J62" s="1083"/>
      <c r="K62" s="1084"/>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050"/>
      <c r="B63" s="1051"/>
      <c r="C63" s="1026"/>
      <c r="D63" s="1025"/>
      <c r="E63" s="1021"/>
      <c r="F63" s="1022"/>
      <c r="G63" s="1023"/>
      <c r="H63" s="588"/>
      <c r="I63" s="1019"/>
      <c r="J63" s="1019"/>
      <c r="K63" s="1020"/>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1024"/>
      <c r="B64" s="1025"/>
      <c r="C64" s="1026"/>
      <c r="D64" s="1025"/>
      <c r="E64" s="1021"/>
      <c r="F64" s="1022"/>
      <c r="G64" s="1023"/>
      <c r="H64" s="588"/>
      <c r="I64" s="1019"/>
      <c r="J64" s="1019"/>
      <c r="K64" s="1020"/>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c r="A65" s="1024"/>
      <c r="B65" s="1025"/>
      <c r="C65" s="1026"/>
      <c r="D65" s="1025"/>
      <c r="E65" s="1021"/>
      <c r="F65" s="1022"/>
      <c r="G65" s="1023"/>
      <c r="H65" s="588"/>
      <c r="I65" s="1019"/>
      <c r="J65" s="1019"/>
      <c r="K65" s="1020"/>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c r="A66" s="1024"/>
      <c r="B66" s="1025"/>
      <c r="C66" s="1026"/>
      <c r="D66" s="1025"/>
      <c r="E66" s="1021"/>
      <c r="F66" s="1022"/>
      <c r="G66" s="1023"/>
      <c r="H66" s="588"/>
      <c r="I66" s="1019"/>
      <c r="J66" s="1019"/>
      <c r="K66" s="1020"/>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0" ht="17" thickBot="1">
      <c r="A67" s="1054" t="s">
        <v>465</v>
      </c>
      <c r="B67" s="1055"/>
      <c r="C67" s="1056"/>
      <c r="D67" s="1056"/>
      <c r="E67" s="1056"/>
      <c r="F67" s="1056"/>
      <c r="G67" s="1056"/>
      <c r="H67" s="590">
        <f>H60+H59-SUM(H63:H66)</f>
        <v>0</v>
      </c>
      <c r="I67" s="1063">
        <f>I59+I60-SUM(I63:K66)</f>
        <v>0</v>
      </c>
      <c r="J67" s="1064"/>
      <c r="K67" s="1065"/>
      <c r="L67" s="485"/>
      <c r="M67" s="508"/>
      <c r="N67" s="508"/>
      <c r="O67" s="508"/>
      <c r="P67" s="508"/>
      <c r="Q67" s="509"/>
      <c r="R67" s="510"/>
      <c r="S67" s="510"/>
      <c r="T67" s="510"/>
      <c r="U67" s="510"/>
      <c r="V67" s="508"/>
      <c r="W67" s="511"/>
      <c r="X67" s="508"/>
      <c r="Y67" s="233"/>
      <c r="Z67" s="233"/>
      <c r="AA67" s="233"/>
      <c r="AB67" s="233"/>
      <c r="AC67" s="211"/>
      <c r="AD67" s="241"/>
      <c r="AE67" s="241"/>
      <c r="AF67" s="241"/>
      <c r="AG67" s="241"/>
      <c r="AH67" s="233"/>
      <c r="AJ67" s="233"/>
      <c r="AK67" s="233"/>
      <c r="AO67" s="87"/>
      <c r="AP67" s="87"/>
      <c r="BW67" s="1"/>
      <c r="CT67" s="1"/>
      <c r="CY67"/>
      <c r="CZ67"/>
      <c r="DE67" s="242"/>
      <c r="DF67" s="242"/>
    </row>
    <row r="68" spans="1:110" hidden="1">
      <c r="A68" s="427"/>
      <c r="B68" s="427"/>
      <c r="C68" s="427"/>
      <c r="D68" s="427"/>
      <c r="E68" s="427"/>
      <c r="F68" s="427"/>
      <c r="G68" s="427"/>
      <c r="H68" s="437"/>
      <c r="I68" s="491"/>
      <c r="J68" s="491"/>
      <c r="K68" s="481"/>
      <c r="L68" s="635"/>
      <c r="M68" s="635"/>
      <c r="N68" s="635"/>
      <c r="O68" s="635"/>
      <c r="P68" s="635"/>
      <c r="Q68" s="509"/>
      <c r="R68" s="510"/>
      <c r="S68" s="510"/>
      <c r="T68" s="510"/>
      <c r="U68" s="510"/>
      <c r="V68" s="508" t="s">
        <v>538</v>
      </c>
      <c r="W68" s="511"/>
      <c r="X68" s="508"/>
      <c r="Y68"/>
      <c r="Z68"/>
      <c r="AA68" s="87"/>
      <c r="AB68" s="87"/>
      <c r="BI68" s="1"/>
      <c r="CF68" s="1"/>
      <c r="CQ68" s="242"/>
      <c r="CR68" s="242"/>
      <c r="CY68"/>
      <c r="CZ68"/>
    </row>
    <row r="69" spans="1:110" hidden="1">
      <c r="A69" s="120" t="s">
        <v>203</v>
      </c>
      <c r="B69" s="120"/>
      <c r="C69" s="120"/>
      <c r="D69" s="120">
        <f>COUNTIF([0]!Juli,"Skema 1")</f>
        <v>0</v>
      </c>
      <c r="E69" s="383"/>
      <c r="F69" s="120" t="s">
        <v>183</v>
      </c>
      <c r="G69" s="120">
        <f>COUNTIFS($B$14:$B$44,"ma",[0]!Juli,"Skema 1")</f>
        <v>0</v>
      </c>
      <c r="H69" s="120"/>
      <c r="I69" s="496"/>
      <c r="J69" s="635"/>
      <c r="K69" s="635"/>
      <c r="L69" s="496"/>
      <c r="M69" s="636"/>
      <c r="N69" s="635"/>
      <c r="O69" s="636"/>
      <c r="P69" s="654" t="s">
        <v>551</v>
      </c>
      <c r="Q69" s="656" t="s">
        <v>562</v>
      </c>
      <c r="R69" s="225"/>
      <c r="S69" s="225"/>
      <c r="T69" s="225"/>
      <c r="U69" s="225"/>
      <c r="V69" s="225"/>
      <c r="W69" s="115"/>
      <c r="X69" s="115"/>
      <c r="Y69"/>
      <c r="Z69"/>
      <c r="AA69" s="87"/>
      <c r="AB69" s="87"/>
      <c r="BI69" s="1"/>
      <c r="CF69" s="1"/>
      <c r="CQ69" s="242"/>
      <c r="CR69" s="242"/>
      <c r="CY69"/>
      <c r="CZ69"/>
    </row>
    <row r="70" spans="1:110" hidden="1">
      <c r="A70" s="1271" t="s">
        <v>204</v>
      </c>
      <c r="B70" s="1271"/>
      <c r="C70" s="1271"/>
      <c r="D70" s="483">
        <f>COUNTIF([0]!Juli,"Skema 2")</f>
        <v>0</v>
      </c>
      <c r="E70" s="484"/>
      <c r="F70" s="483" t="s">
        <v>184</v>
      </c>
      <c r="G70" s="483">
        <f>COUNTIFS($B$14:$B$44,"ti",[0]!Juli,"Skema 1")</f>
        <v>0</v>
      </c>
      <c r="H70" s="120"/>
      <c r="I70" s="496" t="s">
        <v>552</v>
      </c>
      <c r="J70" s="635"/>
      <c r="K70" s="496"/>
      <c r="L70" s="638"/>
      <c r="M70" s="636"/>
      <c r="N70" s="636"/>
      <c r="O70" s="639"/>
      <c r="P70" s="654">
        <f>IF(Stamoplysninger!$B$27="Ulempetillæg udbetales med 25% af nettotimelønnen.",SUM(DO45:DR45)-SUM(DS45:DV45),0)</f>
        <v>0</v>
      </c>
      <c r="Q70" s="656"/>
      <c r="R70" s="730"/>
      <c r="S70" s="225"/>
      <c r="T70" s="225"/>
      <c r="U70" s="225"/>
      <c r="V70" s="225"/>
      <c r="W70" s="115"/>
      <c r="X70" s="115"/>
      <c r="Y70"/>
      <c r="Z70"/>
      <c r="AA70" s="87"/>
      <c r="AB70" s="87"/>
      <c r="BI70" s="1"/>
      <c r="CF70" s="1"/>
      <c r="CQ70" s="242"/>
      <c r="CR70" s="242"/>
      <c r="CY70"/>
      <c r="CZ70"/>
    </row>
    <row r="71" spans="1:110" hidden="1">
      <c r="A71" s="1271" t="s">
        <v>205</v>
      </c>
      <c r="B71" s="1271"/>
      <c r="C71" s="1271"/>
      <c r="D71" s="483">
        <f>COUNTIF([0]!Juli,"Skema 3")</f>
        <v>0</v>
      </c>
      <c r="E71" s="484"/>
      <c r="F71" s="483" t="s">
        <v>185</v>
      </c>
      <c r="G71" s="483">
        <f>COUNTIFS($B$14:$B$44,"on",[0]!Juli,"Skema 1")</f>
        <v>0</v>
      </c>
      <c r="H71" s="483"/>
      <c r="I71" s="653" t="s">
        <v>553</v>
      </c>
      <c r="J71" s="635"/>
      <c r="K71" s="496"/>
      <c r="L71" s="638"/>
      <c r="M71" s="636"/>
      <c r="N71" s="636"/>
      <c r="O71" s="636"/>
      <c r="P71" s="654"/>
      <c r="Q71" s="656">
        <f>IF(Stamoplysninger!$B$27="Ulempetillæg afspadseres med 25%(Kræver en aftale imellem ledelsen og den ansatte)",DW45+DX45+DY45+DZ45-EA45-EB45-EC45-ED45,0)</f>
        <v>0</v>
      </c>
      <c r="R71" s="731"/>
      <c r="S71" s="225"/>
      <c r="T71" s="225"/>
      <c r="U71" s="225"/>
      <c r="V71" s="225"/>
      <c r="W71" s="115"/>
      <c r="X71" s="115"/>
      <c r="Y71"/>
      <c r="Z71"/>
      <c r="AA71" s="87"/>
      <c r="AB71" s="87"/>
      <c r="BI71" s="1"/>
      <c r="CF71" s="1"/>
      <c r="CQ71" s="242"/>
      <c r="CR71" s="242"/>
      <c r="CY71"/>
      <c r="CZ71"/>
    </row>
    <row r="72" spans="1:110" hidden="1">
      <c r="A72" s="1271" t="s">
        <v>206</v>
      </c>
      <c r="B72" s="1271"/>
      <c r="C72" s="1271"/>
      <c r="D72" s="483">
        <f>COUNTIF([0]!Juli,"Skema 4")</f>
        <v>0</v>
      </c>
      <c r="E72" s="484"/>
      <c r="F72" s="483" t="s">
        <v>187</v>
      </c>
      <c r="G72" s="483">
        <f>COUNTIFS($B$14:$B$44,"to",[0]!Juli,"Skema 1")</f>
        <v>0</v>
      </c>
      <c r="H72" s="483"/>
      <c r="I72" s="653" t="s">
        <v>554</v>
      </c>
      <c r="J72" s="635"/>
      <c r="K72" s="496"/>
      <c r="L72" s="638"/>
      <c r="M72" s="641"/>
      <c r="N72" s="641"/>
      <c r="O72" s="4"/>
      <c r="P72" s="654"/>
      <c r="Q72" s="656"/>
      <c r="R72" s="225"/>
      <c r="S72" s="225"/>
      <c r="T72" s="225"/>
      <c r="U72" s="225"/>
      <c r="V72" s="225"/>
      <c r="W72" s="115"/>
      <c r="X72" s="115"/>
      <c r="Y72" s="233"/>
      <c r="Z72" s="233"/>
      <c r="AA72" s="233"/>
      <c r="AB72" s="211"/>
      <c r="AC72" s="241"/>
      <c r="AD72" s="241"/>
      <c r="AE72" s="241"/>
      <c r="AF72" s="211"/>
      <c r="AG72" s="233"/>
      <c r="AI72" s="233"/>
      <c r="AJ72" s="233"/>
      <c r="AN72" s="87"/>
      <c r="AO72" s="87"/>
      <c r="BV72" s="1"/>
      <c r="CS72" s="1"/>
      <c r="CY72"/>
      <c r="CZ72"/>
      <c r="DD72" s="242"/>
      <c r="DE72" s="242"/>
    </row>
    <row r="73" spans="1:110" hidden="1">
      <c r="A73" s="483" t="s">
        <v>111</v>
      </c>
      <c r="B73" s="483"/>
      <c r="C73" s="483"/>
      <c r="D73" s="483">
        <f>COUNTIF([0]!Juli,"Fagdag")+COUNTIF([0]!Juli,"emnedag")</f>
        <v>0</v>
      </c>
      <c r="E73" s="484"/>
      <c r="F73" s="483" t="s">
        <v>186</v>
      </c>
      <c r="G73" s="483">
        <f>COUNTIFS($B$14:$B$44,"fr",[0]!Juli,"Skema 1")</f>
        <v>0</v>
      </c>
      <c r="H73" s="483"/>
      <c r="I73" s="638" t="s">
        <v>555</v>
      </c>
      <c r="J73" s="635"/>
      <c r="K73" s="496"/>
      <c r="L73" s="638"/>
      <c r="M73" s="641"/>
      <c r="N73" s="641"/>
      <c r="O73" s="4"/>
      <c r="P73" s="654"/>
      <c r="Q73" s="656">
        <f>IF(Stamoplysninger!$B$31="Weekendtimer og weekendtillæg afspadseres.",EE45+EF45-EG45-EH45+EI45+EJ45,0)</f>
        <v>0</v>
      </c>
      <c r="R73" s="733"/>
      <c r="S73" s="225"/>
      <c r="T73" s="225"/>
      <c r="U73" s="225"/>
      <c r="V73" s="225"/>
      <c r="W73" s="115"/>
      <c r="X73" s="115"/>
      <c r="Y73" s="233"/>
      <c r="Z73" s="233"/>
      <c r="AA73" s="233"/>
      <c r="AB73" s="211"/>
      <c r="AC73" s="241"/>
      <c r="AD73" s="241"/>
      <c r="AE73" s="241"/>
      <c r="AF73" s="211"/>
      <c r="AG73" s="233"/>
      <c r="AI73" s="233"/>
      <c r="AJ73" s="233"/>
      <c r="AN73" s="87"/>
      <c r="AO73" s="87"/>
      <c r="BV73" s="1"/>
      <c r="CS73" s="1"/>
      <c r="CY73"/>
      <c r="CZ73"/>
      <c r="DD73" s="242"/>
      <c r="DE73" s="242"/>
    </row>
    <row r="74" spans="1:110" hidden="1">
      <c r="A74" s="487" t="s">
        <v>110</v>
      </c>
      <c r="B74" s="483"/>
      <c r="C74" s="483"/>
      <c r="D74" s="483">
        <f>COUNTIF([0]!Juli,"Lejrskole")+COUNTIF([0]!Juli,"Ekskursion")</f>
        <v>0</v>
      </c>
      <c r="E74" s="484"/>
      <c r="F74" s="483"/>
      <c r="G74" s="483"/>
      <c r="H74" s="483"/>
      <c r="I74" s="638" t="s">
        <v>556</v>
      </c>
      <c r="J74" s="638"/>
      <c r="K74" s="638"/>
      <c r="L74" s="638"/>
      <c r="M74" s="642"/>
      <c r="N74" s="642"/>
      <c r="O74" s="4"/>
      <c r="P74" s="655">
        <f>IF(Stamoplysninger!$B$31="Weekendtimer og weekendtillæg udbetales.",EM45+EN45-EO45-EP45+EQ45+ER45,0)</f>
        <v>0</v>
      </c>
      <c r="Q74" s="656"/>
      <c r="R74" s="735"/>
      <c r="S74" s="225"/>
      <c r="T74" s="225"/>
      <c r="U74" s="225"/>
      <c r="V74" s="225"/>
      <c r="W74" s="115"/>
      <c r="X74" s="115"/>
      <c r="Y74" s="233"/>
      <c r="Z74" s="233"/>
      <c r="AA74" s="233"/>
      <c r="AB74" s="211"/>
      <c r="AC74" s="241"/>
      <c r="AD74" s="241"/>
      <c r="AE74" s="241"/>
      <c r="AF74" s="211"/>
      <c r="AG74" s="233"/>
      <c r="AI74" s="233"/>
      <c r="AJ74" s="233"/>
      <c r="AN74" s="87"/>
      <c r="AO74" s="87"/>
      <c r="BV74" s="1"/>
      <c r="CS74" s="1"/>
      <c r="CY74"/>
      <c r="CZ74"/>
      <c r="DD74" s="242"/>
      <c r="DE74" s="242"/>
    </row>
    <row r="75" spans="1:110" hidden="1">
      <c r="A75" s="483" t="s">
        <v>109</v>
      </c>
      <c r="B75" s="483"/>
      <c r="C75" s="483"/>
      <c r="D75" s="483">
        <f>COUNTIF([0]!Juli,"Pæd.dag")</f>
        <v>0</v>
      </c>
      <c r="E75" s="484"/>
      <c r="F75" s="483" t="s">
        <v>188</v>
      </c>
      <c r="G75" s="483">
        <f>COUNTIFS($B$14:$B$44,"ma",[0]!Juli,"Skema 2")</f>
        <v>0</v>
      </c>
      <c r="H75" s="483"/>
      <c r="I75" s="638" t="s">
        <v>557</v>
      </c>
      <c r="J75" s="638"/>
      <c r="K75" s="638"/>
      <c r="L75" s="638"/>
      <c r="M75" s="642"/>
      <c r="N75" s="642"/>
      <c r="O75" s="4"/>
      <c r="P75" s="654"/>
      <c r="Q75" s="656"/>
      <c r="R75" s="225"/>
      <c r="S75" s="225"/>
      <c r="T75" s="225"/>
      <c r="U75" s="225"/>
      <c r="V75" s="225"/>
      <c r="W75" s="115"/>
      <c r="X75" s="115"/>
      <c r="Y75" s="233"/>
      <c r="Z75" s="233"/>
      <c r="AA75" s="233"/>
      <c r="AB75" s="211"/>
      <c r="AC75" s="241"/>
      <c r="AD75" s="241"/>
      <c r="AE75" s="241"/>
      <c r="AG75" s="233"/>
      <c r="AI75" s="233"/>
      <c r="AJ75" s="233"/>
      <c r="AN75" s="87"/>
      <c r="AO75" s="87"/>
      <c r="BV75" s="1"/>
      <c r="CS75" s="1"/>
      <c r="CY75"/>
      <c r="CZ75"/>
      <c r="DD75" s="242"/>
      <c r="DE75" s="242"/>
    </row>
    <row r="76" spans="1:110" hidden="1">
      <c r="A76" s="483" t="s">
        <v>118</v>
      </c>
      <c r="B76" s="483"/>
      <c r="C76" s="483"/>
      <c r="D76" s="483">
        <f>COUNTIF([0]!Juli,"Weekend")</f>
        <v>9</v>
      </c>
      <c r="E76" s="484"/>
      <c r="F76" s="483" t="s">
        <v>189</v>
      </c>
      <c r="G76" s="483">
        <f>COUNTIFS($B$14:$B$44,"ti",[0]!Juli,"Skema 2")</f>
        <v>0</v>
      </c>
      <c r="H76" s="483"/>
      <c r="I76" s="638" t="s">
        <v>558</v>
      </c>
      <c r="J76" s="638"/>
      <c r="K76" s="638"/>
      <c r="L76" s="638"/>
      <c r="M76" s="643"/>
      <c r="N76" s="643"/>
      <c r="O76" s="4"/>
      <c r="P76" s="654"/>
      <c r="Q76" s="657">
        <f>IF(Stamoplysninger!$B$31="Der er indgået lokalaftale omkring weekendtimer.(Kræver aftale med TR/FSL) Weekendtillæg afspadseres.",EU45+EV45-EW45-EX45,0)</f>
        <v>0</v>
      </c>
      <c r="R76" s="737"/>
      <c r="S76" s="225"/>
      <c r="T76" s="225"/>
      <c r="U76" s="225"/>
      <c r="V76" s="225"/>
      <c r="W76" s="115"/>
      <c r="X76" s="115"/>
      <c r="Y76"/>
      <c r="Z76"/>
      <c r="AM76" s="1"/>
      <c r="BJ76" s="1"/>
      <c r="BU76" s="242"/>
      <c r="BV76" s="242"/>
      <c r="CY76"/>
      <c r="CZ76"/>
    </row>
    <row r="77" spans="1:110" hidden="1">
      <c r="A77" s="483" t="s">
        <v>125</v>
      </c>
      <c r="B77" s="483"/>
      <c r="C77" s="483"/>
      <c r="D77" s="483">
        <f>COUNTIF([0]!Juli,"SH-dag")</f>
        <v>0</v>
      </c>
      <c r="E77" s="484"/>
      <c r="F77" s="483" t="s">
        <v>190</v>
      </c>
      <c r="G77" s="483">
        <f>COUNTIFS($B$14:$B$44,"on",[0]!Juli,"Skema 2")</f>
        <v>0</v>
      </c>
      <c r="H77" s="483"/>
      <c r="I77" s="638" t="s">
        <v>559</v>
      </c>
      <c r="J77" s="638"/>
      <c r="K77" s="638"/>
      <c r="L77" s="638"/>
      <c r="M77" s="643"/>
      <c r="N77" s="643"/>
      <c r="O77" s="4"/>
      <c r="P77" s="654">
        <f>IF(Stamoplysninger!$B$31="Der er indgået lokalaftale omkring weekendtimer(Kræver aftale med TR/FSL). Weekendtillæg udbetales.",EY45+EZ45-FA45-FB45,0)</f>
        <v>0</v>
      </c>
      <c r="Q77" s="656"/>
      <c r="R77" s="739"/>
      <c r="S77" s="225"/>
      <c r="T77" s="225"/>
      <c r="U77" s="225"/>
      <c r="V77" s="225"/>
      <c r="W77" s="115"/>
      <c r="X77" s="115"/>
      <c r="Y77"/>
      <c r="Z77"/>
      <c r="AM77" s="1"/>
      <c r="BJ77" s="1"/>
      <c r="BU77" s="242"/>
      <c r="BV77" s="242"/>
      <c r="CY77"/>
      <c r="CZ77"/>
    </row>
    <row r="78" spans="1:110" hidden="1">
      <c r="A78" s="483" t="s">
        <v>108</v>
      </c>
      <c r="B78" s="483"/>
      <c r="C78" s="483"/>
      <c r="D78" s="483">
        <f>COUNTIF([0]!Juli,"Feriedag")</f>
        <v>18</v>
      </c>
      <c r="E78" s="484"/>
      <c r="F78" s="483" t="s">
        <v>191</v>
      </c>
      <c r="G78" s="483">
        <f>COUNTIFS($B$14:$B$44,"to",[0]!Juli,"Skema 2")</f>
        <v>0</v>
      </c>
      <c r="H78" s="483"/>
      <c r="I78" s="638" t="s">
        <v>560</v>
      </c>
      <c r="J78" s="638"/>
      <c r="K78" s="638"/>
      <c r="L78" s="638"/>
      <c r="M78" s="643"/>
      <c r="N78" s="643"/>
      <c r="O78" s="4"/>
      <c r="P78" s="654"/>
      <c r="Q78" s="610">
        <f>IF(Stamoplysninger!$B$31="Der er indgået lokalaftale omkring weekendtillæg(Kræver aftale med TR/FSL). Weekendtimerne afspadseres.",FC45+FD45-FE45-FF45,0)</f>
        <v>0</v>
      </c>
      <c r="R78" s="741"/>
      <c r="S78" s="38"/>
      <c r="T78" s="38"/>
      <c r="Y78"/>
      <c r="Z78"/>
      <c r="AM78" s="1"/>
      <c r="BJ78" s="1"/>
      <c r="BU78" s="242"/>
      <c r="BV78" s="242"/>
      <c r="CY78"/>
      <c r="CZ78"/>
    </row>
    <row r="79" spans="1:110" hidden="1">
      <c r="A79" s="483" t="s">
        <v>175</v>
      </c>
      <c r="B79" s="483"/>
      <c r="C79" s="483"/>
      <c r="D79" s="483">
        <f>COUNTIF([0]!Juli,"Nul-dag")</f>
        <v>4</v>
      </c>
      <c r="E79" s="484"/>
      <c r="F79" s="483" t="s">
        <v>192</v>
      </c>
      <c r="G79" s="483">
        <f>COUNTIFS($B$14:$B$44,"fr",[0]!Juli,"Skema 2")</f>
        <v>0</v>
      </c>
      <c r="H79" s="483"/>
      <c r="I79" s="638" t="s">
        <v>561</v>
      </c>
      <c r="J79" s="638"/>
      <c r="K79" s="638"/>
      <c r="L79" s="638"/>
      <c r="M79" s="643"/>
      <c r="N79" s="643"/>
      <c r="O79" s="4"/>
      <c r="P79" s="654">
        <f>IF(Stamoplysninger!$B$31="Der er indgået lokalaftale omkring weekendtillæg(Kræver aftale med TR/FSL). Weekendtimerne udbetales.",FG45+FH45-FI45-FJ45,0)</f>
        <v>0</v>
      </c>
      <c r="Q79" s="610"/>
      <c r="R79" s="742"/>
      <c r="V79" t="s">
        <v>612</v>
      </c>
      <c r="Y79"/>
      <c r="Z79"/>
      <c r="AM79" s="1"/>
      <c r="BJ79" s="1"/>
      <c r="BU79" s="242"/>
      <c r="BV79" s="242"/>
      <c r="CY79"/>
      <c r="CZ79"/>
    </row>
    <row r="80" spans="1:110" hidden="1">
      <c r="A80" s="483" t="s">
        <v>406</v>
      </c>
      <c r="B80" s="483"/>
      <c r="C80" s="483"/>
      <c r="D80" s="483">
        <f>COUNTIF([0]!Juli,"Orlov")</f>
        <v>0</v>
      </c>
      <c r="E80" s="484"/>
      <c r="F80" s="489"/>
      <c r="G80" s="489"/>
      <c r="H80" s="489"/>
      <c r="I80" s="638" t="s">
        <v>567</v>
      </c>
      <c r="J80" s="638"/>
      <c r="K80" s="638"/>
      <c r="L80" s="638"/>
      <c r="M80" s="644"/>
      <c r="N80" s="644"/>
      <c r="O80" s="4"/>
      <c r="P80" s="637"/>
      <c r="R80" s="727">
        <f>IF(AND(C14="ikke relevant",S14="X"),V14*-1,0)</f>
        <v>0</v>
      </c>
      <c r="T80" s="727">
        <f>IF(AND(C14="ikke relevant",U14="X"),X14*-1,0)</f>
        <v>0</v>
      </c>
      <c r="V80">
        <f>IF(AND(C14="ikke relevant",H14&gt;""),R14*-1,0)</f>
        <v>0</v>
      </c>
      <c r="Y80" s="378">
        <f>IF(Stamoplysninger!B31="Der er indgået lokalaftale omkring weekendtillæg. Weekendtimerne afspadseres.",Juli!#REF!,0)</f>
        <v>0</v>
      </c>
      <c r="Z80" s="378"/>
      <c r="AA80" s="378"/>
      <c r="AB80" s="379"/>
      <c r="AC80" s="120"/>
      <c r="AD80" s="120"/>
      <c r="AE80" s="225"/>
      <c r="AG80" s="225"/>
      <c r="AH80" s="225"/>
      <c r="AI80" s="225"/>
      <c r="AJ80" s="115"/>
      <c r="AK80" s="115"/>
      <c r="BA80" s="1"/>
      <c r="BX80" s="1"/>
      <c r="CI80" s="242"/>
      <c r="CJ80" s="242"/>
      <c r="CY80"/>
      <c r="CZ80"/>
    </row>
    <row r="81" spans="1:104" hidden="1">
      <c r="A81" s="483" t="s">
        <v>158</v>
      </c>
      <c r="B81" s="483"/>
      <c r="C81" s="483"/>
      <c r="D81" s="483">
        <f>COUNTIF([0]!Juli,"Ikke relevant")</f>
        <v>0</v>
      </c>
      <c r="E81" s="484"/>
      <c r="F81" s="483" t="s">
        <v>193</v>
      </c>
      <c r="G81" s="483">
        <f>COUNTIFS($B$14:$B$44,"ma",[0]!Juli,"Skema 3")</f>
        <v>0</v>
      </c>
      <c r="H81" s="483"/>
      <c r="I81" s="638"/>
      <c r="J81" s="638"/>
      <c r="K81" s="638"/>
      <c r="L81" s="496"/>
      <c r="M81" s="644"/>
      <c r="N81" s="644"/>
      <c r="O81" s="4"/>
      <c r="P81" s="637"/>
      <c r="R81" s="727">
        <f t="shared" ref="R81:R109" si="42">IF(AND(C15="ikke relevant",S15="X"),V15*-1,0)</f>
        <v>0</v>
      </c>
      <c r="T81" s="727">
        <f t="shared" ref="T81:T110" si="43">IF(AND(C15="ikke relevant",U15="X"),X15*-1,0)</f>
        <v>0</v>
      </c>
      <c r="V81">
        <f t="shared" ref="V81:V110" si="44">IF(AND(C15="ikke relevant",H15&gt;""),R15*-1,0)</f>
        <v>0</v>
      </c>
      <c r="Y81" s="378">
        <f>IF(Stamoplysninger!B31="Der er indgået lokalaftale omkring weekendtillæg. Weekendtimerne udbetales.",Juli!#REF!,0)</f>
        <v>0</v>
      </c>
      <c r="Z81" s="378"/>
      <c r="AA81" s="378"/>
      <c r="AB81" s="379"/>
      <c r="AC81" s="120"/>
      <c r="AD81" s="120"/>
      <c r="AE81" s="225"/>
      <c r="AG81" s="225"/>
      <c r="AH81" s="225"/>
      <c r="AI81" s="225"/>
      <c r="AJ81" s="115"/>
      <c r="AK81" s="115"/>
      <c r="BA81" s="1"/>
      <c r="BX81" s="1"/>
      <c r="CI81" s="242"/>
      <c r="CJ81" s="242"/>
      <c r="CY81"/>
      <c r="CZ81"/>
    </row>
    <row r="82" spans="1:104" hidden="1">
      <c r="A82" s="483" t="s">
        <v>107</v>
      </c>
      <c r="B82" s="483"/>
      <c r="C82" s="483"/>
      <c r="D82" s="483">
        <f>SUM(D69:D81)</f>
        <v>31</v>
      </c>
      <c r="E82" s="483"/>
      <c r="F82" s="483" t="s">
        <v>194</v>
      </c>
      <c r="G82" s="483">
        <f>COUNTIFS($B$14:$B$44,"ti",[0]!Juli,"Skema 3")</f>
        <v>0</v>
      </c>
      <c r="H82" s="483"/>
      <c r="I82" s="638"/>
      <c r="J82" s="638"/>
      <c r="K82" s="638"/>
      <c r="L82" s="496"/>
      <c r="M82" s="644"/>
      <c r="N82" s="644"/>
      <c r="O82" s="4"/>
      <c r="P82" s="637"/>
      <c r="R82" s="727">
        <f t="shared" si="42"/>
        <v>0</v>
      </c>
      <c r="T82" s="727">
        <f t="shared" si="43"/>
        <v>0</v>
      </c>
      <c r="V82">
        <f t="shared" si="44"/>
        <v>0</v>
      </c>
      <c r="Y82" s="38"/>
      <c r="Z82" s="38"/>
      <c r="AA82" s="38"/>
      <c r="AB82" s="38"/>
      <c r="AC82" s="38"/>
      <c r="AD82" s="38"/>
      <c r="AE82" s="38"/>
      <c r="AG82" s="38"/>
      <c r="AM82" s="1"/>
      <c r="BA82" s="1"/>
      <c r="BX82" s="1"/>
      <c r="CI82" s="242"/>
      <c r="CJ82" s="242"/>
      <c r="CY82"/>
      <c r="CZ82"/>
    </row>
    <row r="83" spans="1:104" hidden="1">
      <c r="A83" s="483" t="s">
        <v>236</v>
      </c>
      <c r="B83" s="483"/>
      <c r="C83" s="483"/>
      <c r="D83" s="483">
        <f>D82-D76-A92-D81</f>
        <v>22</v>
      </c>
      <c r="E83" s="490"/>
      <c r="F83" s="483" t="s">
        <v>195</v>
      </c>
      <c r="G83" s="483">
        <f>COUNTIFS($B$14:$B$44,"on",[0]!Juli,"Skema 3")</f>
        <v>0</v>
      </c>
      <c r="H83" s="483"/>
      <c r="I83" s="638"/>
      <c r="J83" s="638"/>
      <c r="K83" s="638"/>
      <c r="L83" s="496"/>
      <c r="M83" s="644"/>
      <c r="N83" s="644"/>
      <c r="O83" s="4"/>
      <c r="P83" s="637"/>
      <c r="R83" s="727">
        <f t="shared" si="42"/>
        <v>0</v>
      </c>
      <c r="T83" s="727">
        <f t="shared" si="43"/>
        <v>0</v>
      </c>
      <c r="V83">
        <f t="shared" si="44"/>
        <v>0</v>
      </c>
      <c r="Y83"/>
      <c r="Z83" s="1"/>
      <c r="AO83" s="1"/>
      <c r="BL83" s="1"/>
      <c r="BW83" s="242"/>
      <c r="BX83" s="242"/>
      <c r="CY83"/>
      <c r="CZ83"/>
    </row>
    <row r="84" spans="1:104" hidden="1">
      <c r="A84" s="483"/>
      <c r="B84" s="483"/>
      <c r="C84" s="483"/>
      <c r="D84" s="483"/>
      <c r="E84" s="483"/>
      <c r="F84" s="483" t="s">
        <v>196</v>
      </c>
      <c r="G84" s="483">
        <f>COUNTIFS($B$14:$B$44,"to",[0]!Juli,"Skema 3")</f>
        <v>0</v>
      </c>
      <c r="H84" s="483"/>
      <c r="I84" s="640"/>
      <c r="J84" s="638"/>
      <c r="K84" s="638"/>
      <c r="L84" s="496"/>
      <c r="M84" s="636"/>
      <c r="N84" s="636"/>
      <c r="O84" s="4"/>
      <c r="P84" s="637"/>
      <c r="R84" s="727">
        <f t="shared" si="42"/>
        <v>0</v>
      </c>
      <c r="T84" s="727">
        <f t="shared" si="43"/>
        <v>0</v>
      </c>
      <c r="V84">
        <f t="shared" si="44"/>
        <v>0</v>
      </c>
      <c r="Y84"/>
      <c r="Z84" s="1"/>
      <c r="AO84" s="1"/>
      <c r="BL84" s="1"/>
      <c r="BW84" s="242"/>
      <c r="BX84" s="242"/>
      <c r="CY84"/>
      <c r="CZ84"/>
    </row>
    <row r="85" spans="1:104" hidden="1">
      <c r="A85" s="483"/>
      <c r="B85" s="483"/>
      <c r="C85" s="483"/>
      <c r="D85" s="483"/>
      <c r="E85" s="483"/>
      <c r="F85" s="483" t="s">
        <v>197</v>
      </c>
      <c r="G85" s="483">
        <f>COUNTIFS($B$14:$B$44,"fr",[0]!Juli,"Skema 3")</f>
        <v>0</v>
      </c>
      <c r="H85" s="483"/>
      <c r="I85" s="491"/>
      <c r="J85" s="496"/>
      <c r="K85" s="496"/>
      <c r="L85" s="496"/>
      <c r="M85" s="4"/>
      <c r="N85" s="4"/>
      <c r="O85" s="4"/>
      <c r="P85" s="4"/>
      <c r="R85" s="727">
        <f t="shared" si="42"/>
        <v>0</v>
      </c>
      <c r="T85" s="727">
        <f t="shared" si="43"/>
        <v>0</v>
      </c>
      <c r="V85">
        <f t="shared" si="44"/>
        <v>0</v>
      </c>
      <c r="Y85"/>
      <c r="Z85" s="1"/>
      <c r="AO85" s="1"/>
      <c r="BL85" s="1"/>
      <c r="BW85" s="242"/>
      <c r="BX85" s="242"/>
      <c r="CY85"/>
      <c r="CZ85"/>
    </row>
    <row r="86" spans="1:104" hidden="1">
      <c r="A86" s="483" t="s">
        <v>289</v>
      </c>
      <c r="B86" s="483"/>
      <c r="C86" s="483"/>
      <c r="D86" s="483"/>
      <c r="E86" s="483"/>
      <c r="F86" s="483"/>
      <c r="G86" s="483"/>
      <c r="H86" s="483"/>
      <c r="I86" s="491"/>
      <c r="J86" s="496"/>
      <c r="K86" s="496"/>
      <c r="L86" s="496"/>
      <c r="M86" s="4"/>
      <c r="N86" s="4"/>
      <c r="O86" s="4"/>
      <c r="P86" s="4"/>
      <c r="R86" s="727">
        <f t="shared" si="42"/>
        <v>0</v>
      </c>
      <c r="T86" s="727">
        <f t="shared" si="43"/>
        <v>0</v>
      </c>
      <c r="V86">
        <f t="shared" si="44"/>
        <v>0</v>
      </c>
      <c r="Y86"/>
      <c r="Z86" s="1"/>
      <c r="AO86" s="1"/>
      <c r="BL86" s="1"/>
      <c r="BW86" s="242"/>
      <c r="BX86" s="242"/>
      <c r="CY86"/>
      <c r="CZ86"/>
    </row>
    <row r="87" spans="1:104" hidden="1">
      <c r="A87" s="483">
        <f>COUNTIF(C16:C17,"Skema 1")+COUNTIF(C16:C17,"Skema 2")+COUNTIF(C16:C17,"Skema 3")+COUNTIF(C16:C17,"Skema 4")+COUNTIF(C16:C17,"Fagdag")+COUNTIF(C16:C17,"Emnedag")+COUNTIF(C16:C17,"Lejrskole")+COUNTIF(C16:C17,"Ekskursion")+COUNTIF(C16:C17,"Pæd.dag")</f>
        <v>0</v>
      </c>
      <c r="B87" s="483"/>
      <c r="C87" s="483"/>
      <c r="D87" s="483"/>
      <c r="E87" s="483"/>
      <c r="F87" s="483" t="s">
        <v>198</v>
      </c>
      <c r="G87" s="483">
        <f>COUNTIFS($B$14:$B$44,"ma",[0]!Juli,"Skema 4")</f>
        <v>0</v>
      </c>
      <c r="H87" s="483"/>
      <c r="I87" s="491"/>
      <c r="J87" s="496"/>
      <c r="K87" s="496"/>
      <c r="L87" s="496"/>
      <c r="M87" s="4"/>
      <c r="N87" s="4"/>
      <c r="O87" s="4"/>
      <c r="P87" s="4"/>
      <c r="R87" s="727">
        <f t="shared" si="42"/>
        <v>0</v>
      </c>
      <c r="T87" s="727">
        <f t="shared" si="43"/>
        <v>0</v>
      </c>
      <c r="V87">
        <f t="shared" si="44"/>
        <v>0</v>
      </c>
      <c r="Y87"/>
      <c r="Z87" s="1"/>
      <c r="AO87" s="1"/>
      <c r="BL87" s="1"/>
      <c r="BW87" s="242"/>
      <c r="BX87" s="242"/>
      <c r="CY87"/>
      <c r="CZ87"/>
    </row>
    <row r="88" spans="1:104" hidden="1">
      <c r="A88" s="483">
        <f>COUNTIF(C23:C24,"Skema 1")+COUNTIF(C23:C24,"Skema 2")+COUNTIF(C23:C24,"Skema 3")+COUNTIF(C23:C24,"Skema 4")+COUNTIF(C23:C24,"Fagdag")+COUNTIF(C23:C24,"Emnedag")+COUNTIF(C23:C24,"Lejrskole")+COUNTIF(C23:C24,"Ekskursion")+COUNTIF(C23:C24,"Pæd.dag")</f>
        <v>0</v>
      </c>
      <c r="B88" s="483"/>
      <c r="C88" s="483"/>
      <c r="D88" s="483"/>
      <c r="E88" s="483"/>
      <c r="F88" s="483" t="s">
        <v>199</v>
      </c>
      <c r="G88" s="483">
        <f>COUNTIFS($B$14:$B$44,"ti",[0]!Juli,"Skema 4")</f>
        <v>0</v>
      </c>
      <c r="H88" s="483"/>
      <c r="I88" s="491"/>
      <c r="J88" s="496"/>
      <c r="K88" s="496"/>
      <c r="L88" s="496"/>
      <c r="M88" s="4"/>
      <c r="N88" s="4"/>
      <c r="O88" s="4"/>
      <c r="P88" s="4"/>
      <c r="R88" s="727">
        <f t="shared" si="42"/>
        <v>0</v>
      </c>
      <c r="T88" s="727">
        <f t="shared" si="43"/>
        <v>0</v>
      </c>
      <c r="V88">
        <f t="shared" si="44"/>
        <v>0</v>
      </c>
      <c r="Y88"/>
      <c r="Z88" s="1"/>
      <c r="AO88" s="1"/>
      <c r="BL88" s="1"/>
      <c r="BW88" s="242"/>
      <c r="BX88" s="242"/>
      <c r="CY88"/>
      <c r="CZ88"/>
    </row>
    <row r="89" spans="1:104" hidden="1">
      <c r="A89" s="483">
        <f>COUNTIF(C30:C31,"Skema 1")+COUNTIF(C30:C31,"Skema 2")+COUNTIF(C30:C31,"Skema 3")+COUNTIF(C30:C31,"Skema 4")+COUNTIF(C30:C31,"Fagdag")+COUNTIF(C30:C31,"Emnedag")+COUNTIF(C30:C31,"Lejrskole")+COUNTIF(C30:C31,"Ekskursion")+COUNTIF(C30:C31,"Pæd.dag")</f>
        <v>0</v>
      </c>
      <c r="B89" s="483"/>
      <c r="C89" s="483"/>
      <c r="D89" s="483"/>
      <c r="E89" s="483"/>
      <c r="F89" s="483" t="s">
        <v>200</v>
      </c>
      <c r="G89" s="483">
        <f>COUNTIFS($B$14:$B$44,"on",[0]!Juli,"Skema 4")</f>
        <v>0</v>
      </c>
      <c r="H89" s="483"/>
      <c r="I89" s="491"/>
      <c r="J89" s="496"/>
      <c r="K89" s="496"/>
      <c r="L89" s="496"/>
      <c r="M89" s="4"/>
      <c r="N89" s="4"/>
      <c r="O89" s="4"/>
      <c r="P89" s="4"/>
      <c r="R89" s="727">
        <f t="shared" si="42"/>
        <v>0</v>
      </c>
      <c r="T89" s="727">
        <f t="shared" si="43"/>
        <v>0</v>
      </c>
      <c r="V89">
        <f t="shared" si="44"/>
        <v>0</v>
      </c>
      <c r="Y89"/>
      <c r="Z89" s="1"/>
      <c r="AO89" s="1"/>
      <c r="BL89" s="1"/>
      <c r="BW89" s="242"/>
      <c r="BX89" s="242"/>
      <c r="CY89"/>
      <c r="CZ89"/>
    </row>
    <row r="90" spans="1:104" hidden="1">
      <c r="A90" s="483">
        <f>COUNTIF(C37:C38,"Skema 1")+COUNTIF(C37:C38,"Skema 2")+COUNTIF(C37:C38,"Skema 3")+COUNTIF(C37:C38,"Skema 4")+COUNTIF(C37:C38,"Fagdag")+COUNTIF(C37:C38,"Emnedag")+COUNTIF(C37:C38,"Lejrskole")+COUNTIF(C37:C38,"Ekskursion")+COUNTIF(C37:C38,"Pæd.dag")</f>
        <v>0</v>
      </c>
      <c r="B90" s="483"/>
      <c r="C90" s="483"/>
      <c r="D90" s="483"/>
      <c r="E90" s="483"/>
      <c r="F90" s="483" t="s">
        <v>201</v>
      </c>
      <c r="G90" s="483">
        <f>COUNTIFS($B$14:$B$44,"to",[0]!Juli,"Skema 4")</f>
        <v>0</v>
      </c>
      <c r="H90" s="483"/>
      <c r="I90" s="491"/>
      <c r="J90" s="496"/>
      <c r="K90" s="496"/>
      <c r="L90" s="496"/>
      <c r="M90" s="4"/>
      <c r="N90" s="4"/>
      <c r="O90" s="4"/>
      <c r="P90" s="4"/>
      <c r="R90" s="727">
        <f t="shared" si="42"/>
        <v>0</v>
      </c>
      <c r="T90" s="727">
        <f t="shared" si="43"/>
        <v>0</v>
      </c>
      <c r="V90">
        <f t="shared" si="44"/>
        <v>0</v>
      </c>
      <c r="Y90"/>
      <c r="Z90"/>
      <c r="AO90" s="1">
        <f>SUM(N90:AN90)</f>
        <v>0</v>
      </c>
      <c r="BL90" s="1">
        <f>SUM(AI90:BK90)</f>
        <v>0</v>
      </c>
      <c r="BW90" s="242"/>
      <c r="BX90" s="242"/>
      <c r="CY90"/>
      <c r="CZ90"/>
    </row>
    <row r="91" spans="1:104" hidden="1">
      <c r="A91" s="483">
        <f>COUNTIF(C44,"Skema 1")+COUNTIF(C44,"Skema 2")+COUNTIF(C44,"Skema 3")+COUNTIF(C44,"Skema 4")+COUNTIF(C44,"Fagdag")+COUNTIF(C44,"Emnedag")+COUNTIF(C44,"Lejrskole")+COUNTIF(C44,"Ekskursion")+COUNTIF(C44,"Pæd.dag")</f>
        <v>0</v>
      </c>
      <c r="B91" s="483"/>
      <c r="C91" s="483"/>
      <c r="D91" s="483"/>
      <c r="E91" s="483"/>
      <c r="F91" s="483" t="s">
        <v>202</v>
      </c>
      <c r="G91" s="483">
        <f>COUNTIFS($B$14:$B$44,"fr",[0]!Juli,"Skema 4")</f>
        <v>0</v>
      </c>
      <c r="H91" s="483"/>
      <c r="I91" s="483"/>
      <c r="J91" s="486"/>
      <c r="K91" s="486"/>
      <c r="L91" s="38"/>
      <c r="R91" s="727">
        <f t="shared" si="42"/>
        <v>0</v>
      </c>
      <c r="T91" s="727">
        <f t="shared" si="43"/>
        <v>0</v>
      </c>
      <c r="V91">
        <f t="shared" si="44"/>
        <v>0</v>
      </c>
      <c r="Y91"/>
      <c r="Z91"/>
      <c r="AO91" s="1">
        <f>SUM(N91:AN91)</f>
        <v>0</v>
      </c>
      <c r="BL91" s="1">
        <f>SUM(AI91:BK91)</f>
        <v>0</v>
      </c>
      <c r="BW91" s="242"/>
      <c r="BX91" s="242"/>
      <c r="CY91"/>
      <c r="CZ91"/>
    </row>
    <row r="92" spans="1:104" hidden="1">
      <c r="A92" s="483">
        <f>SUM(A87:A91)</f>
        <v>0</v>
      </c>
      <c r="B92" s="483"/>
      <c r="C92" s="483"/>
      <c r="D92" s="483"/>
      <c r="E92" s="483"/>
      <c r="F92" s="483"/>
      <c r="G92" s="488">
        <f>SUM(G69:G91)</f>
        <v>0</v>
      </c>
      <c r="H92" s="486"/>
      <c r="I92" s="483"/>
      <c r="J92" s="486"/>
      <c r="K92" s="486"/>
      <c r="L92" s="38"/>
      <c r="R92" s="727">
        <f t="shared" si="42"/>
        <v>0</v>
      </c>
      <c r="T92" s="727">
        <f t="shared" si="43"/>
        <v>0</v>
      </c>
      <c r="V92">
        <f t="shared" si="44"/>
        <v>0</v>
      </c>
      <c r="Y92"/>
      <c r="Z92"/>
      <c r="AO92" s="1">
        <f>SUM(N92:AN92)</f>
        <v>0</v>
      </c>
      <c r="BL92" s="1">
        <f>SUM(AI92:BK92)</f>
        <v>0</v>
      </c>
      <c r="BW92" s="242"/>
      <c r="BX92" s="242"/>
      <c r="CY92"/>
      <c r="CZ92"/>
    </row>
    <row r="93" spans="1:104" hidden="1">
      <c r="A93" s="486"/>
      <c r="B93" s="486"/>
      <c r="C93" s="486"/>
      <c r="D93" s="486"/>
      <c r="E93" s="483"/>
      <c r="F93" s="483"/>
      <c r="G93" s="483"/>
      <c r="H93" s="38"/>
      <c r="I93" s="486"/>
      <c r="J93" s="486"/>
      <c r="K93" s="486"/>
      <c r="L93" s="38"/>
      <c r="R93" s="727">
        <f t="shared" si="42"/>
        <v>0</v>
      </c>
      <c r="T93" s="727">
        <f t="shared" si="43"/>
        <v>0</v>
      </c>
      <c r="V93">
        <f t="shared" si="44"/>
        <v>0</v>
      </c>
      <c r="Y93"/>
      <c r="Z93"/>
      <c r="AO93" s="1">
        <f>SUM(N93:AN93)</f>
        <v>0</v>
      </c>
      <c r="BL93" s="1">
        <f>SUM(AI93:BK93)</f>
        <v>0</v>
      </c>
      <c r="BW93" s="242"/>
      <c r="BX93" s="242"/>
      <c r="CY93"/>
      <c r="CZ93"/>
    </row>
    <row r="94" spans="1:104" hidden="1">
      <c r="A94" s="486"/>
      <c r="B94" s="486"/>
      <c r="C94" s="486"/>
      <c r="D94" s="486"/>
      <c r="E94" s="483"/>
      <c r="F94" s="483"/>
      <c r="G94" s="483"/>
      <c r="H94" s="38"/>
      <c r="I94" s="38"/>
      <c r="J94" s="486"/>
      <c r="K94" s="486"/>
      <c r="L94" s="38"/>
      <c r="R94" s="727">
        <f t="shared" si="42"/>
        <v>0</v>
      </c>
      <c r="T94" s="727">
        <f t="shared" si="43"/>
        <v>0</v>
      </c>
      <c r="V94">
        <f t="shared" si="44"/>
        <v>0</v>
      </c>
      <c r="Y94"/>
      <c r="Z94"/>
      <c r="BW94" s="242"/>
      <c r="BX94" s="242"/>
      <c r="CY94"/>
      <c r="CZ94"/>
    </row>
    <row r="95" spans="1:104" hidden="1">
      <c r="A95" s="486"/>
      <c r="B95" s="486"/>
      <c r="C95" s="486"/>
      <c r="D95" s="486"/>
      <c r="E95" s="483"/>
      <c r="F95" s="483"/>
      <c r="G95" s="483"/>
      <c r="H95" s="38"/>
      <c r="I95" s="38"/>
      <c r="J95" s="38"/>
      <c r="K95" s="38"/>
      <c r="L95" s="38"/>
      <c r="R95" s="727">
        <f t="shared" si="42"/>
        <v>0</v>
      </c>
      <c r="T95" s="727">
        <f t="shared" si="43"/>
        <v>0</v>
      </c>
      <c r="V95">
        <f t="shared" si="44"/>
        <v>0</v>
      </c>
      <c r="Y95"/>
      <c r="Z95"/>
      <c r="BW95" s="242"/>
      <c r="BX95" s="242"/>
      <c r="CY95"/>
      <c r="CZ95"/>
    </row>
    <row r="96" spans="1:104" hidden="1">
      <c r="A96" s="486"/>
      <c r="B96" s="486"/>
      <c r="C96" s="486"/>
      <c r="D96" s="486"/>
      <c r="E96" s="483"/>
      <c r="F96" s="483"/>
      <c r="G96" s="483"/>
      <c r="H96" s="38"/>
      <c r="I96" s="38"/>
      <c r="J96" s="38"/>
      <c r="K96" s="38"/>
      <c r="L96" s="38"/>
      <c r="R96" s="727">
        <f t="shared" si="42"/>
        <v>0</v>
      </c>
      <c r="T96" s="727">
        <f t="shared" si="43"/>
        <v>0</v>
      </c>
      <c r="V96">
        <f t="shared" si="44"/>
        <v>0</v>
      </c>
      <c r="Y96"/>
      <c r="Z96"/>
      <c r="BW96" s="242"/>
      <c r="BX96" s="242"/>
      <c r="CY96"/>
      <c r="CZ96"/>
    </row>
    <row r="97" spans="1:111" hidden="1">
      <c r="A97" s="486"/>
      <c r="B97" s="486"/>
      <c r="C97" s="486"/>
      <c r="D97" s="486"/>
      <c r="E97" s="483"/>
      <c r="F97" s="483"/>
      <c r="G97" s="483"/>
      <c r="I97" s="38"/>
      <c r="J97" s="38"/>
      <c r="K97" s="38"/>
      <c r="L97" s="38"/>
      <c r="R97" s="727">
        <f t="shared" si="42"/>
        <v>0</v>
      </c>
      <c r="T97" s="727">
        <f t="shared" si="43"/>
        <v>0</v>
      </c>
      <c r="V97">
        <f t="shared" si="44"/>
        <v>0</v>
      </c>
      <c r="Y97"/>
      <c r="Z97"/>
      <c r="BW97" s="242"/>
      <c r="BX97" s="242"/>
      <c r="CY97"/>
      <c r="CZ97"/>
    </row>
    <row r="98" spans="1:111" hidden="1">
      <c r="A98" s="486"/>
      <c r="B98" s="486"/>
      <c r="C98" s="486"/>
      <c r="D98" s="486"/>
      <c r="E98" s="483"/>
      <c r="F98" s="483"/>
      <c r="G98" s="483"/>
      <c r="I98" s="38"/>
      <c r="J98" s="38"/>
      <c r="K98" s="38"/>
      <c r="L98" s="38"/>
      <c r="R98" s="727">
        <f t="shared" si="42"/>
        <v>0</v>
      </c>
      <c r="T98" s="727">
        <f t="shared" si="43"/>
        <v>0</v>
      </c>
      <c r="V98">
        <f t="shared" si="44"/>
        <v>0</v>
      </c>
      <c r="Y98"/>
      <c r="Z98"/>
      <c r="AF98" s="226"/>
      <c r="BW98" s="242"/>
      <c r="BX98" s="242"/>
      <c r="CY98"/>
      <c r="CZ98"/>
    </row>
    <row r="99" spans="1:111" hidden="1">
      <c r="A99" s="486"/>
      <c r="B99" s="486"/>
      <c r="C99" s="486"/>
      <c r="D99" s="486"/>
      <c r="E99" s="483"/>
      <c r="F99" s="483"/>
      <c r="G99" s="483"/>
      <c r="I99" s="38"/>
      <c r="J99" s="38"/>
      <c r="K99" s="38"/>
      <c r="L99" s="38"/>
      <c r="R99" s="727">
        <f t="shared" si="42"/>
        <v>0</v>
      </c>
      <c r="T99" s="727">
        <f t="shared" si="43"/>
        <v>0</v>
      </c>
      <c r="V99">
        <f t="shared" si="44"/>
        <v>0</v>
      </c>
      <c r="Y99"/>
      <c r="Z99"/>
      <c r="AD99" s="4"/>
      <c r="AE99" s="226"/>
      <c r="AF99" s="226"/>
      <c r="AG99" s="226"/>
      <c r="AH99" s="226"/>
      <c r="CY99"/>
      <c r="CZ99"/>
      <c r="DF99" s="242"/>
      <c r="DG99" s="242"/>
    </row>
    <row r="100" spans="1:111" hidden="1">
      <c r="A100" s="486"/>
      <c r="B100" s="486"/>
      <c r="C100" s="486"/>
      <c r="D100" s="486"/>
      <c r="E100" s="483"/>
      <c r="F100" s="483"/>
      <c r="G100" s="483"/>
      <c r="I100" s="38"/>
      <c r="J100" s="38"/>
      <c r="K100" s="38"/>
      <c r="L100" s="38"/>
      <c r="R100" s="727">
        <f t="shared" si="42"/>
        <v>0</v>
      </c>
      <c r="T100" s="727">
        <f t="shared" si="43"/>
        <v>0</v>
      </c>
      <c r="V100">
        <f t="shared" si="44"/>
        <v>0</v>
      </c>
      <c r="Y100"/>
      <c r="Z100"/>
      <c r="AD100" s="4"/>
      <c r="AE100" s="226"/>
      <c r="AG100" s="226"/>
      <c r="AH100" s="226"/>
      <c r="CY100"/>
      <c r="CZ100"/>
      <c r="DF100" s="242"/>
      <c r="DG100" s="242"/>
    </row>
    <row r="101" spans="1:111" hidden="1">
      <c r="A101" s="486"/>
      <c r="B101" s="486"/>
      <c r="C101" s="486"/>
      <c r="D101" s="486"/>
      <c r="E101" s="483"/>
      <c r="F101" s="483"/>
      <c r="G101" s="483"/>
      <c r="I101" s="38"/>
      <c r="J101" s="38"/>
      <c r="K101" s="38"/>
      <c r="L101" s="38"/>
      <c r="R101" s="727">
        <f t="shared" si="42"/>
        <v>0</v>
      </c>
      <c r="T101" s="727">
        <f t="shared" si="43"/>
        <v>0</v>
      </c>
      <c r="V101">
        <f t="shared" si="44"/>
        <v>0</v>
      </c>
    </row>
    <row r="102" spans="1:111" hidden="1">
      <c r="A102" s="486"/>
      <c r="B102" s="486"/>
      <c r="C102" s="486"/>
      <c r="D102" s="486"/>
      <c r="E102" s="483"/>
      <c r="F102" s="483"/>
      <c r="G102" s="483"/>
      <c r="I102" s="38"/>
      <c r="J102" s="38"/>
      <c r="K102" s="38"/>
      <c r="L102" s="38"/>
      <c r="R102" s="727">
        <f t="shared" si="42"/>
        <v>0</v>
      </c>
      <c r="T102" s="727">
        <f t="shared" si="43"/>
        <v>0</v>
      </c>
      <c r="V102">
        <f t="shared" si="44"/>
        <v>0</v>
      </c>
    </row>
    <row r="103" spans="1:111" hidden="1">
      <c r="A103" s="486"/>
      <c r="B103" s="486"/>
      <c r="C103" s="486"/>
      <c r="D103" s="486"/>
      <c r="E103" s="486"/>
      <c r="F103" s="486"/>
      <c r="G103" s="486"/>
      <c r="I103" s="38"/>
      <c r="J103" s="38"/>
      <c r="K103" s="38"/>
      <c r="L103" s="38"/>
      <c r="R103" s="727">
        <f t="shared" si="42"/>
        <v>0</v>
      </c>
      <c r="T103" s="727">
        <f t="shared" si="43"/>
        <v>0</v>
      </c>
      <c r="V103">
        <f t="shared" si="44"/>
        <v>0</v>
      </c>
    </row>
    <row r="104" spans="1:111" hidden="1">
      <c r="I104" s="38"/>
      <c r="J104" s="38"/>
      <c r="K104" s="38"/>
      <c r="L104" s="38"/>
      <c r="R104" s="727">
        <f t="shared" si="42"/>
        <v>0</v>
      </c>
      <c r="T104" s="727">
        <f t="shared" si="43"/>
        <v>0</v>
      </c>
      <c r="V104">
        <f t="shared" si="44"/>
        <v>0</v>
      </c>
    </row>
    <row r="105" spans="1:111" hidden="1">
      <c r="I105" s="38"/>
      <c r="J105" s="38"/>
      <c r="K105" s="38"/>
      <c r="L105" s="432"/>
      <c r="R105" s="727">
        <f t="shared" si="42"/>
        <v>0</v>
      </c>
      <c r="T105" s="727">
        <f t="shared" si="43"/>
        <v>0</v>
      </c>
      <c r="V105">
        <f t="shared" si="44"/>
        <v>0</v>
      </c>
    </row>
    <row r="106" spans="1:111" hidden="1">
      <c r="I106" s="38"/>
      <c r="J106" s="38"/>
      <c r="K106" s="38"/>
      <c r="L106" s="432"/>
      <c r="R106" s="727">
        <f t="shared" si="42"/>
        <v>0</v>
      </c>
      <c r="T106" s="727">
        <f t="shared" si="43"/>
        <v>0</v>
      </c>
      <c r="V106">
        <f t="shared" si="44"/>
        <v>0</v>
      </c>
    </row>
    <row r="107" spans="1:111" hidden="1">
      <c r="I107" s="38"/>
      <c r="J107" s="38"/>
      <c r="K107" s="38"/>
      <c r="L107" s="432"/>
      <c r="R107" s="727">
        <f t="shared" si="42"/>
        <v>0</v>
      </c>
      <c r="T107" s="727">
        <f t="shared" si="43"/>
        <v>0</v>
      </c>
      <c r="V107">
        <f t="shared" si="44"/>
        <v>0</v>
      </c>
    </row>
    <row r="108" spans="1:111" hidden="1">
      <c r="I108" s="432"/>
      <c r="J108" s="38"/>
      <c r="K108" s="38"/>
      <c r="L108" s="432"/>
      <c r="R108" s="727">
        <f t="shared" si="42"/>
        <v>0</v>
      </c>
      <c r="T108" s="727">
        <f t="shared" si="43"/>
        <v>0</v>
      </c>
      <c r="V108">
        <f t="shared" si="44"/>
        <v>0</v>
      </c>
    </row>
    <row r="109" spans="1:111" hidden="1">
      <c r="I109" s="432"/>
      <c r="J109" s="432"/>
      <c r="K109" s="432"/>
      <c r="L109" s="432"/>
      <c r="R109" s="727">
        <f t="shared" si="42"/>
        <v>0</v>
      </c>
      <c r="T109" s="727">
        <f t="shared" si="43"/>
        <v>0</v>
      </c>
      <c r="V109">
        <f t="shared" si="44"/>
        <v>0</v>
      </c>
    </row>
    <row r="110" spans="1:111" ht="17" hidden="1" thickBot="1">
      <c r="I110" s="432"/>
      <c r="J110" s="432"/>
      <c r="K110" s="432"/>
      <c r="L110" s="432"/>
      <c r="R110" s="727">
        <f>IF(AND(C44="ikke relevant",S44="X"),V44*-1,0)</f>
        <v>0</v>
      </c>
      <c r="T110" s="727">
        <f t="shared" si="43"/>
        <v>0</v>
      </c>
      <c r="V110">
        <f t="shared" si="44"/>
        <v>0</v>
      </c>
    </row>
    <row r="111" spans="1:111" ht="17" hidden="1" thickBot="1">
      <c r="I111" s="432"/>
      <c r="J111" s="432"/>
      <c r="K111" s="432"/>
      <c r="L111" s="432"/>
      <c r="P111" t="s">
        <v>664</v>
      </c>
      <c r="R111" s="669">
        <f>SUM(R80:R110)</f>
        <v>0</v>
      </c>
      <c r="S111" s="669">
        <f>SUM(S80:S110)</f>
        <v>0</v>
      </c>
      <c r="T111" s="669">
        <f>SUM(T80:T110)</f>
        <v>0</v>
      </c>
      <c r="V111">
        <f>SUM(V80:V110)</f>
        <v>0</v>
      </c>
    </row>
    <row r="112" spans="1:111" ht="16" hidden="1" customHeight="1">
      <c r="I112" s="432"/>
      <c r="J112" s="432"/>
      <c r="K112" s="432"/>
      <c r="L112" s="432"/>
      <c r="R112" s="1030" t="s">
        <v>666</v>
      </c>
      <c r="T112" s="1030" t="s">
        <v>667</v>
      </c>
    </row>
    <row r="113" spans="18:20" hidden="1">
      <c r="R113" s="884"/>
      <c r="T113" s="884"/>
    </row>
    <row r="114" spans="18:20" hidden="1">
      <c r="R114" s="884"/>
      <c r="T114" s="884"/>
    </row>
    <row r="115" spans="18:20" hidden="1">
      <c r="R115" s="884"/>
      <c r="T115" s="884"/>
    </row>
    <row r="116" spans="18:20" hidden="1"/>
    <row r="117" spans="18:20" hidden="1"/>
    <row r="118" spans="18:20" hidden="1"/>
    <row r="119" spans="18:20" hidden="1"/>
  </sheetData>
  <sheetProtection sheet="1" objects="1" scenarios="1"/>
  <mergeCells count="199">
    <mergeCell ref="E22:G22"/>
    <mergeCell ref="E23:G23"/>
    <mergeCell ref="E24:G24"/>
    <mergeCell ref="E25:G25"/>
    <mergeCell ref="A58:G59"/>
    <mergeCell ref="E44:G44"/>
    <mergeCell ref="A45:I45"/>
    <mergeCell ref="E35:G35"/>
    <mergeCell ref="E36:G36"/>
    <mergeCell ref="E38:G38"/>
    <mergeCell ref="E39:G39"/>
    <mergeCell ref="E40:G40"/>
    <mergeCell ref="E34:G34"/>
    <mergeCell ref="I47:K47"/>
    <mergeCell ref="A48:G48"/>
    <mergeCell ref="I48:K48"/>
    <mergeCell ref="I58:K58"/>
    <mergeCell ref="FI8:GC8"/>
    <mergeCell ref="FI9:FL9"/>
    <mergeCell ref="FO9:FR9"/>
    <mergeCell ref="DO11:DV11"/>
    <mergeCell ref="FO11:FR11"/>
    <mergeCell ref="FS11:FT11"/>
    <mergeCell ref="GB11:GC11"/>
    <mergeCell ref="FC10:FF10"/>
    <mergeCell ref="FG10:FJ10"/>
    <mergeCell ref="FK10:FX10"/>
    <mergeCell ref="DW11:ED11"/>
    <mergeCell ref="FC11:FF11"/>
    <mergeCell ref="FG11:FJ11"/>
    <mergeCell ref="FK11:FN11"/>
    <mergeCell ref="FQ13:FR13"/>
    <mergeCell ref="DS13:DV13"/>
    <mergeCell ref="V54:X54"/>
    <mergeCell ref="A67:G67"/>
    <mergeCell ref="I67:K67"/>
    <mergeCell ref="A72:C72"/>
    <mergeCell ref="E37:G37"/>
    <mergeCell ref="A70:C70"/>
    <mergeCell ref="A71:C71"/>
    <mergeCell ref="I56:K56"/>
    <mergeCell ref="A61:K61"/>
    <mergeCell ref="A62:B62"/>
    <mergeCell ref="C62:D62"/>
    <mergeCell ref="E62:G62"/>
    <mergeCell ref="H62:K62"/>
    <mergeCell ref="A63:B63"/>
    <mergeCell ref="C63:D63"/>
    <mergeCell ref="E63:G63"/>
    <mergeCell ref="A49:G49"/>
    <mergeCell ref="I49:K49"/>
    <mergeCell ref="A50:G50"/>
    <mergeCell ref="I50:K50"/>
    <mergeCell ref="E41:G41"/>
    <mergeCell ref="E42:G42"/>
    <mergeCell ref="M56:U56"/>
    <mergeCell ref="V56:X56"/>
    <mergeCell ref="A55:H55"/>
    <mergeCell ref="I55:K55"/>
    <mergeCell ref="A51:G51"/>
    <mergeCell ref="I51:K51"/>
    <mergeCell ref="A52:G52"/>
    <mergeCell ref="I52:K52"/>
    <mergeCell ref="M51:U51"/>
    <mergeCell ref="A53:H53"/>
    <mergeCell ref="I53:K53"/>
    <mergeCell ref="V51:X51"/>
    <mergeCell ref="M52:X52"/>
    <mergeCell ref="M53:U53"/>
    <mergeCell ref="V53:X53"/>
    <mergeCell ref="M54:U54"/>
    <mergeCell ref="B2:E2"/>
    <mergeCell ref="E9:G9"/>
    <mergeCell ref="K9:L9"/>
    <mergeCell ref="A10:R10"/>
    <mergeCell ref="P11:P12"/>
    <mergeCell ref="Q11:Q12"/>
    <mergeCell ref="R11:R12"/>
    <mergeCell ref="A9:D9"/>
    <mergeCell ref="M47:X47"/>
    <mergeCell ref="E43:G43"/>
    <mergeCell ref="E11:G13"/>
    <mergeCell ref="K11:L11"/>
    <mergeCell ref="N11:N12"/>
    <mergeCell ref="O11:O12"/>
    <mergeCell ref="E30:G30"/>
    <mergeCell ref="E20:G20"/>
    <mergeCell ref="E21:G21"/>
    <mergeCell ref="E28:G28"/>
    <mergeCell ref="E29:G29"/>
    <mergeCell ref="E16:G16"/>
    <mergeCell ref="K13:R13"/>
    <mergeCell ref="S11:X11"/>
    <mergeCell ref="S13:U13"/>
    <mergeCell ref="V13:X13"/>
    <mergeCell ref="S10:X10"/>
    <mergeCell ref="A8:X8"/>
    <mergeCell ref="A12:D13"/>
    <mergeCell ref="H12:H13"/>
    <mergeCell ref="I11:I13"/>
    <mergeCell ref="J11:J13"/>
    <mergeCell ref="A3:H3"/>
    <mergeCell ref="A4:B4"/>
    <mergeCell ref="C4:D4"/>
    <mergeCell ref="E4:F4"/>
    <mergeCell ref="G4:H4"/>
    <mergeCell ref="I4:J4"/>
    <mergeCell ref="A5:B5"/>
    <mergeCell ref="C5:D5"/>
    <mergeCell ref="E5:F5"/>
    <mergeCell ref="G5:H5"/>
    <mergeCell ref="A6:B6"/>
    <mergeCell ref="C6:D6"/>
    <mergeCell ref="E6:F6"/>
    <mergeCell ref="G6:H6"/>
    <mergeCell ref="A7:B7"/>
    <mergeCell ref="C7:D7"/>
    <mergeCell ref="E7:F7"/>
    <mergeCell ref="G7:H7"/>
    <mergeCell ref="A66:B66"/>
    <mergeCell ref="A60:G60"/>
    <mergeCell ref="I60:K60"/>
    <mergeCell ref="I63:K63"/>
    <mergeCell ref="A64:B64"/>
    <mergeCell ref="C64:D64"/>
    <mergeCell ref="E64:G64"/>
    <mergeCell ref="I64:K64"/>
    <mergeCell ref="A65:B65"/>
    <mergeCell ref="C65:D65"/>
    <mergeCell ref="E65:G65"/>
    <mergeCell ref="I65:K65"/>
    <mergeCell ref="C66:D66"/>
    <mergeCell ref="E66:G66"/>
    <mergeCell ref="I66:K66"/>
    <mergeCell ref="M58:U58"/>
    <mergeCell ref="V58:X58"/>
    <mergeCell ref="I59:K59"/>
    <mergeCell ref="E17:G17"/>
    <mergeCell ref="E18:G18"/>
    <mergeCell ref="E19:G19"/>
    <mergeCell ref="M57:U57"/>
    <mergeCell ref="V57:X57"/>
    <mergeCell ref="E31:G31"/>
    <mergeCell ref="M50:U50"/>
    <mergeCell ref="E32:G32"/>
    <mergeCell ref="E33:G33"/>
    <mergeCell ref="V50:X50"/>
    <mergeCell ref="A54:H54"/>
    <mergeCell ref="I54:K54"/>
    <mergeCell ref="A47:G47"/>
    <mergeCell ref="E26:G26"/>
    <mergeCell ref="E27:G27"/>
    <mergeCell ref="M48:U48"/>
    <mergeCell ref="V48:X48"/>
    <mergeCell ref="M49:U49"/>
    <mergeCell ref="V49:X49"/>
    <mergeCell ref="M55:U55"/>
    <mergeCell ref="V55:X55"/>
    <mergeCell ref="DA11:DE11"/>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AG11:AK11"/>
    <mergeCell ref="AA11:AE11"/>
    <mergeCell ref="R112:R115"/>
    <mergeCell ref="T112:T115"/>
    <mergeCell ref="FU11:FX11"/>
    <mergeCell ref="FY11:FZ11"/>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EE11:EH11"/>
    <mergeCell ref="EI11:EL11"/>
    <mergeCell ref="EM11:EP11"/>
    <mergeCell ref="EQ11:ET11"/>
    <mergeCell ref="EU11:EX11"/>
    <mergeCell ref="EY11:FB11"/>
  </mergeCells>
  <conditionalFormatting sqref="A14:H14 D15:H36 A15:C44 D37:E37 H37 D38:H44">
    <cfRule type="expression" dxfId="441" priority="84" stopIfTrue="1">
      <formula>OR($C14="Orlov")</formula>
    </cfRule>
    <cfRule type="expression" dxfId="440" priority="83">
      <formula>OR($C14="weekend")</formula>
    </cfRule>
    <cfRule type="expression" dxfId="439" priority="82">
      <formula>OR($C14="feriedag")</formula>
    </cfRule>
    <cfRule type="expression" dxfId="438" priority="81">
      <formula>OR($C14="fagdag")</formula>
    </cfRule>
    <cfRule type="expression" dxfId="437" priority="80">
      <formula>OR($C14="emnedag")</formula>
    </cfRule>
    <cfRule type="expression" dxfId="436" priority="79">
      <formula>OR($C14="lejrskole")</formula>
    </cfRule>
    <cfRule type="expression" dxfId="435" priority="78">
      <formula>OR($C14="ekskursion")</formula>
    </cfRule>
    <cfRule type="expression" dxfId="434" priority="77">
      <formula>OR($C14="SH-dag")</formula>
    </cfRule>
    <cfRule type="expression" dxfId="433" priority="76">
      <formula>OR($C14="nul-dag")</formula>
    </cfRule>
    <cfRule type="expression" dxfId="432" priority="75">
      <formula>OR($C14="pæd.dag")</formula>
    </cfRule>
    <cfRule type="expression" dxfId="431" priority="74">
      <formula>OR($C14="Ikke relevant")</formula>
    </cfRule>
    <cfRule type="expression" dxfId="430" priority="73">
      <formula>OR($C14="Skema 4")</formula>
    </cfRule>
    <cfRule type="expression" dxfId="429" priority="72">
      <formula>OR($C14="Skema 3")</formula>
    </cfRule>
    <cfRule type="expression" dxfId="428" priority="71">
      <formula>OR($C14="skema 2")</formula>
    </cfRule>
  </conditionalFormatting>
  <conditionalFormatting sqref="D15:H36 D38:H44 A14:H14 A15:C44 D37:E37 H37">
    <cfRule type="expression" dxfId="427" priority="70">
      <formula>OR($C14="Skema 1")</formula>
    </cfRule>
  </conditionalFormatting>
  <conditionalFormatting sqref="E25">
    <cfRule type="expression" dxfId="426" priority="86">
      <formula>OR($D24="nul-dag")</formula>
    </cfRule>
    <cfRule type="expression" dxfId="425" priority="92">
      <formula>OR($D24="feriedag")</formula>
    </cfRule>
    <cfRule type="expression" dxfId="424" priority="87">
      <formula>OR($D24="SH-dag")</formula>
    </cfRule>
    <cfRule type="expression" dxfId="423" priority="91">
      <formula>OR($D24="fagdag")</formula>
    </cfRule>
    <cfRule type="expression" dxfId="422" priority="90">
      <formula>OR($D24="emnedag")</formula>
    </cfRule>
    <cfRule type="expression" dxfId="421" priority="85">
      <formula>OR($D24="pæd.dag")</formula>
    </cfRule>
    <cfRule type="expression" dxfId="420" priority="89">
      <formula>OR($D24="lejrskole")</formula>
    </cfRule>
    <cfRule type="expression" dxfId="419" priority="88">
      <formula>OR($D24="ekskursion")</formula>
    </cfRule>
    <cfRule type="expression" dxfId="418" priority="95">
      <formula>OR($D24="Ikke relevant")</formula>
    </cfRule>
    <cfRule type="expression" dxfId="417" priority="94" stopIfTrue="1">
      <formula>OR($D24="skoledag")</formula>
    </cfRule>
    <cfRule type="expression" dxfId="416" priority="93">
      <formula>OR($D24="weekend")</formula>
    </cfRule>
  </conditionalFormatting>
  <conditionalFormatting sqref="E32">
    <cfRule type="expression" dxfId="415" priority="22">
      <formula>OR($D31="pæd.dag")</formula>
    </cfRule>
    <cfRule type="expression" dxfId="414" priority="23">
      <formula>OR($D31="nul-dag")</formula>
    </cfRule>
    <cfRule type="expression" dxfId="413" priority="24">
      <formula>OR($D31="SH-dag")</formula>
    </cfRule>
    <cfRule type="expression" dxfId="412" priority="25">
      <formula>OR($D31="ekskursion")</formula>
    </cfRule>
    <cfRule type="expression" dxfId="411" priority="26">
      <formula>OR($D31="lejrskole")</formula>
    </cfRule>
    <cfRule type="expression" dxfId="410" priority="27">
      <formula>OR($D31="emnedag")</formula>
    </cfRule>
    <cfRule type="expression" dxfId="409" priority="28">
      <formula>OR($D31="fagdag")</formula>
    </cfRule>
    <cfRule type="expression" dxfId="408" priority="29">
      <formula>OR($D31="feriedag")</formula>
    </cfRule>
    <cfRule type="expression" dxfId="407" priority="31" stopIfTrue="1">
      <formula>OR($D31="skoledag")</formula>
    </cfRule>
    <cfRule type="expression" dxfId="406" priority="32">
      <formula>OR($D31="Ikke relevant")</formula>
    </cfRule>
    <cfRule type="expression" dxfId="405" priority="30">
      <formula>OR($D31="weekend")</formula>
    </cfRule>
  </conditionalFormatting>
  <conditionalFormatting sqref="E39">
    <cfRule type="expression" dxfId="404" priority="20" stopIfTrue="1">
      <formula>OR($D38="skoledag")</formula>
    </cfRule>
    <cfRule type="expression" dxfId="403" priority="15">
      <formula>OR($D38="lejrskole")</formula>
    </cfRule>
    <cfRule type="expression" dxfId="402" priority="14">
      <formula>OR($D38="ekskursion")</formula>
    </cfRule>
    <cfRule type="expression" dxfId="401" priority="13">
      <formula>OR($D38="SH-dag")</formula>
    </cfRule>
    <cfRule type="expression" dxfId="400" priority="12">
      <formula>OR($D38="nul-dag")</formula>
    </cfRule>
    <cfRule type="expression" dxfId="399" priority="11">
      <formula>OR($D38="pæd.dag")</formula>
    </cfRule>
    <cfRule type="expression" dxfId="398" priority="16">
      <formula>OR($D38="emnedag")</formula>
    </cfRule>
    <cfRule type="expression" dxfId="397" priority="17">
      <formula>OR($D38="fagdag")</formula>
    </cfRule>
    <cfRule type="expression" dxfId="396" priority="18">
      <formula>OR($D38="feriedag")</formula>
    </cfRule>
    <cfRule type="expression" dxfId="395" priority="19">
      <formula>OR($D38="weekend")</formula>
    </cfRule>
    <cfRule type="expression" dxfId="394" priority="21">
      <formula>OR($D38="Ikke relevant")</formula>
    </cfRule>
  </conditionalFormatting>
  <conditionalFormatting sqref="H63:H66">
    <cfRule type="expression" dxfId="393" priority="1">
      <formula>OR($A63&gt;0,)</formula>
    </cfRule>
  </conditionalFormatting>
  <conditionalFormatting sqref="I63:I66">
    <cfRule type="expression" dxfId="392" priority="2">
      <formula>OR($C63&gt;0,)</formula>
    </cfRule>
  </conditionalFormatting>
  <conditionalFormatting sqref="K14:K44">
    <cfRule type="expression" dxfId="391" priority="67">
      <formula>OR($C14="Pæd.dag",)</formula>
    </cfRule>
  </conditionalFormatting>
  <conditionalFormatting sqref="K14:L44">
    <cfRule type="expression" dxfId="390" priority="69">
      <formula>OR($C14="Ekskursion",)</formula>
    </cfRule>
    <cfRule type="expression" dxfId="389" priority="68">
      <formula>OR($C14="Lejrskole",)</formula>
    </cfRule>
  </conditionalFormatting>
  <conditionalFormatting sqref="K14:M44">
    <cfRule type="expression" dxfId="388" priority="66">
      <formula>OR($C14="emnedag",)</formula>
    </cfRule>
    <cfRule type="expression" dxfId="387" priority="65">
      <formula>OR($C14="fagdag",)</formula>
    </cfRule>
  </conditionalFormatting>
  <conditionalFormatting sqref="R14:R44">
    <cfRule type="expression" dxfId="386" priority="96">
      <formula>OR($H14&gt;"0",)</formula>
    </cfRule>
  </conditionalFormatting>
  <conditionalFormatting sqref="V14:V44">
    <cfRule type="expression" dxfId="385" priority="10">
      <formula>OR($S14="X",)</formula>
    </cfRule>
  </conditionalFormatting>
  <conditionalFormatting sqref="V54:X57">
    <cfRule type="expression" dxfId="384" priority="3">
      <formula>OR($M54&gt;0,)</formula>
    </cfRule>
  </conditionalFormatting>
  <conditionalFormatting sqref="W14:W44">
    <cfRule type="expression" dxfId="383" priority="9">
      <formula>OR($T14="X",)</formula>
    </cfRule>
  </conditionalFormatting>
  <conditionalFormatting sqref="X14:X44">
    <cfRule type="expression" dxfId="382" priority="8">
      <formula>OR($U14="X",)</formula>
    </cfRule>
  </conditionalFormatting>
  <dataValidations count="1">
    <dataValidation type="list" allowBlank="1" showInputMessage="1" showErrorMessage="1" sqref="S14:T44 U14:U42 A63:D66" xr:uid="{279D01AC-9297-1849-AEDD-544AB54087D2}">
      <formula1>$W$1:$W$2</formula1>
    </dataValidation>
  </dataValidations>
  <hyperlinks>
    <hyperlink ref="E4:F4" location="Arbejdstidsoversigt!A19" display="Arbejdstids-oversigt" xr:uid="{98AB12DA-2212-6E48-8099-2EB67B75D60E}"/>
    <hyperlink ref="G4:H4" location="Opgørelse!B12" display="Opgørelse" xr:uid="{F7650140-EAB9-3344-B990-36A7704FB16F}"/>
    <hyperlink ref="A5:B5" location="August!A12" display="August" xr:uid="{5AECA2EF-C6EA-C149-BDAB-3921FDCB5B1D}"/>
    <hyperlink ref="C5:D5" location="September!A8" display="September" xr:uid="{DD48B593-E5C7-EC4C-AA23-5440BF126AA1}"/>
    <hyperlink ref="E5:F5" location="Oktober!A8" display="Oktober" xr:uid="{3D301291-BEDE-9E4E-809B-0CC25F4FFAC3}"/>
    <hyperlink ref="G5:H5" location="November!A8" display="November" xr:uid="{B2E47079-0408-B84E-A5D5-1FB557287912}"/>
    <hyperlink ref="A6:B6" location="December!A8" display="December" xr:uid="{8DC86DC1-BDD1-5F4D-924B-30351D9093D4}"/>
    <hyperlink ref="C6:D6" location="Januar!A8" display="Januar" xr:uid="{78521E11-CF19-D742-8BFA-6A9B8A36ED81}"/>
    <hyperlink ref="E6:F6" location="Februar!A8" display="Februar" xr:uid="{7C272EFD-40A4-444B-B271-A1949EF505C2}"/>
    <hyperlink ref="A7:B7" location="April!A8" display="April" xr:uid="{623A82A6-6BF7-4443-8E20-242C95906E82}"/>
    <hyperlink ref="C7:D7" location="Maj!A8" display="Maj" xr:uid="{0C46AFD0-A0D5-324C-AB00-CB05016A37B5}"/>
    <hyperlink ref="E7:F7" location="Juni!A8" display="Juni" xr:uid="{962987EB-7A3B-0F43-B2DC-617D87F934C6}"/>
    <hyperlink ref="G7:H7" location="Juli!A8" display="Juli" xr:uid="{366C59C3-067A-1042-8F88-6EBF5FAE1395}"/>
    <hyperlink ref="G6:H6" location="Marts!A8" display="Marts" xr:uid="{1301B829-EC0F-C24B-B611-127EA534DB63}"/>
    <hyperlink ref="I4:J4" location="Stamoplysninger!E18" display="Stamoplysninger" xr:uid="{3BE4AF6A-36ED-5C49-923B-CC3B504C08D4}"/>
    <hyperlink ref="C4:D4" location="Opgaver!A8" display="Opgaver" xr:uid="{A751F610-E798-7C4F-9628-7F18DE8B626D}"/>
    <hyperlink ref="A4:B4" location="Skemaoplysninger!A20" display="Skemaoplysninger" xr:uid="{FEDAA50B-24CB-C649-83CA-E6339EB6BCF5}"/>
  </hyperlinks>
  <pageMargins left="0.7" right="0.7" top="0.75" bottom="0.75" header="0.3" footer="0.3"/>
  <pageSetup paperSize="9" scale="58" orientation="landscape" horizontalDpi="0" verticalDpi="0"/>
  <drawing r:id="rId1"/>
  <legacyDrawing r:id="rId2"/>
  <extLst>
    <ext xmlns:x14="http://schemas.microsoft.com/office/spreadsheetml/2009/9/main" uri="{CCE6A557-97BC-4b89-ADB6-D9C93CAAB3DF}">
      <x14:dataValidations xmlns:xm="http://schemas.microsoft.com/office/excel/2006/main" count="1">
        <x14:dataValidation type="list" allowBlank="1" showInputMessage="1" xr:uid="{6B559395-80F7-614F-A76F-E1929355EB28}">
          <x14:formula1>
            <xm:f>August!$A$94:$A$108</xm:f>
          </x14:formula1>
          <xm:sqref>C14:C44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516F3-FFE9-E340-89AB-B455DF2A1DB1}">
  <sheetPr>
    <tabColor rgb="FFFFFF00"/>
    <pageSetUpPr fitToPage="1"/>
  </sheetPr>
  <dimension ref="A1"/>
  <sheetViews>
    <sheetView workbookViewId="0">
      <selection activeCell="Q8" sqref="Q8"/>
    </sheetView>
  </sheetViews>
  <sheetFormatPr baseColWidth="10" defaultRowHeight="16"/>
  <sheetData/>
  <sheetProtection sheet="1" objects="1" scenarios="1"/>
  <pageMargins left="0.7" right="0.7" top="0.75" bottom="0.75" header="0.3" footer="0.3"/>
  <pageSetup paperSize="9" scale="32" orientation="portrait" horizontalDpi="0" verticalDpi="0"/>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pageSetUpPr fitToPage="1"/>
  </sheetPr>
  <dimension ref="A1:N117"/>
  <sheetViews>
    <sheetView topLeftCell="A38" zoomScale="137" zoomScaleNormal="100" workbookViewId="0">
      <selection activeCell="E79" sqref="E79"/>
    </sheetView>
  </sheetViews>
  <sheetFormatPr baseColWidth="10" defaultColWidth="11" defaultRowHeight="16"/>
  <cols>
    <col min="1" max="1" width="8.5" customWidth="1"/>
    <col min="2" max="2" width="10.5" customWidth="1"/>
    <col min="3" max="3" width="15" customWidth="1"/>
    <col min="4" max="6" width="12.5" customWidth="1"/>
    <col min="7" max="9" width="12.6640625" customWidth="1"/>
    <col min="10" max="10" width="14.1640625" customWidth="1"/>
    <col min="11" max="11" width="12.5" customWidth="1"/>
    <col min="12" max="12" width="12.1640625" customWidth="1"/>
    <col min="13" max="17" width="12.6640625" customWidth="1"/>
    <col min="18" max="18" width="22.83203125" customWidth="1"/>
    <col min="19" max="19" width="30.5" customWidth="1"/>
    <col min="21" max="21" width="12" customWidth="1"/>
    <col min="22" max="22" width="13.5" customWidth="1"/>
    <col min="29" max="29" width="12" customWidth="1"/>
    <col min="30" max="30" width="13.5" customWidth="1"/>
    <col min="37" max="37" width="12" customWidth="1"/>
    <col min="38" max="38" width="13.5" customWidth="1"/>
    <col min="45" max="45" width="12" customWidth="1"/>
    <col min="46" max="46" width="13.5" customWidth="1"/>
  </cols>
  <sheetData>
    <row r="1" spans="1:12" ht="37" customHeight="1">
      <c r="C1" s="953" t="s">
        <v>429</v>
      </c>
      <c r="D1" s="953"/>
      <c r="E1" s="953"/>
      <c r="F1" s="953"/>
      <c r="G1" s="953"/>
      <c r="H1" s="953"/>
      <c r="I1" s="953"/>
      <c r="J1" s="953"/>
      <c r="K1" s="348"/>
      <c r="L1" s="348"/>
    </row>
    <row r="2" spans="1:12" ht="56" customHeight="1">
      <c r="A2" s="13"/>
      <c r="B2" s="4"/>
      <c r="C2" s="1373" t="s">
        <v>337</v>
      </c>
      <c r="D2" s="1373"/>
      <c r="E2" s="1373"/>
      <c r="F2" s="1373"/>
      <c r="G2" s="1373"/>
      <c r="H2" s="1373"/>
      <c r="I2" s="1373"/>
      <c r="J2" s="1373"/>
      <c r="K2" s="347"/>
      <c r="L2" s="347"/>
    </row>
    <row r="3" spans="1:12" ht="43" customHeight="1">
      <c r="A3" s="13"/>
      <c r="B3" s="4"/>
      <c r="C3" s="1373" t="s">
        <v>430</v>
      </c>
      <c r="D3" s="1373"/>
      <c r="E3" s="1373"/>
      <c r="F3" s="1373"/>
      <c r="G3" s="1373"/>
      <c r="H3" s="1373"/>
      <c r="I3" s="1373"/>
      <c r="J3" s="1373"/>
      <c r="K3" s="347"/>
      <c r="L3" s="347"/>
    </row>
    <row r="4" spans="1:12" ht="56" customHeight="1">
      <c r="A4" s="13"/>
      <c r="B4" s="4"/>
      <c r="C4" s="1373" t="s">
        <v>706</v>
      </c>
      <c r="D4" s="1373"/>
      <c r="E4" s="1373"/>
      <c r="F4" s="1373"/>
      <c r="G4" s="1373"/>
      <c r="H4" s="1373"/>
      <c r="I4" s="1373"/>
      <c r="J4" s="1373"/>
      <c r="K4" s="347"/>
      <c r="L4" s="347"/>
    </row>
    <row r="5" spans="1:12" ht="62" customHeight="1">
      <c r="A5" s="13"/>
      <c r="B5" s="4"/>
      <c r="C5" s="1386" t="s">
        <v>707</v>
      </c>
      <c r="D5" s="1373"/>
      <c r="E5" s="1373"/>
      <c r="F5" s="1373"/>
      <c r="G5" s="1373"/>
      <c r="H5" s="1373"/>
      <c r="I5" s="1373"/>
      <c r="J5" s="1373"/>
      <c r="K5" s="347"/>
      <c r="L5" s="347"/>
    </row>
    <row r="6" spans="1:12" ht="81" customHeight="1">
      <c r="A6" s="13"/>
      <c r="B6" s="4"/>
      <c r="C6" s="1373" t="s">
        <v>708</v>
      </c>
      <c r="D6" s="1373"/>
      <c r="E6" s="1373"/>
      <c r="F6" s="1373"/>
      <c r="G6" s="1373"/>
      <c r="H6" s="1373"/>
      <c r="I6" s="1373"/>
      <c r="J6" s="1373"/>
      <c r="K6" s="347"/>
      <c r="L6" s="347"/>
    </row>
    <row r="7" spans="1:12" s="6" customFormat="1" ht="24" customHeight="1">
      <c r="A7" s="1388" t="s">
        <v>431</v>
      </c>
      <c r="B7" s="1388"/>
      <c r="C7" s="1387" t="s">
        <v>432</v>
      </c>
      <c r="D7" s="1387"/>
      <c r="E7" s="1387"/>
      <c r="F7" s="1387"/>
      <c r="G7" s="1387"/>
      <c r="H7" s="1387"/>
      <c r="I7" s="1387"/>
      <c r="J7" s="1387"/>
      <c r="K7" s="460"/>
      <c r="L7" s="460"/>
    </row>
    <row r="8" spans="1:12" s="6" customFormat="1" ht="42" customHeight="1" thickBot="1">
      <c r="A8" s="864" t="s">
        <v>689</v>
      </c>
      <c r="B8" s="864"/>
      <c r="C8" s="864"/>
      <c r="D8" s="864"/>
      <c r="E8" s="864"/>
      <c r="F8" s="864"/>
      <c r="G8" s="864"/>
      <c r="H8" s="864"/>
      <c r="I8" s="771"/>
      <c r="J8" s="771"/>
      <c r="K8" s="460"/>
      <c r="L8" s="460"/>
    </row>
    <row r="9" spans="1:12" s="6" customFormat="1" ht="26" customHeight="1" thickBot="1">
      <c r="A9" s="867" t="s">
        <v>495</v>
      </c>
      <c r="B9" s="868"/>
      <c r="C9" s="865" t="s">
        <v>690</v>
      </c>
      <c r="D9" s="866"/>
      <c r="E9" s="871" t="s">
        <v>687</v>
      </c>
      <c r="F9" s="1018"/>
      <c r="G9" s="1461" t="s">
        <v>367</v>
      </c>
      <c r="H9" s="1461"/>
      <c r="I9" s="771"/>
      <c r="J9" s="771"/>
      <c r="K9" s="460"/>
      <c r="L9" s="460"/>
    </row>
    <row r="10" spans="1:12" s="6" customFormat="1" ht="26" customHeight="1" thickBot="1">
      <c r="A10" s="873" t="s">
        <v>231</v>
      </c>
      <c r="B10" s="873"/>
      <c r="C10" s="873" t="s">
        <v>233</v>
      </c>
      <c r="D10" s="873"/>
      <c r="E10" s="873" t="s">
        <v>234</v>
      </c>
      <c r="F10" s="873"/>
      <c r="G10" s="873" t="s">
        <v>235</v>
      </c>
      <c r="H10" s="873"/>
      <c r="I10" s="771"/>
      <c r="J10" s="771"/>
      <c r="K10" s="460"/>
      <c r="L10" s="460"/>
    </row>
    <row r="11" spans="1:12" s="6" customFormat="1" ht="26" customHeight="1" thickBot="1">
      <c r="A11" s="873" t="s">
        <v>279</v>
      </c>
      <c r="B11" s="873"/>
      <c r="C11" s="873" t="s">
        <v>280</v>
      </c>
      <c r="D11" s="873"/>
      <c r="E11" s="873" t="s">
        <v>281</v>
      </c>
      <c r="F11" s="873"/>
      <c r="G11" s="873" t="s">
        <v>282</v>
      </c>
      <c r="H11" s="873"/>
      <c r="I11" s="771"/>
      <c r="J11" s="771"/>
      <c r="K11" s="460"/>
      <c r="L11" s="460"/>
    </row>
    <row r="12" spans="1:12" s="6" customFormat="1" ht="26" customHeight="1" thickBot="1">
      <c r="A12" s="873" t="s">
        <v>283</v>
      </c>
      <c r="B12" s="873"/>
      <c r="C12" s="873" t="s">
        <v>284</v>
      </c>
      <c r="D12" s="873"/>
      <c r="E12" s="873" t="s">
        <v>285</v>
      </c>
      <c r="F12" s="873"/>
      <c r="G12" s="873" t="s">
        <v>286</v>
      </c>
      <c r="H12" s="873"/>
      <c r="I12" s="771"/>
      <c r="J12" s="771"/>
      <c r="K12" s="460"/>
      <c r="L12" s="460"/>
    </row>
    <row r="13" spans="1:12" ht="28" customHeight="1">
      <c r="A13" s="1298">
        <v>1</v>
      </c>
      <c r="B13" s="1390" t="s">
        <v>25</v>
      </c>
      <c r="C13" s="1391"/>
      <c r="D13" s="1391"/>
      <c r="E13" s="1391"/>
      <c r="F13" s="1391"/>
      <c r="G13" s="1391"/>
      <c r="H13" s="1391"/>
      <c r="I13" s="1391"/>
      <c r="J13" s="1392"/>
    </row>
    <row r="14" spans="1:12" ht="20" customHeight="1">
      <c r="A14" s="1299"/>
      <c r="B14" s="1393" t="str">
        <f>"Der er for perioden: "&amp;Stamoplysninger!E16&amp;" - "&amp;Stamoplysninger!G16&amp;" planlagt følgende arbejdstid:"</f>
        <v>Der er for perioden:  -  planlagt følgende arbejdstid:</v>
      </c>
      <c r="C14" s="1394"/>
      <c r="D14" s="1394"/>
      <c r="E14" s="1394"/>
      <c r="F14" s="1394"/>
      <c r="G14" s="1394"/>
      <c r="H14" s="1394"/>
      <c r="I14" s="1394"/>
      <c r="J14" s="1395"/>
      <c r="K14" s="594">
        <v>260</v>
      </c>
    </row>
    <row r="15" spans="1:12" ht="26" customHeight="1">
      <c r="A15" s="1299"/>
      <c r="B15" s="1430" t="str">
        <f>IF(Stamoplysninger!E13&gt;0,Stamoplysninger!E13,"")</f>
        <v>Beate Simonsen</v>
      </c>
      <c r="C15" s="1431"/>
      <c r="D15" s="1431"/>
      <c r="E15" s="1431"/>
      <c r="F15" s="1431"/>
      <c r="G15" s="1431"/>
      <c r="H15" s="1431"/>
      <c r="I15" s="1431"/>
      <c r="J15" s="1432"/>
    </row>
    <row r="16" spans="1:12" ht="32" customHeight="1">
      <c r="A16" s="1299"/>
      <c r="B16" s="1383"/>
      <c r="C16" s="1384"/>
      <c r="D16" s="1384"/>
      <c r="E16" s="1384"/>
      <c r="F16" s="1385"/>
      <c r="G16" s="1389" t="s">
        <v>10</v>
      </c>
      <c r="H16" s="1389"/>
      <c r="I16" s="1377" t="s">
        <v>30</v>
      </c>
      <c r="J16" s="1378"/>
    </row>
    <row r="17" spans="1:14" ht="32" customHeight="1">
      <c r="A17" s="1299"/>
      <c r="B17" s="1396" t="s">
        <v>212</v>
      </c>
      <c r="C17" s="1343"/>
      <c r="D17" s="1343"/>
      <c r="E17" s="1343"/>
      <c r="F17" s="1344"/>
      <c r="G17" s="1375">
        <f>August!$D$83+September!$D$82+Oktober!$D$83+November!$D$82+December!$D$83+Januar!$D$83+Februar!$D$81+Marts!$D$83+April!$D$82+Maj!$D$83+Juni!$D$82+Juli!$D$83</f>
        <v>260</v>
      </c>
      <c r="H17" s="1375"/>
      <c r="I17" s="1379">
        <f>IF(Stamoplysninger!E17="Ja",1924/K14*G17*Stamoplysninger!E20,Arbejdstidsoversigt!G17*7.4*Stamoplysninger!E20)</f>
        <v>1924</v>
      </c>
      <c r="J17" s="1380"/>
    </row>
    <row r="18" spans="1:14" ht="32" customHeight="1">
      <c r="A18" s="1299"/>
      <c r="B18" s="1396" t="s">
        <v>213</v>
      </c>
      <c r="C18" s="1343"/>
      <c r="D18" s="1343"/>
      <c r="E18" s="1343"/>
      <c r="F18" s="1344"/>
      <c r="G18" s="1375">
        <f>August!$D$77+September!$D$76+Oktober!$D$77+November!$D$76+December!$D$77+Januar!$D$77+Februar!$D$75+Marts!$D$77+April!$D$76+Maj!$D$77+Juni!$D$76+Juli!$D$77</f>
        <v>7</v>
      </c>
      <c r="H18" s="1375"/>
      <c r="I18" s="1379">
        <f>G18*7.4*Stamoplysninger!E20</f>
        <v>51.800000000000004</v>
      </c>
      <c r="J18" s="1380"/>
    </row>
    <row r="19" spans="1:14" ht="32" customHeight="1">
      <c r="A19" s="1299"/>
      <c r="B19" s="1396" t="s">
        <v>214</v>
      </c>
      <c r="C19" s="1343"/>
      <c r="D19" s="1343"/>
      <c r="E19" s="1343"/>
      <c r="F19" s="1344"/>
      <c r="G19" s="1375">
        <f>August!$D$78+September!$D$77+Oktober!$D$78+November!$D$77+December!$D$78+Januar!$D$78+Februar!$D$76+Marts!$D$78+April!$D$77+Maj!$D$78+Juni!$D$77+Juli!$D$78</f>
        <v>25</v>
      </c>
      <c r="H19" s="1375"/>
      <c r="I19" s="1379">
        <f>G19*Stamoplysninger!E20*7.4</f>
        <v>185</v>
      </c>
      <c r="J19" s="1380"/>
    </row>
    <row r="20" spans="1:14" ht="32" customHeight="1" thickBot="1">
      <c r="A20" s="1299"/>
      <c r="B20" s="1397" t="s">
        <v>25</v>
      </c>
      <c r="C20" s="1398"/>
      <c r="D20" s="1398"/>
      <c r="E20" s="1398"/>
      <c r="F20" s="1399"/>
      <c r="G20" s="1376">
        <f>G17-G18-G19</f>
        <v>228</v>
      </c>
      <c r="H20" s="1376"/>
      <c r="I20" s="1381">
        <f>I17-I18-I19</f>
        <v>1687.2</v>
      </c>
      <c r="J20" s="1382"/>
    </row>
    <row r="21" spans="1:14" ht="26" customHeight="1" thickBot="1">
      <c r="A21" s="1300"/>
      <c r="B21" s="1314" t="str">
        <f>"Normperiodens "&amp;G20&amp;" dage fordeler sig således:"</f>
        <v>Normperiodens 228 dage fordeler sig således:</v>
      </c>
      <c r="C21" s="1315"/>
      <c r="D21" s="1315"/>
      <c r="E21" s="1315"/>
      <c r="F21" s="1315"/>
      <c r="G21" s="1315"/>
      <c r="H21" s="1315"/>
      <c r="I21" s="1315"/>
      <c r="J21" s="1316"/>
    </row>
    <row r="22" spans="1:14" ht="26" customHeight="1">
      <c r="A22" s="1300"/>
      <c r="B22" s="1301" t="s">
        <v>624</v>
      </c>
      <c r="C22" s="1302"/>
      <c r="D22" s="1302"/>
      <c r="E22" s="1302"/>
      <c r="F22" s="1302"/>
      <c r="G22" s="1302"/>
      <c r="H22" s="1302"/>
      <c r="I22" s="1303">
        <f>Aar!AE37</f>
        <v>6</v>
      </c>
      <c r="J22" s="1304" t="e">
        <f>H22=August!C28+#REF!+#REF!+#REF!+#REF!+#REF!+#REF!+#REF!+#REF!+#REF!+#REF!+#REF!</f>
        <v>#VALUE!</v>
      </c>
    </row>
    <row r="23" spans="1:14" ht="26" customHeight="1">
      <c r="A23" s="1300"/>
      <c r="B23" s="1305" t="s">
        <v>175</v>
      </c>
      <c r="C23" s="1306"/>
      <c r="D23" s="1306"/>
      <c r="E23" s="1306"/>
      <c r="F23" s="1306"/>
      <c r="G23" s="1306"/>
      <c r="H23" s="1306"/>
      <c r="I23" s="1307">
        <f>Aar!AM35</f>
        <v>24</v>
      </c>
      <c r="J23" s="1308" t="e">
        <f>H23=August!C29+#REF!+#REF!+#REF!+#REF!+#REF!+#REF!+#REF!+#REF!+#REF!+#REF!+#REF!</f>
        <v>#VALUE!</v>
      </c>
    </row>
    <row r="24" spans="1:14" ht="26" customHeight="1">
      <c r="A24" s="1300"/>
      <c r="B24" s="1305" t="s">
        <v>409</v>
      </c>
      <c r="C24" s="1306"/>
      <c r="D24" s="1306"/>
      <c r="E24" s="1306"/>
      <c r="F24" s="1306"/>
      <c r="G24" s="1306"/>
      <c r="H24" s="1306"/>
      <c r="I24" s="1307">
        <f>Aar!AV37</f>
        <v>0</v>
      </c>
      <c r="J24" s="1308" t="e">
        <f>H24=August!C30+#REF!+#REF!+#REF!+#REF!+#REF!+#REF!+#REF!+#REF!+#REF!+#REF!+#REF!</f>
        <v>#VALUE!</v>
      </c>
    </row>
    <row r="25" spans="1:14" ht="23" customHeight="1">
      <c r="A25" s="1300"/>
      <c r="B25" s="1317" t="s">
        <v>324</v>
      </c>
      <c r="C25" s="1318"/>
      <c r="D25" s="1318"/>
      <c r="E25" s="1318"/>
      <c r="F25" s="1318"/>
      <c r="G25" s="1318"/>
      <c r="H25" s="1318"/>
      <c r="I25" s="1319">
        <f>I44</f>
        <v>5</v>
      </c>
      <c r="J25" s="1320" t="e">
        <f>H25=August!C30+#REF!+#REF!+#REF!+#REF!+#REF!+#REF!+#REF!+#REF!+#REF!+#REF!+#REF!</f>
        <v>#VALUE!</v>
      </c>
    </row>
    <row r="26" spans="1:14" ht="29" customHeight="1">
      <c r="A26" s="1300"/>
      <c r="B26" s="1317" t="s">
        <v>241</v>
      </c>
      <c r="C26" s="1318"/>
      <c r="D26" s="1318"/>
      <c r="E26" s="1318"/>
      <c r="F26" s="1318"/>
      <c r="G26" s="1318"/>
      <c r="H26" s="1318"/>
      <c r="I26" s="1321">
        <f>I45</f>
        <v>172</v>
      </c>
      <c r="J26" s="1322"/>
    </row>
    <row r="27" spans="1:14" ht="29" customHeight="1">
      <c r="A27" s="1300"/>
      <c r="B27" s="1317" t="s">
        <v>242</v>
      </c>
      <c r="C27" s="1318"/>
      <c r="D27" s="1318"/>
      <c r="E27" s="1318"/>
      <c r="F27" s="1318"/>
      <c r="G27" s="1318"/>
      <c r="H27" s="1318"/>
      <c r="I27" s="1321">
        <f>I46</f>
        <v>22</v>
      </c>
      <c r="J27" s="1322"/>
    </row>
    <row r="28" spans="1:14" ht="21" customHeight="1" thickBot="1">
      <c r="A28" s="1300"/>
      <c r="B28" s="1323" t="s">
        <v>73</v>
      </c>
      <c r="C28" s="1324"/>
      <c r="D28" s="1324"/>
      <c r="E28" s="1324"/>
      <c r="F28" s="1324"/>
      <c r="G28" s="1324"/>
      <c r="H28" s="1324"/>
      <c r="I28" s="1325">
        <f>I25+I26+I27</f>
        <v>199</v>
      </c>
      <c r="J28" s="1326"/>
      <c r="K28" s="1309" t="str">
        <f>IF(I28&lt;&gt;200,"OBS der er normalt 200 skoledage i et skoleår"," ")</f>
        <v>OBS der er normalt 200 skoledage i et skoleår</v>
      </c>
      <c r="L28" s="1309"/>
      <c r="M28" s="1309"/>
      <c r="N28" s="1309"/>
    </row>
    <row r="29" spans="1:14" ht="16" customHeight="1" thickBot="1">
      <c r="A29" s="753"/>
      <c r="B29" s="4"/>
      <c r="C29" s="754"/>
      <c r="D29" s="754"/>
      <c r="E29" s="754"/>
      <c r="F29" s="754"/>
      <c r="G29" s="754"/>
      <c r="H29" s="754"/>
      <c r="J29" s="755"/>
    </row>
    <row r="30" spans="1:14" ht="25" customHeight="1">
      <c r="A30" s="1335">
        <v>2</v>
      </c>
      <c r="B30" s="1336" t="str">
        <f>""&amp;Stamoplysninger!E13&amp;"'s arbejdstid for normperioden "&amp;Stamoplysninger!E16&amp;" - "&amp;Stamoplysninger!G16&amp;" fordeler sig således:"</f>
        <v>Beate Simonsen's arbejdstid for normperioden  -  fordeler sig således:</v>
      </c>
      <c r="C30" s="1337"/>
      <c r="D30" s="1337"/>
      <c r="E30" s="1337"/>
      <c r="F30" s="1337"/>
      <c r="G30" s="1337"/>
      <c r="H30" s="1337"/>
      <c r="I30" s="1337"/>
      <c r="J30" s="1338"/>
    </row>
    <row r="31" spans="1:14" ht="15" customHeight="1">
      <c r="A31" s="1300"/>
      <c r="B31" s="1339" t="s">
        <v>330</v>
      </c>
      <c r="C31" s="1340"/>
      <c r="D31" s="1340"/>
      <c r="E31" s="1340"/>
      <c r="F31" s="1340"/>
      <c r="G31" s="1340"/>
      <c r="H31" s="1340"/>
      <c r="I31" s="1340"/>
      <c r="J31" s="1341"/>
    </row>
    <row r="32" spans="1:14" ht="17" customHeight="1">
      <c r="A32" s="1300"/>
      <c r="B32" s="468"/>
      <c r="C32" s="349"/>
      <c r="D32" s="349"/>
      <c r="E32" s="349"/>
      <c r="F32" s="349"/>
      <c r="G32" s="349"/>
      <c r="H32" s="349"/>
      <c r="I32" s="350"/>
      <c r="J32" s="351" t="s">
        <v>30</v>
      </c>
    </row>
    <row r="33" spans="1:14" ht="17" customHeight="1">
      <c r="A33" s="1300"/>
      <c r="B33" s="1342" t="s">
        <v>56</v>
      </c>
      <c r="C33" s="1343"/>
      <c r="D33" s="1343"/>
      <c r="E33" s="1343"/>
      <c r="F33" s="1343"/>
      <c r="G33" s="1343"/>
      <c r="H33" s="1343"/>
      <c r="I33" s="1344"/>
      <c r="J33" s="352">
        <f>J53</f>
        <v>1687.2</v>
      </c>
    </row>
    <row r="34" spans="1:14" ht="17" customHeight="1">
      <c r="A34" s="1300"/>
      <c r="B34" s="1342" t="s">
        <v>312</v>
      </c>
      <c r="C34" s="1343"/>
      <c r="D34" s="1343"/>
      <c r="E34" s="1343"/>
      <c r="F34" s="1343"/>
      <c r="G34" s="1343"/>
      <c r="H34" s="1343"/>
      <c r="I34" s="1344"/>
      <c r="J34" s="352">
        <f>I72</f>
        <v>137</v>
      </c>
    </row>
    <row r="35" spans="1:14" ht="17" customHeight="1">
      <c r="A35" s="1300"/>
      <c r="B35" s="1345" t="s">
        <v>89</v>
      </c>
      <c r="C35" s="1346"/>
      <c r="D35" s="1346"/>
      <c r="E35" s="1346"/>
      <c r="F35" s="1346"/>
      <c r="G35" s="1346"/>
      <c r="H35" s="1346"/>
      <c r="I35" s="1347"/>
      <c r="J35" s="352">
        <f t="shared" ref="J35:J40" si="0">J54</f>
        <v>43</v>
      </c>
    </row>
    <row r="36" spans="1:14" ht="17" customHeight="1">
      <c r="A36" s="1300"/>
      <c r="B36" s="1345" t="s">
        <v>121</v>
      </c>
      <c r="C36" s="1346"/>
      <c r="D36" s="1346"/>
      <c r="E36" s="1346"/>
      <c r="F36" s="1346"/>
      <c r="G36" s="1346"/>
      <c r="H36" s="1346"/>
      <c r="I36" s="1347"/>
      <c r="J36" s="352">
        <f t="shared" si="0"/>
        <v>83.649999999999991</v>
      </c>
    </row>
    <row r="37" spans="1:14" ht="17" customHeight="1">
      <c r="A37" s="1300"/>
      <c r="B37" s="1345" t="s">
        <v>167</v>
      </c>
      <c r="C37" s="1346"/>
      <c r="D37" s="1346"/>
      <c r="E37" s="1346"/>
      <c r="F37" s="1346"/>
      <c r="G37" s="1346"/>
      <c r="H37" s="1346"/>
      <c r="I37" s="1347"/>
      <c r="J37" s="352">
        <f t="shared" si="0"/>
        <v>23</v>
      </c>
    </row>
    <row r="38" spans="1:14" ht="16" customHeight="1">
      <c r="A38" s="1300"/>
      <c r="B38" s="469" t="s">
        <v>407</v>
      </c>
      <c r="C38" s="438"/>
      <c r="D38" s="438"/>
      <c r="E38" s="438"/>
      <c r="F38" s="438"/>
      <c r="G38" s="438"/>
      <c r="H38" s="438"/>
      <c r="I38" s="439"/>
      <c r="J38" s="352">
        <f t="shared" si="0"/>
        <v>0</v>
      </c>
    </row>
    <row r="39" spans="1:14" ht="17" customHeight="1">
      <c r="A39" s="1300"/>
      <c r="B39" s="1345" t="s">
        <v>275</v>
      </c>
      <c r="C39" s="1346"/>
      <c r="D39" s="1346"/>
      <c r="E39" s="1346"/>
      <c r="F39" s="1346"/>
      <c r="G39" s="1346"/>
      <c r="H39" s="1346"/>
      <c r="I39" s="1347"/>
      <c r="J39" s="352">
        <f t="shared" si="0"/>
        <v>10</v>
      </c>
    </row>
    <row r="40" spans="1:14" ht="17" customHeight="1" thickBot="1">
      <c r="A40" s="1300"/>
      <c r="B40" s="1348" t="s">
        <v>441</v>
      </c>
      <c r="C40" s="1349"/>
      <c r="D40" s="1349"/>
      <c r="E40" s="1349"/>
      <c r="F40" s="1349"/>
      <c r="G40" s="1349"/>
      <c r="H40" s="1349"/>
      <c r="I40" s="1350"/>
      <c r="J40" s="352">
        <f t="shared" si="0"/>
        <v>-5</v>
      </c>
    </row>
    <row r="41" spans="1:14" ht="17" customHeight="1">
      <c r="A41" s="1300"/>
      <c r="B41" s="1351" t="str">
        <f>"Rest arbejdstid til i alt "&amp;I45&amp;" skemadage"</f>
        <v>Rest arbejdstid til i alt 172 skemadage</v>
      </c>
      <c r="C41" s="1352"/>
      <c r="D41" s="1352"/>
      <c r="E41" s="1352"/>
      <c r="F41" s="1352"/>
      <c r="G41" s="1352"/>
      <c r="H41" s="1352"/>
      <c r="I41" s="1353"/>
      <c r="J41" s="220">
        <f>J33-J35-J36-J37-J38-J39-J40-J34</f>
        <v>1395.55</v>
      </c>
    </row>
    <row r="42" spans="1:14" ht="26" hidden="1" customHeight="1">
      <c r="A42" s="724"/>
      <c r="B42" s="1453" t="str">
        <f>"Arbejdstiden til skemadage der udgør "&amp;J41&amp;" fordeles på "&amp;I45&amp;" skemadage i skema 3."</f>
        <v>Arbejdstiden til skemadage der udgør 1395,55 fordeles på 172 skemadage i skema 3.</v>
      </c>
      <c r="C42" s="1337"/>
      <c r="D42" s="1337"/>
      <c r="E42" s="1337"/>
      <c r="F42" s="1337"/>
      <c r="G42" s="1337"/>
      <c r="H42" s="1337"/>
      <c r="I42" s="1337"/>
      <c r="J42" s="1338"/>
    </row>
    <row r="43" spans="1:14" ht="19" hidden="1" customHeight="1" thickBot="1">
      <c r="A43" s="724"/>
      <c r="B43" s="1454" t="s">
        <v>338</v>
      </c>
      <c r="C43" s="1455"/>
      <c r="D43" s="1455"/>
      <c r="E43" s="1455"/>
      <c r="F43" s="1455"/>
      <c r="G43" s="1455"/>
      <c r="H43" s="1455"/>
      <c r="I43" s="1455"/>
      <c r="J43" s="1456"/>
    </row>
    <row r="44" spans="1:14" ht="23" hidden="1" customHeight="1">
      <c r="A44" s="724"/>
      <c r="B44" s="1457" t="s">
        <v>324</v>
      </c>
      <c r="C44" s="1458"/>
      <c r="D44" s="1458"/>
      <c r="E44" s="1458"/>
      <c r="F44" s="1458"/>
      <c r="G44" s="1458"/>
      <c r="H44" s="1458"/>
      <c r="I44" s="1459">
        <f>I68</f>
        <v>5</v>
      </c>
      <c r="J44" s="1460" t="e">
        <f>H44=August!C49+#REF!+#REF!+#REF!+#REF!+#REF!+#REF!+#REF!+#REF!+#REF!+#REF!+#REF!</f>
        <v>#REF!</v>
      </c>
    </row>
    <row r="45" spans="1:14" ht="29" hidden="1" customHeight="1">
      <c r="A45" s="724"/>
      <c r="B45" s="1327" t="s">
        <v>241</v>
      </c>
      <c r="C45" s="1328"/>
      <c r="D45" s="1328"/>
      <c r="E45" s="1328"/>
      <c r="F45" s="1328"/>
      <c r="G45" s="1328"/>
      <c r="H45" s="1328"/>
      <c r="I45" s="1329">
        <f>I69</f>
        <v>172</v>
      </c>
      <c r="J45" s="1330"/>
    </row>
    <row r="46" spans="1:14" ht="29" hidden="1" customHeight="1">
      <c r="A46" s="724"/>
      <c r="B46" s="1327" t="s">
        <v>242</v>
      </c>
      <c r="C46" s="1328"/>
      <c r="D46" s="1328"/>
      <c r="E46" s="1328"/>
      <c r="F46" s="1328"/>
      <c r="G46" s="1328"/>
      <c r="H46" s="1328"/>
      <c r="I46" s="1329">
        <f>I70</f>
        <v>22</v>
      </c>
      <c r="J46" s="1330"/>
    </row>
    <row r="47" spans="1:14" ht="21" hidden="1" customHeight="1">
      <c r="A47" s="724"/>
      <c r="B47" s="1331" t="s">
        <v>73</v>
      </c>
      <c r="C47" s="1332"/>
      <c r="D47" s="1332"/>
      <c r="E47" s="1332"/>
      <c r="F47" s="1332"/>
      <c r="G47" s="1332"/>
      <c r="H47" s="1332"/>
      <c r="I47" s="1333">
        <f>I44+I45+I46</f>
        <v>199</v>
      </c>
      <c r="J47" s="1334"/>
      <c r="K47" s="1309" t="str">
        <f>IF(I47&lt;&gt;200,"OBS der er normalt 200 skoledage i et skoleår"," ")</f>
        <v>OBS der er normalt 200 skoledage i et skoleår</v>
      </c>
      <c r="L47" s="1309"/>
      <c r="M47" s="1309"/>
      <c r="N47" s="1309"/>
    </row>
    <row r="48" spans="1:14" ht="33" customHeight="1" thickBot="1">
      <c r="A48" s="724"/>
      <c r="B48" s="1310" t="str">
        <f>"Gns. arbejdstid på "&amp;I45&amp;" skoleskemadage der fordeles herunder. (Check i række104 at timerne anvendes og rammesættes i skema 3)"</f>
        <v>Gns. arbejdstid på 172 skoleskemadage der fordeles herunder. (Check i række104 at timerne anvendes og rammesættes i skema 3)</v>
      </c>
      <c r="C48" s="1311"/>
      <c r="D48" s="1311"/>
      <c r="E48" s="1311"/>
      <c r="F48" s="1311"/>
      <c r="G48" s="1311"/>
      <c r="H48" s="1311"/>
      <c r="I48" s="1312">
        <f>I73</f>
        <v>8.1136627906976742</v>
      </c>
      <c r="J48" s="1313"/>
    </row>
    <row r="49" spans="1:11" s="692" customFormat="1" ht="16" hidden="1" customHeight="1" thickBot="1">
      <c r="A49" s="708"/>
      <c r="B49" s="756"/>
      <c r="C49" s="757"/>
      <c r="D49" s="757"/>
      <c r="E49" s="757"/>
      <c r="F49" s="757"/>
      <c r="G49" s="757"/>
      <c r="H49" s="757"/>
      <c r="J49" s="758"/>
    </row>
    <row r="50" spans="1:11" s="692" customFormat="1" ht="25" hidden="1" customHeight="1">
      <c r="A50" s="1415">
        <v>2</v>
      </c>
      <c r="B50" s="1400" t="s">
        <v>329</v>
      </c>
      <c r="C50" s="1401"/>
      <c r="D50" s="1401"/>
      <c r="E50" s="1401"/>
      <c r="F50" s="1401"/>
      <c r="G50" s="1401"/>
      <c r="H50" s="1401"/>
      <c r="I50" s="1401"/>
      <c r="J50" s="1402"/>
      <c r="K50" s="692" t="s">
        <v>627</v>
      </c>
    </row>
    <row r="51" spans="1:11" s="692" customFormat="1" ht="15" hidden="1" customHeight="1">
      <c r="A51" s="1416"/>
      <c r="B51" s="1421" t="s">
        <v>330</v>
      </c>
      <c r="C51" s="1422"/>
      <c r="D51" s="1422"/>
      <c r="E51" s="1422"/>
      <c r="F51" s="1422"/>
      <c r="G51" s="1422"/>
      <c r="H51" s="1422"/>
      <c r="I51" s="1422"/>
      <c r="J51" s="1423"/>
    </row>
    <row r="52" spans="1:11" s="692" customFormat="1" ht="17" hidden="1" customHeight="1">
      <c r="A52" s="1416"/>
      <c r="B52" s="693"/>
      <c r="C52" s="694"/>
      <c r="D52" s="694"/>
      <c r="E52" s="694"/>
      <c r="F52" s="694"/>
      <c r="G52" s="694"/>
      <c r="H52" s="694"/>
      <c r="I52" s="695"/>
      <c r="J52" s="696" t="s">
        <v>30</v>
      </c>
    </row>
    <row r="53" spans="1:11" s="692" customFormat="1" ht="17" hidden="1" customHeight="1">
      <c r="A53" s="1416"/>
      <c r="B53" s="1424" t="s">
        <v>56</v>
      </c>
      <c r="C53" s="1425"/>
      <c r="D53" s="1425"/>
      <c r="E53" s="1425"/>
      <c r="F53" s="1425"/>
      <c r="G53" s="1425"/>
      <c r="H53" s="1425"/>
      <c r="I53" s="1426"/>
      <c r="J53" s="697">
        <f>I20</f>
        <v>1687.2</v>
      </c>
    </row>
    <row r="54" spans="1:11" s="692" customFormat="1" ht="17" hidden="1" customHeight="1">
      <c r="A54" s="1416"/>
      <c r="B54" s="1427" t="s">
        <v>89</v>
      </c>
      <c r="C54" s="1428"/>
      <c r="D54" s="1428"/>
      <c r="E54" s="1428"/>
      <c r="F54" s="1428"/>
      <c r="G54" s="1428"/>
      <c r="H54" s="1428"/>
      <c r="I54" s="1429"/>
      <c r="J54" s="697">
        <f>August!AC46+September!AC44+Oktober!AC45+November!AC44+December!AC45+Januar!AC45+Februar!AC43+Marts!AC45+April!AC44+Maj!AC45+Juni!AC44+Juli!AC45</f>
        <v>43</v>
      </c>
    </row>
    <row r="55" spans="1:11" s="692" customFormat="1" ht="17" hidden="1" customHeight="1">
      <c r="A55" s="1416"/>
      <c r="B55" s="1427" t="s">
        <v>121</v>
      </c>
      <c r="C55" s="1428"/>
      <c r="D55" s="1428"/>
      <c r="E55" s="1428"/>
      <c r="F55" s="1428"/>
      <c r="G55" s="1428"/>
      <c r="H55" s="1428"/>
      <c r="I55" s="1429"/>
      <c r="J55" s="697">
        <f>August!AD46+August!AE46+September!AD44+September!AE44+Oktober!AD45+Oktober!AE45+November!AD44+November!AE44+December!AD45+December!AE45+Januar!AD45+Januar!AE45+Februar!AD43+Februar!AE43+Marts!AD45+Marts!AE45+April!AD44+April!AE44+Maj!AD45+Maj!AE45+Juni!AD44+Juni!AE44+Juli!AD45+Juli!AE45</f>
        <v>83.649999999999991</v>
      </c>
    </row>
    <row r="56" spans="1:11" s="692" customFormat="1" ht="17" hidden="1" customHeight="1">
      <c r="A56" s="1416"/>
      <c r="B56" s="1427" t="s">
        <v>167</v>
      </c>
      <c r="C56" s="1428"/>
      <c r="D56" s="1428"/>
      <c r="E56" s="1428"/>
      <c r="F56" s="1428"/>
      <c r="G56" s="1428"/>
      <c r="H56" s="1428"/>
      <c r="I56" s="1429"/>
      <c r="J56" s="697">
        <f>August!R46+September!R44+Oktober!R45+November!R44+December!R45+Januar!R45+Februar!R43+Marts!R45+April!R44+Maj!R45+Juni!R44+Juli!R45+August!V111+September!V109+Oktober!V111+November!V109+December!V111+Januar!V111+Februar!V108+Marts!V111+April!V109+Maj!V111+Juni!V109+Juli!V111</f>
        <v>23</v>
      </c>
    </row>
    <row r="57" spans="1:11" s="692" customFormat="1" ht="16" hidden="1" customHeight="1">
      <c r="A57" s="1416"/>
      <c r="B57" s="698" t="s">
        <v>407</v>
      </c>
      <c r="C57" s="699"/>
      <c r="D57" s="699"/>
      <c r="E57" s="699"/>
      <c r="F57" s="699"/>
      <c r="G57" s="699"/>
      <c r="H57" s="699"/>
      <c r="I57" s="700"/>
      <c r="J57" s="701">
        <f>August!AF46+September!AF44+Oktober!AF45+November!AF44+December!AF45+Januar!AF45+Februar!AF43+Marts!AF45+April!AF44+Maj!AF45+Juni!AF44+Juli!AF45</f>
        <v>0</v>
      </c>
    </row>
    <row r="58" spans="1:11" s="692" customFormat="1" ht="17" hidden="1" customHeight="1">
      <c r="A58" s="1416"/>
      <c r="B58" s="1427" t="s">
        <v>275</v>
      </c>
      <c r="C58" s="1428"/>
      <c r="D58" s="1428"/>
      <c r="E58" s="1428"/>
      <c r="F58" s="1428"/>
      <c r="G58" s="1428"/>
      <c r="H58" s="1428"/>
      <c r="I58" s="1429"/>
      <c r="J58" s="702">
        <f>August!I55+September!I53+Oktober!I54+November!I53+December!I54+Januar!I54+Februar!I52+Marts!I54+April!I53+Maj!I54+Juni!I53+Juli!I54</f>
        <v>10</v>
      </c>
    </row>
    <row r="59" spans="1:11" s="692" customFormat="1" ht="17" hidden="1" customHeight="1" thickBot="1">
      <c r="A59" s="1416"/>
      <c r="B59" s="1450" t="s">
        <v>441</v>
      </c>
      <c r="C59" s="1451"/>
      <c r="D59" s="1451"/>
      <c r="E59" s="1451"/>
      <c r="F59" s="1451"/>
      <c r="G59" s="1451"/>
      <c r="H59" s="1451"/>
      <c r="I59" s="1452"/>
      <c r="J59" s="703">
        <f>August!I54+September!I52+Oktober!I53+November!I52+December!I53+Januar!I53+Februar!I51+Marts!I53+April!I52+Maj!I53+Juni!I52+Juli!I53</f>
        <v>-5</v>
      </c>
    </row>
    <row r="60" spans="1:11" s="692" customFormat="1" ht="17" hidden="1" customHeight="1">
      <c r="A60" s="1416"/>
      <c r="B60" s="1447" t="s">
        <v>331</v>
      </c>
      <c r="C60" s="1448"/>
      <c r="D60" s="1448"/>
      <c r="E60" s="1448"/>
      <c r="F60" s="1448"/>
      <c r="G60" s="1448"/>
      <c r="H60" s="1448"/>
      <c r="I60" s="1449"/>
      <c r="J60" s="704">
        <f>J53-J54-J55-J56-J57-J58-J59</f>
        <v>1532.55</v>
      </c>
    </row>
    <row r="61" spans="1:11" s="692" customFormat="1" ht="17" hidden="1" customHeight="1">
      <c r="A61" s="1416"/>
      <c r="B61" s="1427" t="s">
        <v>243</v>
      </c>
      <c r="C61" s="1428"/>
      <c r="D61" s="1428"/>
      <c r="E61" s="1428"/>
      <c r="F61" s="1428"/>
      <c r="G61" s="1428"/>
      <c r="H61" s="1428"/>
      <c r="I61" s="1429"/>
      <c r="J61" s="705">
        <f>Skemaoplysninger!BD53</f>
        <v>658.25</v>
      </c>
    </row>
    <row r="62" spans="1:11" s="692" customFormat="1" ht="17" hidden="1" customHeight="1">
      <c r="A62" s="1416"/>
      <c r="B62" s="1427" t="s">
        <v>332</v>
      </c>
      <c r="C62" s="1428"/>
      <c r="D62" s="1428"/>
      <c r="E62" s="1428"/>
      <c r="F62" s="1428"/>
      <c r="G62" s="1428"/>
      <c r="H62" s="1428"/>
      <c r="I62" s="1429"/>
      <c r="J62" s="702">
        <f>August!BE46+August!BF46+September!BE44+September!BF44+Oktober!BE45+Oktober!BF45+November!BE44+November!BF44+December!BE45+December!BF45+Januar!BE45+Januar!BF45+Februar!BE43+Februar!BF43+Marts!BE45+Marts!BF45+April!BE44+April!BF44+Maj!BE45+Maj!BF45+Juni!BE44+Juni!BF44+Juli!BE45+Juli!BF45</f>
        <v>80.25</v>
      </c>
    </row>
    <row r="63" spans="1:11" s="692" customFormat="1" ht="17" hidden="1" customHeight="1">
      <c r="A63" s="1416"/>
      <c r="B63" s="1427" t="s">
        <v>333</v>
      </c>
      <c r="C63" s="1428"/>
      <c r="D63" s="1428"/>
      <c r="E63" s="1428"/>
      <c r="F63" s="1428"/>
      <c r="G63" s="1428"/>
      <c r="H63" s="1428"/>
      <c r="I63" s="1429"/>
      <c r="J63" s="706">
        <f>IF(Stamoplysninger!H34="Ja",Stamoplysninger!H35/200*I71,Skemaoplysninger!BD56+Skemaoplysninger!BD57)</f>
        <v>245.16666666666666</v>
      </c>
    </row>
    <row r="64" spans="1:11" s="692" customFormat="1" ht="34" hidden="1" customHeight="1" thickBot="1">
      <c r="A64" s="1416"/>
      <c r="B64" s="1434" t="s">
        <v>442</v>
      </c>
      <c r="C64" s="1435"/>
      <c r="D64" s="1435"/>
      <c r="E64" s="1435"/>
      <c r="F64" s="1435"/>
      <c r="G64" s="1435"/>
      <c r="H64" s="1435"/>
      <c r="I64" s="1436"/>
      <c r="J64" s="707">
        <f>J60-J61-J62-J63</f>
        <v>548.88333333333333</v>
      </c>
    </row>
    <row r="65" spans="1:14" s="692" customFormat="1" ht="34" hidden="1" customHeight="1" thickBot="1">
      <c r="A65" s="708"/>
      <c r="B65" s="759"/>
      <c r="C65" s="759"/>
      <c r="D65" s="759"/>
      <c r="E65" s="759"/>
      <c r="F65" s="759"/>
      <c r="G65" s="759"/>
      <c r="H65" s="759"/>
      <c r="I65" s="759"/>
      <c r="J65" s="760"/>
      <c r="K65" s="709"/>
    </row>
    <row r="66" spans="1:14" s="692" customFormat="1" ht="26" hidden="1" customHeight="1">
      <c r="A66" s="1412" t="s">
        <v>403</v>
      </c>
      <c r="B66" s="1442" t="s">
        <v>334</v>
      </c>
      <c r="C66" s="1443"/>
      <c r="D66" s="1443"/>
      <c r="E66" s="1443"/>
      <c r="F66" s="1443"/>
      <c r="G66" s="1443"/>
      <c r="H66" s="1443"/>
      <c r="I66" s="1443"/>
      <c r="J66" s="1444"/>
      <c r="K66" s="692" t="s">
        <v>628</v>
      </c>
    </row>
    <row r="67" spans="1:14" s="692" customFormat="1" ht="19" hidden="1" customHeight="1" thickBot="1">
      <c r="A67" s="1413"/>
      <c r="B67" s="1439" t="s">
        <v>338</v>
      </c>
      <c r="C67" s="1440"/>
      <c r="D67" s="1440"/>
      <c r="E67" s="1440"/>
      <c r="F67" s="1440"/>
      <c r="G67" s="1440"/>
      <c r="H67" s="1440"/>
      <c r="I67" s="1440"/>
      <c r="J67" s="1441"/>
    </row>
    <row r="68" spans="1:14" s="692" customFormat="1" ht="23" hidden="1" customHeight="1">
      <c r="A68" s="1413"/>
      <c r="B68" s="1445" t="s">
        <v>324</v>
      </c>
      <c r="C68" s="1446"/>
      <c r="D68" s="1446"/>
      <c r="E68" s="1446"/>
      <c r="F68" s="1446"/>
      <c r="G68" s="1446"/>
      <c r="H68" s="1446"/>
      <c r="I68" s="1417">
        <f>August!D74+September!D73+Oktober!D74+November!D73+December!D74+Januar!D74+Februar!D72+Marts!D74+April!D73+Maj!D74+Juni!D73+Juli!D74</f>
        <v>5</v>
      </c>
      <c r="J68" s="1418" t="e">
        <f>H68=August!C74+#REF!+#REF!+#REF!+#REF!+#REF!+#REF!+#REF!+#REF!+#REF!+#REF!+#REF!</f>
        <v>#REF!</v>
      </c>
    </row>
    <row r="69" spans="1:14" s="692" customFormat="1" ht="29" hidden="1" customHeight="1">
      <c r="A69" s="1413"/>
      <c r="B69" s="1437" t="s">
        <v>241</v>
      </c>
      <c r="C69" s="1438"/>
      <c r="D69" s="1438"/>
      <c r="E69" s="1438"/>
      <c r="F69" s="1438"/>
      <c r="G69" s="1438"/>
      <c r="H69" s="1438"/>
      <c r="I69" s="1419">
        <f>Skemaoplysninger!BD48</f>
        <v>172</v>
      </c>
      <c r="J69" s="1420"/>
    </row>
    <row r="70" spans="1:14" s="692" customFormat="1" ht="29" hidden="1" customHeight="1">
      <c r="A70" s="1413"/>
      <c r="B70" s="1437" t="s">
        <v>242</v>
      </c>
      <c r="C70" s="1438"/>
      <c r="D70" s="1438"/>
      <c r="E70" s="1438"/>
      <c r="F70" s="1438"/>
      <c r="G70" s="1438"/>
      <c r="H70" s="1438"/>
      <c r="I70" s="1419">
        <f>August!D73+September!D72+Oktober!D73+November!D72+December!D73+Januar!D73+Februar!D71+Marts!D73+April!D72+Maj!D73+Juni!D72+Juli!D73</f>
        <v>22</v>
      </c>
      <c r="J70" s="1420"/>
    </row>
    <row r="71" spans="1:14" s="692" customFormat="1" ht="21" hidden="1" customHeight="1">
      <c r="A71" s="1413"/>
      <c r="B71" s="1357" t="s">
        <v>73</v>
      </c>
      <c r="C71" s="1358"/>
      <c r="D71" s="1358"/>
      <c r="E71" s="1358"/>
      <c r="F71" s="1358"/>
      <c r="G71" s="1358"/>
      <c r="H71" s="1358"/>
      <c r="I71" s="1355">
        <f>I68+I69+I70</f>
        <v>199</v>
      </c>
      <c r="J71" s="1356"/>
      <c r="K71" s="1354" t="str">
        <f>IF(I71&lt;&gt;200,"OBS der er normalt 200 skoledage i et skoleår"," ")</f>
        <v>OBS der er normalt 200 skoledage i et skoleår</v>
      </c>
      <c r="L71" s="1354"/>
      <c r="M71" s="1354"/>
      <c r="N71" s="1354"/>
    </row>
    <row r="72" spans="1:14" s="692" customFormat="1" ht="21" hidden="1" customHeight="1">
      <c r="A72" s="1413"/>
      <c r="B72" s="1357" t="s">
        <v>312</v>
      </c>
      <c r="C72" s="1358"/>
      <c r="D72" s="1358"/>
      <c r="E72" s="1358"/>
      <c r="F72" s="1358"/>
      <c r="G72" s="1358"/>
      <c r="H72" s="1358"/>
      <c r="I72" s="1367">
        <f>August!AA46+August!AB46+September!AA44+September!AB44+Oktober!AA45+Oktober!AB45+November!AA44+November!AB44+December!AA45+December!AB45+Januar!AA45+Januar!AB45+Februar!AA43+Februar!AB43+Marts!AA45+Marts!AB45+April!AA44+April!AB44+Maj!AA45+Maj!AB45+Juni!AA44+Juni!AB44+Juli!AA45+Juli!AB45</f>
        <v>137</v>
      </c>
      <c r="J72" s="1368"/>
      <c r="K72" s="710"/>
      <c r="L72" s="710"/>
      <c r="M72" s="710"/>
      <c r="N72" s="710"/>
    </row>
    <row r="73" spans="1:14" s="692" customFormat="1" ht="33" hidden="1" customHeight="1">
      <c r="A73" s="1413"/>
      <c r="B73" s="1369" t="s">
        <v>250</v>
      </c>
      <c r="C73" s="1370"/>
      <c r="D73" s="1370"/>
      <c r="E73" s="1370"/>
      <c r="F73" s="1370"/>
      <c r="G73" s="1370"/>
      <c r="H73" s="1370"/>
      <c r="I73" s="1359">
        <f>(J60-I72)/I69</f>
        <v>8.1136627906976742</v>
      </c>
      <c r="J73" s="1360"/>
    </row>
    <row r="74" spans="1:14" s="692" customFormat="1" ht="33" hidden="1" customHeight="1" thickBot="1">
      <c r="A74" s="1413"/>
      <c r="B74" s="1369" t="s">
        <v>352</v>
      </c>
      <c r="C74" s="1370"/>
      <c r="D74" s="1370"/>
      <c r="E74" s="1370"/>
      <c r="F74" s="1370"/>
      <c r="G74" s="1370"/>
      <c r="H74" s="1370"/>
      <c r="I74" s="1365">
        <f>J64/I71</f>
        <v>2.7582077051926297</v>
      </c>
      <c r="J74" s="1366"/>
    </row>
    <row r="75" spans="1:14" ht="17" customHeight="1">
      <c r="A75" s="1413"/>
      <c r="B75" s="1371" t="s">
        <v>516</v>
      </c>
      <c r="C75" s="1372"/>
      <c r="D75" s="1361" t="s">
        <v>70</v>
      </c>
      <c r="E75" s="1362"/>
      <c r="F75" s="80" t="str">
        <f>IF(Skemaoplysninger!F12&gt;0,Skemaoplysninger!$F$12,"")</f>
        <v>01.08.26</v>
      </c>
      <c r="G75" s="80" t="str">
        <f>IF(Skemaoplysninger!J12&gt;0,Skemaoplysninger!$J$12,"")</f>
        <v>31.07.27</v>
      </c>
      <c r="H75" s="79"/>
      <c r="I75" s="1363" t="s">
        <v>72</v>
      </c>
      <c r="J75" s="1364"/>
    </row>
    <row r="76" spans="1:14" ht="94" customHeight="1">
      <c r="A76" s="1413"/>
      <c r="B76" s="331" t="s">
        <v>74</v>
      </c>
      <c r="C76" s="332"/>
      <c r="D76" s="39" t="s">
        <v>9</v>
      </c>
      <c r="E76" s="221" t="s">
        <v>150</v>
      </c>
      <c r="F76" s="221" t="s">
        <v>69</v>
      </c>
      <c r="G76" s="230" t="s">
        <v>443</v>
      </c>
      <c r="H76" s="222" t="s">
        <v>380</v>
      </c>
      <c r="I76" s="41" t="s">
        <v>456</v>
      </c>
      <c r="J76" s="57" t="s">
        <v>71</v>
      </c>
      <c r="K76" s="38"/>
      <c r="L76" s="38"/>
    </row>
    <row r="77" spans="1:14" ht="17" customHeight="1">
      <c r="A77" s="1413"/>
      <c r="B77" s="331" t="s">
        <v>58</v>
      </c>
      <c r="C77" s="332"/>
      <c r="D77" s="32">
        <f>Skemaoplysninger!E$48</f>
        <v>33</v>
      </c>
      <c r="E77" s="36">
        <v>8.11</v>
      </c>
      <c r="F77" s="33">
        <f>IF(Skemaoplysninger!$E$48&gt;0,Skemaoplysninger!$E$46*24,0)</f>
        <v>4.5</v>
      </c>
      <c r="G77" s="617">
        <f>IF(K77&gt;0,K77,L77)</f>
        <v>1.9166666666666665</v>
      </c>
      <c r="H77" s="40">
        <f>E77-F77-G77</f>
        <v>1.6933333333333329</v>
      </c>
      <c r="I77" s="343">
        <v>0.33333333333333331</v>
      </c>
      <c r="J77" s="42">
        <f>I77+(E77/24)</f>
        <v>0.6712499999999999</v>
      </c>
      <c r="K77" s="38">
        <f>IF(AND(Stamoplysninger!$H$34="Ja",Skemaoplysninger!$E$48&gt;0),Stamoplysninger!$H$35/200,0)</f>
        <v>0</v>
      </c>
      <c r="L77" s="38">
        <f>IF(AND(Stamoplysninger!$H$34="nej",Skemaoplysninger!$E$48&gt;0),Skemaoplysninger!$E$55,0)</f>
        <v>1.9166666666666665</v>
      </c>
    </row>
    <row r="78" spans="1:14" ht="17" customHeight="1">
      <c r="A78" s="1413"/>
      <c r="B78" s="331" t="s">
        <v>59</v>
      </c>
      <c r="C78" s="332"/>
      <c r="D78" s="32">
        <f>Skemaoplysninger!G$48</f>
        <v>34</v>
      </c>
      <c r="E78" s="36">
        <v>8.11</v>
      </c>
      <c r="F78" s="33">
        <f>IF(Skemaoplysninger!$G$48&gt;0,Skemaoplysninger!$G$46*24,0)</f>
        <v>4.5</v>
      </c>
      <c r="G78" s="617">
        <f>IF(K78&gt;0,K78,L78)</f>
        <v>1.9166666666666665</v>
      </c>
      <c r="H78" s="40">
        <f>E78-F78-G78</f>
        <v>1.6933333333333329</v>
      </c>
      <c r="I78" s="343">
        <v>0.33333333333333331</v>
      </c>
      <c r="J78" s="42">
        <f>I78+(E78/24)</f>
        <v>0.6712499999999999</v>
      </c>
      <c r="K78" s="38">
        <f>IF(AND(Stamoplysninger!$H$34="Ja",Skemaoplysninger!$G$48&gt;0),Stamoplysninger!$H$35/200,0)</f>
        <v>0</v>
      </c>
      <c r="L78" s="38">
        <f>IF(AND(Stamoplysninger!$H$34="nej",Skemaoplysninger!$G$48&gt;0),Skemaoplysninger!$G$55,0)</f>
        <v>1.9166666666666665</v>
      </c>
    </row>
    <row r="79" spans="1:14" ht="17" customHeight="1">
      <c r="A79" s="1413"/>
      <c r="B79" s="331" t="s">
        <v>60</v>
      </c>
      <c r="C79" s="332"/>
      <c r="D79" s="32">
        <f>Skemaoplysninger!I$48</f>
        <v>37</v>
      </c>
      <c r="E79" s="36">
        <v>8.11</v>
      </c>
      <c r="F79" s="33">
        <f>IF(Skemaoplysninger!$I$48&gt;0,Skemaoplysninger!$I$46*24,0)</f>
        <v>2.75</v>
      </c>
      <c r="G79" s="617">
        <f>IF(K79&gt;0,K79,L79)</f>
        <v>1.25</v>
      </c>
      <c r="H79" s="40">
        <f>E79-F79-G79</f>
        <v>4.1099999999999994</v>
      </c>
      <c r="I79" s="343">
        <v>0.33333333333333331</v>
      </c>
      <c r="J79" s="42">
        <f>I79+(E79/24)</f>
        <v>0.6712499999999999</v>
      </c>
      <c r="K79" s="38">
        <f>IF(AND(Stamoplysninger!$H$34="Ja",Skemaoplysninger!$I$48&gt;0),Stamoplysninger!$H$35/200,0)</f>
        <v>0</v>
      </c>
      <c r="L79" s="38">
        <f>IF(AND(Stamoplysninger!$H$34="nej",Skemaoplysninger!$I$48&gt;0),Skemaoplysninger!$I$55,0)</f>
        <v>1.25</v>
      </c>
    </row>
    <row r="80" spans="1:14" ht="17" customHeight="1">
      <c r="A80" s="1413"/>
      <c r="B80" s="331" t="s">
        <v>61</v>
      </c>
      <c r="C80" s="332"/>
      <c r="D80" s="32">
        <f>Skemaoplysninger!K$48</f>
        <v>36</v>
      </c>
      <c r="E80" s="36">
        <v>9</v>
      </c>
      <c r="F80" s="33">
        <f>IF(Skemaoplysninger!$K$48&gt;0,Skemaoplysninger!$K$46*24,0)</f>
        <v>3.75</v>
      </c>
      <c r="G80" s="617">
        <f>IF(K80&gt;0,K80,L80)</f>
        <v>1</v>
      </c>
      <c r="H80" s="40">
        <f>E80-F80-G80</f>
        <v>4.25</v>
      </c>
      <c r="I80" s="343">
        <v>0.33333333333333331</v>
      </c>
      <c r="J80" s="42">
        <f>I80+(E80/24)</f>
        <v>0.70833333333333326</v>
      </c>
      <c r="K80" s="38">
        <f>IF(AND(Stamoplysninger!$H$34="Ja",Skemaoplysninger!$K$48&gt;0),Stamoplysninger!$H$35/200,0)</f>
        <v>0</v>
      </c>
      <c r="L80" s="38">
        <f>IF(AND(Stamoplysninger!$H$34="nej",Skemaoplysninger!$K$48&gt;0),Skemaoplysninger!$K$55,0)</f>
        <v>1</v>
      </c>
    </row>
    <row r="81" spans="1:12" ht="17" customHeight="1" thickBot="1">
      <c r="A81" s="1413"/>
      <c r="B81" s="339" t="s">
        <v>62</v>
      </c>
      <c r="C81" s="340"/>
      <c r="D81" s="32">
        <f>Skemaoplysninger!M$48</f>
        <v>32</v>
      </c>
      <c r="E81" s="36">
        <v>7.1</v>
      </c>
      <c r="F81" s="33">
        <f>IF(Skemaoplysninger!$M$48&gt;0,Skemaoplysninger!$M$46*24,0)</f>
        <v>3.75</v>
      </c>
      <c r="G81" s="618">
        <f>IF(K81&gt;0,K81,L81)</f>
        <v>1</v>
      </c>
      <c r="H81" s="40">
        <f>E81-F81-G81</f>
        <v>2.3499999999999996</v>
      </c>
      <c r="I81" s="343">
        <v>0.33333333333333331</v>
      </c>
      <c r="J81" s="344">
        <f>I81+(E81/24)</f>
        <v>0.62916666666666665</v>
      </c>
      <c r="K81" s="38">
        <f>IF(AND(Stamoplysninger!$H$34="Ja",Skemaoplysninger!$M$48&gt;0),Stamoplysninger!$H$35/200,0)</f>
        <v>0</v>
      </c>
      <c r="L81" s="38">
        <f>IF(AND(Stamoplysninger!$H$34="nej",Skemaoplysninger!$M$48&gt;0),Skemaoplysninger!$M$55,0)</f>
        <v>1</v>
      </c>
    </row>
    <row r="82" spans="1:12" ht="17" customHeight="1" thickBot="1">
      <c r="A82" s="1413"/>
      <c r="B82" s="333" t="s">
        <v>105</v>
      </c>
      <c r="C82" s="334"/>
      <c r="D82" s="335"/>
      <c r="E82" s="82">
        <f>SUM(E77:E81)</f>
        <v>40.43</v>
      </c>
      <c r="F82" s="82">
        <f>SUM(F77:F81)</f>
        <v>19.25</v>
      </c>
      <c r="G82" s="232">
        <f>SUM(G77:G81)</f>
        <v>7.083333333333333</v>
      </c>
      <c r="H82" s="85">
        <f>SUM(H77:H81)</f>
        <v>14.096666666666666</v>
      </c>
      <c r="I82" s="84"/>
      <c r="J82" s="83"/>
      <c r="K82" s="38"/>
      <c r="L82" s="38"/>
    </row>
    <row r="83" spans="1:12" ht="17" customHeight="1" thickBot="1">
      <c r="A83" s="1413"/>
      <c r="B83" s="336"/>
      <c r="C83" s="761"/>
      <c r="D83" s="761"/>
      <c r="E83" s="761"/>
      <c r="F83" s="761"/>
      <c r="G83" s="761"/>
      <c r="H83" s="761"/>
      <c r="I83" s="761"/>
      <c r="J83" s="341"/>
      <c r="K83" s="38"/>
      <c r="L83" s="38"/>
    </row>
    <row r="84" spans="1:12" ht="17" customHeight="1">
      <c r="A84" s="1413"/>
      <c r="B84" s="1371" t="s">
        <v>517</v>
      </c>
      <c r="C84" s="1372"/>
      <c r="D84" s="1374" t="s">
        <v>70</v>
      </c>
      <c r="E84" s="1374"/>
      <c r="F84" s="80" t="str">
        <f>IF(Skemaoplysninger!$T$12&gt;0,Skemaoplysninger!$T$12,"")</f>
        <v/>
      </c>
      <c r="G84" s="80" t="str">
        <f>IF(Skemaoplysninger!$X$12&gt;0,Skemaoplysninger!$X$12,"")</f>
        <v/>
      </c>
      <c r="H84" s="81"/>
      <c r="I84" s="1363" t="s">
        <v>72</v>
      </c>
      <c r="J84" s="1364"/>
      <c r="K84" s="38"/>
      <c r="L84" s="38"/>
    </row>
    <row r="85" spans="1:12" ht="91" customHeight="1">
      <c r="A85" s="1413"/>
      <c r="B85" s="331" t="s">
        <v>74</v>
      </c>
      <c r="C85" s="332"/>
      <c r="D85" s="39" t="s">
        <v>9</v>
      </c>
      <c r="E85" s="221" t="s">
        <v>150</v>
      </c>
      <c r="F85" s="221" t="s">
        <v>69</v>
      </c>
      <c r="G85" s="230" t="s">
        <v>443</v>
      </c>
      <c r="H85" s="222" t="s">
        <v>380</v>
      </c>
      <c r="I85" s="41" t="str">
        <f>I76</f>
        <v>Angiv her mødetids-punkt                  (07:45 =  07:45)</v>
      </c>
      <c r="J85" s="57" t="s">
        <v>71</v>
      </c>
      <c r="K85" s="38"/>
      <c r="L85" s="38"/>
    </row>
    <row r="86" spans="1:12" ht="17" customHeight="1">
      <c r="A86" s="1413"/>
      <c r="B86" s="331" t="s">
        <v>58</v>
      </c>
      <c r="C86" s="332"/>
      <c r="D86" s="32">
        <f>Skemaoplysninger!S$48</f>
        <v>0</v>
      </c>
      <c r="E86" s="36"/>
      <c r="F86" s="33">
        <f>IF(Skemaoplysninger!$S$48&gt;0,Skemaoplysninger!S$46*24,0)</f>
        <v>0</v>
      </c>
      <c r="G86" s="231">
        <f>IF(K86&gt;0,K86,L86)</f>
        <v>0</v>
      </c>
      <c r="H86" s="40">
        <f>E86-F86-G86</f>
        <v>0</v>
      </c>
      <c r="I86" s="343"/>
      <c r="J86" s="42">
        <f>I86+(E86/24)</f>
        <v>0</v>
      </c>
      <c r="K86" s="38">
        <f>IF(AND(Stamoplysninger!$H$34="Ja",Skemaoplysninger!$S$48&gt;0),Stamoplysninger!$H$35/200,0)</f>
        <v>0</v>
      </c>
      <c r="L86" s="38">
        <f>IF(AND(Stamoplysninger!$H$34="nej",Skemaoplysninger!$S$48&gt;0),Skemaoplysninger!$S$55,0)</f>
        <v>0</v>
      </c>
    </row>
    <row r="87" spans="1:12" ht="17" customHeight="1">
      <c r="A87" s="1413"/>
      <c r="B87" s="331" t="s">
        <v>59</v>
      </c>
      <c r="C87" s="332"/>
      <c r="D87" s="32">
        <f>Skemaoplysninger!U$48</f>
        <v>0</v>
      </c>
      <c r="E87" s="36"/>
      <c r="F87" s="33">
        <f>IF(Skemaoplysninger!$U$48&gt;0,Skemaoplysninger!U$46*24,0)</f>
        <v>0</v>
      </c>
      <c r="G87" s="231">
        <f>IF(K87&gt;0,K87,L87)</f>
        <v>0</v>
      </c>
      <c r="H87" s="40">
        <f>E87-F87-G87</f>
        <v>0</v>
      </c>
      <c r="I87" s="343"/>
      <c r="J87" s="42">
        <f>I87+(E87/24)</f>
        <v>0</v>
      </c>
      <c r="K87" s="38">
        <f>IF(AND(Stamoplysninger!$H$34="Ja",Skemaoplysninger!$U$48&gt;0),Stamoplysninger!$H$35/200,0)</f>
        <v>0</v>
      </c>
      <c r="L87" s="38">
        <f>IF(AND(Stamoplysninger!$H$34="nej",Skemaoplysninger!$U$48&gt;0),Skemaoplysninger!$U$55,0)</f>
        <v>0</v>
      </c>
    </row>
    <row r="88" spans="1:12" ht="17" customHeight="1">
      <c r="A88" s="1413"/>
      <c r="B88" s="331" t="s">
        <v>60</v>
      </c>
      <c r="C88" s="332"/>
      <c r="D88" s="32">
        <f>Skemaoplysninger!W$48</f>
        <v>0</v>
      </c>
      <c r="E88" s="36"/>
      <c r="F88" s="33">
        <f>IF(Skemaoplysninger!$W$48&gt;0,Skemaoplysninger!W$46*24,0)</f>
        <v>0</v>
      </c>
      <c r="G88" s="231">
        <f>IF(K88&gt;0,K88,L88)</f>
        <v>0</v>
      </c>
      <c r="H88" s="40">
        <f>E88-F88-G88</f>
        <v>0</v>
      </c>
      <c r="I88" s="343"/>
      <c r="J88" s="42">
        <f>I88+(E88/24)</f>
        <v>0</v>
      </c>
      <c r="K88" s="38">
        <f>IF(AND(Stamoplysninger!$H$34="Ja",Skemaoplysninger!$W$48&gt;0),Stamoplysninger!$H$35/200,0)</f>
        <v>0</v>
      </c>
      <c r="L88" s="38">
        <f>IF(AND(Stamoplysninger!$H$34="nej",Skemaoplysninger!$W$48&gt;0),Skemaoplysninger!$W$55,0)</f>
        <v>0</v>
      </c>
    </row>
    <row r="89" spans="1:12" ht="17" customHeight="1">
      <c r="A89" s="1413"/>
      <c r="B89" s="331" t="s">
        <v>61</v>
      </c>
      <c r="C89" s="332"/>
      <c r="D89" s="32">
        <f>Skemaoplysninger!Y$48</f>
        <v>0</v>
      </c>
      <c r="E89" s="36"/>
      <c r="F89" s="33">
        <f>IF(Skemaoplysninger!$Y$48&gt;0,Skemaoplysninger!Y$46*24,0)</f>
        <v>0</v>
      </c>
      <c r="G89" s="231">
        <f>IF(K89&gt;0,K89,L89)</f>
        <v>0</v>
      </c>
      <c r="H89" s="40">
        <f>E89-F89-G89</f>
        <v>0</v>
      </c>
      <c r="I89" s="343"/>
      <c r="J89" s="42">
        <f>I89+(E89/24)</f>
        <v>0</v>
      </c>
      <c r="K89" s="38">
        <f>IF(AND(Stamoplysninger!$H$34="Ja",Skemaoplysninger!$Y$48&gt;0),Stamoplysninger!$H$35/200,0)</f>
        <v>0</v>
      </c>
      <c r="L89" s="38">
        <f>IF(AND(Stamoplysninger!$H$34="nej",Skemaoplysninger!$Y$48&gt;0),Skemaoplysninger!$Y$55,0)</f>
        <v>0</v>
      </c>
    </row>
    <row r="90" spans="1:12" ht="17" customHeight="1" thickBot="1">
      <c r="A90" s="1413"/>
      <c r="B90" s="331" t="s">
        <v>62</v>
      </c>
      <c r="C90" s="332"/>
      <c r="D90" s="32">
        <f>Skemaoplysninger!AA$48</f>
        <v>0</v>
      </c>
      <c r="E90" s="36"/>
      <c r="F90" s="33">
        <f>IF(Skemaoplysninger!$AA$48&gt;0,Skemaoplysninger!AA$46*24,0)</f>
        <v>0</v>
      </c>
      <c r="G90" s="231">
        <f>IF(K90&gt;0,K90,L90)</f>
        <v>0</v>
      </c>
      <c r="H90" s="40">
        <f>E90-F90-G90</f>
        <v>0</v>
      </c>
      <c r="I90" s="343"/>
      <c r="J90" s="43">
        <f>I90+(E90/24)</f>
        <v>0</v>
      </c>
      <c r="K90" s="38">
        <f>IF(AND(Stamoplysninger!$H$34="Ja",Skemaoplysninger!$AA$48&gt;0),Stamoplysninger!$H$35/200,0)</f>
        <v>0</v>
      </c>
      <c r="L90" s="38">
        <f>IF(AND(Stamoplysninger!$H$34="nej",Skemaoplysninger!$AA$48&gt;0),Skemaoplysninger!$AA$55,0)</f>
        <v>0</v>
      </c>
    </row>
    <row r="91" spans="1:12" ht="17" customHeight="1" thickBot="1">
      <c r="A91" s="1413"/>
      <c r="B91" s="333" t="s">
        <v>105</v>
      </c>
      <c r="C91" s="334"/>
      <c r="D91" s="335"/>
      <c r="E91" s="82">
        <f>SUM(E86:E90)</f>
        <v>0</v>
      </c>
      <c r="F91" s="82">
        <f>SUM(F86:F90)</f>
        <v>0</v>
      </c>
      <c r="G91" s="232">
        <f>SUM(G86:G90)</f>
        <v>0</v>
      </c>
      <c r="H91" s="85">
        <f>SUM(H86:H90)</f>
        <v>0</v>
      </c>
      <c r="I91" s="84"/>
      <c r="J91" s="83"/>
      <c r="K91" s="38"/>
      <c r="L91" s="38"/>
    </row>
    <row r="92" spans="1:12" ht="17" customHeight="1" thickBot="1">
      <c r="A92" s="1413"/>
      <c r="B92" s="336"/>
      <c r="C92" s="761"/>
      <c r="D92" s="761"/>
      <c r="E92" s="761"/>
      <c r="F92" s="761"/>
      <c r="G92" s="761"/>
      <c r="H92" s="761"/>
      <c r="I92" s="761"/>
      <c r="J92" s="341"/>
      <c r="K92" s="38"/>
      <c r="L92" s="38"/>
    </row>
    <row r="93" spans="1:12" ht="17" customHeight="1">
      <c r="A93" s="1413"/>
      <c r="B93" s="1371" t="s">
        <v>518</v>
      </c>
      <c r="C93" s="1372"/>
      <c r="D93" s="1374" t="s">
        <v>70</v>
      </c>
      <c r="E93" s="1374"/>
      <c r="F93" s="80" t="str">
        <f>IF(Skemaoplysninger!AH12&gt;0,Skemaoplysninger!$AH$12,"")</f>
        <v/>
      </c>
      <c r="G93" s="80" t="str">
        <f>IF(Skemaoplysninger!AL12&gt;0,Skemaoplysninger!$AL$12,"")</f>
        <v/>
      </c>
      <c r="H93" s="81"/>
      <c r="I93" s="1363" t="s">
        <v>72</v>
      </c>
      <c r="J93" s="1364"/>
      <c r="K93" s="38"/>
      <c r="L93" s="38"/>
    </row>
    <row r="94" spans="1:12" ht="91" customHeight="1">
      <c r="A94" s="1413"/>
      <c r="B94" s="331" t="s">
        <v>74</v>
      </c>
      <c r="C94" s="332"/>
      <c r="D94" s="39" t="s">
        <v>9</v>
      </c>
      <c r="E94" s="221" t="s">
        <v>150</v>
      </c>
      <c r="F94" s="221" t="s">
        <v>69</v>
      </c>
      <c r="G94" s="230" t="s">
        <v>443</v>
      </c>
      <c r="H94" s="222" t="s">
        <v>380</v>
      </c>
      <c r="I94" s="41" t="str">
        <f>I85</f>
        <v>Angiv her mødetids-punkt                  (07:45 =  07:45)</v>
      </c>
      <c r="J94" s="57" t="s">
        <v>71</v>
      </c>
      <c r="K94" s="38"/>
      <c r="L94" s="38"/>
    </row>
    <row r="95" spans="1:12" ht="17" customHeight="1">
      <c r="A95" s="1413"/>
      <c r="B95" s="331" t="s">
        <v>58</v>
      </c>
      <c r="C95" s="332"/>
      <c r="D95" s="32">
        <f>Skemaoplysninger!AG$48</f>
        <v>0</v>
      </c>
      <c r="E95" s="36"/>
      <c r="F95" s="33">
        <f>IF(Skemaoplysninger!$AG$48&gt;0,Skemaoplysninger!AG$46*24,0)</f>
        <v>0</v>
      </c>
      <c r="G95" s="231">
        <f>IF(K95&gt;0,K95,L95)</f>
        <v>0</v>
      </c>
      <c r="H95" s="40">
        <f>E95-F95-G95</f>
        <v>0</v>
      </c>
      <c r="I95" s="343"/>
      <c r="J95" s="42">
        <f>I95+(E95/24)</f>
        <v>0</v>
      </c>
      <c r="K95" s="38">
        <f>IF(AND(Stamoplysninger!$H$34="Ja",Skemaoplysninger!$AG$48&gt;0),Stamoplysninger!$H$35/200,0)</f>
        <v>0</v>
      </c>
      <c r="L95" s="38">
        <f>IF(AND(Stamoplysninger!$H$34="nej",Skemaoplysninger!$AG$48&gt;0),Skemaoplysninger!$AG$55,0)</f>
        <v>0</v>
      </c>
    </row>
    <row r="96" spans="1:12" ht="17" customHeight="1">
      <c r="A96" s="1413"/>
      <c r="B96" s="331" t="s">
        <v>59</v>
      </c>
      <c r="C96" s="332"/>
      <c r="D96" s="32">
        <f>Skemaoplysninger!AI$48</f>
        <v>0</v>
      </c>
      <c r="E96" s="36"/>
      <c r="F96" s="33">
        <f>IF(Skemaoplysninger!$AI$48&gt;0,Skemaoplysninger!AI$46*24,0)</f>
        <v>0</v>
      </c>
      <c r="G96" s="231">
        <f>IF(K96&gt;0,K96,L96)</f>
        <v>0</v>
      </c>
      <c r="H96" s="40">
        <f>E96-F96-G96</f>
        <v>0</v>
      </c>
      <c r="I96" s="343"/>
      <c r="J96" s="42">
        <f>I96+(E96/24)</f>
        <v>0</v>
      </c>
      <c r="K96" s="38">
        <f>IF(AND(Stamoplysninger!$H$34="Ja",Skemaoplysninger!$AI$48&gt;0),Stamoplysninger!$H$35/200,0)</f>
        <v>0</v>
      </c>
      <c r="L96" s="38">
        <f>IF(AND(Stamoplysninger!$H$34="nej",Skemaoplysninger!$AI$48&gt;0),Skemaoplysninger!$AI$55,0)</f>
        <v>0</v>
      </c>
    </row>
    <row r="97" spans="1:12" ht="17" customHeight="1">
      <c r="A97" s="1413"/>
      <c r="B97" s="331" t="s">
        <v>60</v>
      </c>
      <c r="C97" s="332"/>
      <c r="D97" s="32">
        <f>Skemaoplysninger!AK$48</f>
        <v>0</v>
      </c>
      <c r="E97" s="36"/>
      <c r="F97" s="33">
        <f>IF(Skemaoplysninger!$AK$48&gt;0,Skemaoplysninger!AK$46*24,0)</f>
        <v>0</v>
      </c>
      <c r="G97" s="231">
        <f>IF(K97&gt;0,K97,L97)</f>
        <v>0</v>
      </c>
      <c r="H97" s="40">
        <f>E97-F97-G97</f>
        <v>0</v>
      </c>
      <c r="I97" s="343"/>
      <c r="J97" s="42">
        <f>I97+(E97/24)</f>
        <v>0</v>
      </c>
      <c r="K97" s="38">
        <f>IF(AND(Stamoplysninger!$H$34="Ja",Skemaoplysninger!$AK$48&gt;0),Stamoplysninger!$H$35/200,0)</f>
        <v>0</v>
      </c>
      <c r="L97" s="38">
        <f>IF(AND(Stamoplysninger!$H$34="nej",Skemaoplysninger!$AK$48&gt;0),Skemaoplysninger!$AK$55,0)</f>
        <v>0</v>
      </c>
    </row>
    <row r="98" spans="1:12" ht="17" customHeight="1">
      <c r="A98" s="1413"/>
      <c r="B98" s="331" t="s">
        <v>61</v>
      </c>
      <c r="C98" s="332"/>
      <c r="D98" s="32">
        <f>Skemaoplysninger!AM$48</f>
        <v>0</v>
      </c>
      <c r="E98" s="36"/>
      <c r="F98" s="33">
        <f>IF(Skemaoplysninger!$AM$48&gt;0,Skemaoplysninger!AM$46*24,0)</f>
        <v>0</v>
      </c>
      <c r="G98" s="231">
        <f>IF(K98&gt;0,K98,L98)</f>
        <v>0</v>
      </c>
      <c r="H98" s="40">
        <f>E98-F98-G98</f>
        <v>0</v>
      </c>
      <c r="I98" s="343"/>
      <c r="J98" s="42">
        <f>I98+(E98/24)</f>
        <v>0</v>
      </c>
      <c r="K98" s="38">
        <f>IF(AND(Stamoplysninger!$H$34="Ja",Skemaoplysninger!$AM$48&gt;0),Stamoplysninger!$H$35/200,0)</f>
        <v>0</v>
      </c>
      <c r="L98" s="38">
        <f>IF(AND(Stamoplysninger!$H$34="nej",Skemaoplysninger!$AM$48&gt;0),Skemaoplysninger!$AM$55,0)</f>
        <v>0</v>
      </c>
    </row>
    <row r="99" spans="1:12" ht="17" customHeight="1" thickBot="1">
      <c r="A99" s="1413"/>
      <c r="B99" s="331" t="s">
        <v>62</v>
      </c>
      <c r="C99" s="332"/>
      <c r="D99" s="32">
        <f>Skemaoplysninger!AO$48</f>
        <v>0</v>
      </c>
      <c r="E99" s="36"/>
      <c r="F99" s="33">
        <f>IF(Skemaoplysninger!$AO$48&gt;0,Skemaoplysninger!AO$46*24,0)</f>
        <v>0</v>
      </c>
      <c r="G99" s="231">
        <f>IF(K99&gt;0,K99,L99)</f>
        <v>0</v>
      </c>
      <c r="H99" s="40">
        <f>E99-F99-G99</f>
        <v>0</v>
      </c>
      <c r="I99" s="343"/>
      <c r="J99" s="43">
        <f>I99+(E99/24)</f>
        <v>0</v>
      </c>
      <c r="K99" s="38">
        <f>IF(AND(Stamoplysninger!$H$34="Ja",Skemaoplysninger!$AO$48&gt;0),Stamoplysninger!$H$35/200,0)</f>
        <v>0</v>
      </c>
      <c r="L99" s="38">
        <f>IF(AND(Stamoplysninger!$H$34="nej",Skemaoplysninger!$AO$48&gt;0),Skemaoplysninger!$AO$55,0)</f>
        <v>0</v>
      </c>
    </row>
    <row r="100" spans="1:12" ht="17" customHeight="1" thickBot="1">
      <c r="A100" s="1413"/>
      <c r="B100" s="333" t="s">
        <v>105</v>
      </c>
      <c r="C100" s="334"/>
      <c r="D100" s="335"/>
      <c r="E100" s="82">
        <f>SUM(E95:E99)</f>
        <v>0</v>
      </c>
      <c r="F100" s="82">
        <f>SUM(F95:F99)</f>
        <v>0</v>
      </c>
      <c r="G100" s="232">
        <f>SUM(G95:G99)</f>
        <v>0</v>
      </c>
      <c r="H100" s="85">
        <f>SUM(H95:H99)</f>
        <v>0</v>
      </c>
      <c r="I100" s="84"/>
      <c r="J100" s="83"/>
      <c r="K100" s="38"/>
      <c r="L100" s="38"/>
    </row>
    <row r="101" spans="1:12" ht="17" customHeight="1" thickBot="1">
      <c r="A101" s="1413"/>
      <c r="B101" s="336"/>
      <c r="C101" s="761"/>
      <c r="D101" s="761"/>
      <c r="E101" s="761"/>
      <c r="F101" s="761"/>
      <c r="G101" s="761"/>
      <c r="H101" s="761"/>
      <c r="I101" s="761"/>
      <c r="J101" s="341"/>
      <c r="K101" s="38"/>
      <c r="L101" s="38"/>
    </row>
    <row r="102" spans="1:12" ht="17" customHeight="1">
      <c r="A102" s="1413"/>
      <c r="B102" s="1371" t="s">
        <v>519</v>
      </c>
      <c r="C102" s="1372"/>
      <c r="D102" s="1374" t="s">
        <v>70</v>
      </c>
      <c r="E102" s="1374"/>
      <c r="F102" s="80" t="str">
        <f>IF(Skemaoplysninger!AV12&gt;0,Skemaoplysninger!$AV$12,"")</f>
        <v/>
      </c>
      <c r="G102" s="80" t="str">
        <f>IF(Skemaoplysninger!AZ12&gt;0,Skemaoplysninger!$AZ$12,"")</f>
        <v/>
      </c>
      <c r="H102" s="81"/>
      <c r="I102" s="1363" t="s">
        <v>72</v>
      </c>
      <c r="J102" s="1364"/>
      <c r="K102" s="38"/>
      <c r="L102" s="38"/>
    </row>
    <row r="103" spans="1:12" ht="91" customHeight="1">
      <c r="A103" s="1413"/>
      <c r="B103" s="331" t="s">
        <v>74</v>
      </c>
      <c r="C103" s="332"/>
      <c r="D103" s="39" t="s">
        <v>9</v>
      </c>
      <c r="E103" s="221" t="s">
        <v>150</v>
      </c>
      <c r="F103" s="221" t="s">
        <v>69</v>
      </c>
      <c r="G103" s="230" t="s">
        <v>443</v>
      </c>
      <c r="H103" s="222" t="s">
        <v>380</v>
      </c>
      <c r="I103" s="41" t="str">
        <f>I94</f>
        <v>Angiv her mødetids-punkt                  (07:45 =  07:45)</v>
      </c>
      <c r="J103" s="57" t="s">
        <v>71</v>
      </c>
      <c r="K103" s="38"/>
      <c r="L103" s="38"/>
    </row>
    <row r="104" spans="1:12" ht="17" customHeight="1">
      <c r="A104" s="1413"/>
      <c r="B104" s="331" t="s">
        <v>58</v>
      </c>
      <c r="C104" s="332"/>
      <c r="D104" s="32">
        <f>Skemaoplysninger!AU$48</f>
        <v>0</v>
      </c>
      <c r="E104" s="36"/>
      <c r="F104" s="33">
        <f>IF(Skemaoplysninger!$AU$48&gt;0,Skemaoplysninger!AU$46*24,0)</f>
        <v>0</v>
      </c>
      <c r="G104" s="231">
        <f>IF(K104&gt;0,K104,L104)</f>
        <v>0</v>
      </c>
      <c r="H104" s="40">
        <f>E104-F104-G104</f>
        <v>0</v>
      </c>
      <c r="I104" s="343"/>
      <c r="J104" s="42">
        <f>I104+(E104/24)</f>
        <v>0</v>
      </c>
      <c r="K104" s="38">
        <f>IF(AND(Stamoplysninger!$H$34="Ja",Skemaoplysninger!AU48&gt;0),Stamoplysninger!$H$35/200,0)</f>
        <v>0</v>
      </c>
      <c r="L104" s="38">
        <f>IF(AND(Stamoplysninger!$H$34="nej",Skemaoplysninger!$AU$48&gt;0),Skemaoplysninger!$AU$55,0)</f>
        <v>0</v>
      </c>
    </row>
    <row r="105" spans="1:12" ht="17" customHeight="1">
      <c r="A105" s="1413"/>
      <c r="B105" s="331" t="s">
        <v>59</v>
      </c>
      <c r="C105" s="332"/>
      <c r="D105" s="32">
        <f>Skemaoplysninger!AW$48</f>
        <v>0</v>
      </c>
      <c r="E105" s="36"/>
      <c r="F105" s="33">
        <f>IF(Skemaoplysninger!$AW$48&gt;0,Skemaoplysninger!AW$46*24,0)</f>
        <v>0</v>
      </c>
      <c r="G105" s="231">
        <f>IF(K105&gt;0,K105,L105)</f>
        <v>0</v>
      </c>
      <c r="H105" s="40">
        <f>E105-F105-G105</f>
        <v>0</v>
      </c>
      <c r="I105" s="343"/>
      <c r="J105" s="42">
        <f>I105+(E105/24)</f>
        <v>0</v>
      </c>
      <c r="K105" s="38">
        <f>IF(AND(Stamoplysninger!$H$34="Ja",Skemaoplysninger!AW48&gt;0),Stamoplysninger!$H$35/200,0)</f>
        <v>0</v>
      </c>
      <c r="L105" s="38">
        <f>IF(AND(Stamoplysninger!$H$34="nej",Skemaoplysninger!$AW$48&gt;0),Skemaoplysninger!$AW$55,0)</f>
        <v>0</v>
      </c>
    </row>
    <row r="106" spans="1:12" ht="17" customHeight="1">
      <c r="A106" s="1413"/>
      <c r="B106" s="331" t="s">
        <v>60</v>
      </c>
      <c r="C106" s="332"/>
      <c r="D106" s="32">
        <f>Skemaoplysninger!AY$48</f>
        <v>0</v>
      </c>
      <c r="E106" s="36"/>
      <c r="F106" s="33">
        <f>IF(Skemaoplysninger!$AY$48&gt;0,Skemaoplysninger!AY$46*24,0)</f>
        <v>0</v>
      </c>
      <c r="G106" s="231">
        <f>IF(K106&gt;0,K106,L106)</f>
        <v>0</v>
      </c>
      <c r="H106" s="40">
        <f>E106-F106-G106</f>
        <v>0</v>
      </c>
      <c r="I106" s="343"/>
      <c r="J106" s="42">
        <f>I106+(E106/24)</f>
        <v>0</v>
      </c>
      <c r="K106" s="38">
        <f>IF(AND(Stamoplysninger!$H$34="Ja",Skemaoplysninger!AY48&gt;0),Stamoplysninger!$H$35/200,0)</f>
        <v>0</v>
      </c>
      <c r="L106" s="38">
        <f>IF(AND(Stamoplysninger!$H$34="nej",Skemaoplysninger!$AY$48&gt;0),Skemaoplysninger!$AY$55,0)</f>
        <v>0</v>
      </c>
    </row>
    <row r="107" spans="1:12" ht="17" customHeight="1">
      <c r="A107" s="1413"/>
      <c r="B107" s="331" t="s">
        <v>61</v>
      </c>
      <c r="C107" s="332"/>
      <c r="D107" s="32">
        <f>Skemaoplysninger!BA$48</f>
        <v>0</v>
      </c>
      <c r="E107" s="36"/>
      <c r="F107" s="33">
        <f>IF(Skemaoplysninger!$BA$48&gt;0,Skemaoplysninger!BA$46*24,0)</f>
        <v>0</v>
      </c>
      <c r="G107" s="231">
        <f>IF(K107&gt;0,K107,L107)</f>
        <v>0</v>
      </c>
      <c r="H107" s="40">
        <f>E107-F107-G107</f>
        <v>0</v>
      </c>
      <c r="I107" s="343"/>
      <c r="J107" s="42">
        <f>I107+(E107/24)</f>
        <v>0</v>
      </c>
      <c r="K107" s="38">
        <f>IF(AND(Stamoplysninger!$H$34="Ja",Skemaoplysninger!BA48&gt;0),Stamoplysninger!$H$35/200,0)</f>
        <v>0</v>
      </c>
      <c r="L107" s="38">
        <f>IF(AND(Stamoplysninger!$H$34="nej",Skemaoplysninger!$BA$48&gt;0),Skemaoplysninger!$BA$55,0)</f>
        <v>0</v>
      </c>
    </row>
    <row r="108" spans="1:12" ht="17" customHeight="1" thickBot="1">
      <c r="A108" s="1413"/>
      <c r="B108" s="331" t="s">
        <v>62</v>
      </c>
      <c r="C108" s="332"/>
      <c r="D108" s="32">
        <f>Skemaoplysninger!BC$48</f>
        <v>0</v>
      </c>
      <c r="E108" s="36"/>
      <c r="F108" s="33">
        <f>IF(Skemaoplysninger!$BC$48&gt;0,Skemaoplysninger!BC$46*24,0)</f>
        <v>0</v>
      </c>
      <c r="G108" s="231">
        <f>IF(K108&gt;0,K108,L108)</f>
        <v>0</v>
      </c>
      <c r="H108" s="40">
        <f>E108-F108-G108</f>
        <v>0</v>
      </c>
      <c r="I108" s="343"/>
      <c r="J108" s="43">
        <f>I108+(E108/24)</f>
        <v>0</v>
      </c>
      <c r="K108" s="38">
        <f>IF(AND(Stamoplysninger!$H$34="Ja",Skemaoplysninger!BC48&gt;0),Stamoplysninger!$H$35/200,0)</f>
        <v>0</v>
      </c>
      <c r="L108" s="38">
        <f>IF(AND(Stamoplysninger!$H$34="nej",Skemaoplysninger!$BC$48&gt;0),Skemaoplysninger!$BC$55,0)</f>
        <v>0</v>
      </c>
    </row>
    <row r="109" spans="1:12" ht="17" customHeight="1" thickBot="1">
      <c r="A109" s="1413"/>
      <c r="B109" s="333" t="s">
        <v>105</v>
      </c>
      <c r="C109" s="334"/>
      <c r="D109" s="335"/>
      <c r="E109" s="82">
        <f>SUM(E104:E108)</f>
        <v>0</v>
      </c>
      <c r="F109" s="82">
        <f>SUM(F104:F108)</f>
        <v>0</v>
      </c>
      <c r="G109" s="232">
        <f>SUM(G104:G108)</f>
        <v>0</v>
      </c>
      <c r="H109" s="85">
        <f>SUM(H104:H108)</f>
        <v>0</v>
      </c>
      <c r="I109" s="84"/>
      <c r="J109" s="83"/>
      <c r="K109" s="38"/>
      <c r="L109" s="38"/>
    </row>
    <row r="110" spans="1:12" ht="17" customHeight="1">
      <c r="A110" s="1413"/>
      <c r="B110" s="337"/>
      <c r="C110" s="338"/>
      <c r="D110" s="338"/>
      <c r="E110" s="338"/>
      <c r="F110" s="338"/>
      <c r="G110" s="338"/>
      <c r="H110" s="338"/>
      <c r="I110" s="338"/>
      <c r="J110" s="342"/>
      <c r="K110" s="38"/>
      <c r="L110" s="38"/>
    </row>
    <row r="111" spans="1:12" ht="32" customHeight="1">
      <c r="A111" s="1413"/>
      <c r="B111" s="1327" t="s">
        <v>335</v>
      </c>
      <c r="C111" s="1411"/>
      <c r="D111" s="1403">
        <f>(D77*E77)+(D78*E78)+(D79*E79)+(D80*E80)+(D81*E81)+(D86*E86)+(D87*E87)+(D88*E88)+(D89*E89)+(D90*E90)+(D95*E95)+(D96*E96)+(D97*E97)+(D98*E98)+(D99*E99)+(D104*E104)+(D105*E105)+(D106*E106)+(D107*E107)+(D108*E108)</f>
        <v>1394.64</v>
      </c>
      <c r="E111" s="1404"/>
      <c r="F111" s="1404"/>
      <c r="G111" s="1404"/>
      <c r="H111" s="1404"/>
      <c r="I111" s="1404"/>
      <c r="J111" s="1330"/>
      <c r="K111" s="38"/>
      <c r="L111" s="38"/>
    </row>
    <row r="112" spans="1:12" ht="17" customHeight="1">
      <c r="A112" s="1413"/>
      <c r="B112" s="1327" t="s">
        <v>63</v>
      </c>
      <c r="C112" s="1411"/>
      <c r="D112" s="1403">
        <f>D111+I72-J60</f>
        <v>-0.90999999999985448</v>
      </c>
      <c r="E112" s="1404"/>
      <c r="F112" s="1404"/>
      <c r="G112" s="1404"/>
      <c r="H112" s="1404"/>
      <c r="I112" s="1404"/>
      <c r="J112" s="1330"/>
      <c r="K112" s="38"/>
      <c r="L112" s="38"/>
    </row>
    <row r="113" spans="1:12" ht="31" customHeight="1">
      <c r="A113" s="1413"/>
      <c r="B113" s="1405" t="s">
        <v>705</v>
      </c>
      <c r="C113" s="1406"/>
      <c r="D113" s="1406"/>
      <c r="E113" s="1406"/>
      <c r="F113" s="1406"/>
      <c r="G113" s="1406"/>
      <c r="H113" s="1406"/>
      <c r="I113" s="1406"/>
      <c r="J113" s="1407"/>
      <c r="K113" s="38"/>
      <c r="L113" s="38"/>
    </row>
    <row r="114" spans="1:12" ht="37" customHeight="1" thickBot="1">
      <c r="A114" s="1414"/>
      <c r="B114" s="1408"/>
      <c r="C114" s="1409"/>
      <c r="D114" s="1409"/>
      <c r="E114" s="1409"/>
      <c r="F114" s="1409"/>
      <c r="G114" s="1409"/>
      <c r="H114" s="1409"/>
      <c r="I114" s="1409"/>
      <c r="J114" s="1410"/>
      <c r="K114" s="38"/>
      <c r="L114" s="38"/>
    </row>
    <row r="115" spans="1:12" ht="44" customHeight="1">
      <c r="A115" s="835"/>
      <c r="B115" s="835"/>
      <c r="C115" s="1433" t="s">
        <v>353</v>
      </c>
      <c r="D115" s="1433"/>
      <c r="E115" s="1433"/>
      <c r="F115" s="1433"/>
      <c r="G115" s="1433"/>
      <c r="H115" s="1433"/>
      <c r="I115" s="1433"/>
      <c r="J115" s="1433"/>
      <c r="K115" s="687"/>
      <c r="L115" s="38"/>
    </row>
    <row r="116" spans="1:12" ht="63" customHeight="1">
      <c r="A116" s="837"/>
      <c r="B116" s="837"/>
      <c r="C116" s="953" t="s">
        <v>449</v>
      </c>
      <c r="D116" s="953"/>
      <c r="E116" s="953"/>
      <c r="F116" s="953"/>
      <c r="G116" s="953"/>
      <c r="H116" s="953"/>
      <c r="I116" s="953"/>
      <c r="J116" s="953"/>
      <c r="K116" s="687"/>
      <c r="L116" s="38"/>
    </row>
    <row r="117" spans="1:12" ht="10" customHeight="1">
      <c r="K117" s="38"/>
      <c r="L117" s="38"/>
    </row>
  </sheetData>
  <sheetProtection sheet="1" formatCells="0" formatColumns="0" formatRows="0"/>
  <dataConsolidate/>
  <mergeCells count="136">
    <mergeCell ref="A11:B11"/>
    <mergeCell ref="C11:D11"/>
    <mergeCell ref="E11:F11"/>
    <mergeCell ref="G11:H11"/>
    <mergeCell ref="A12:B12"/>
    <mergeCell ref="C12:D12"/>
    <mergeCell ref="E12:F12"/>
    <mergeCell ref="G12:H12"/>
    <mergeCell ref="A8:H8"/>
    <mergeCell ref="A9:B9"/>
    <mergeCell ref="C9:D9"/>
    <mergeCell ref="E9:F9"/>
    <mergeCell ref="G9:H9"/>
    <mergeCell ref="A10:B10"/>
    <mergeCell ref="C10:D10"/>
    <mergeCell ref="E10:F10"/>
    <mergeCell ref="G10:H10"/>
    <mergeCell ref="B15:J15"/>
    <mergeCell ref="C115:J115"/>
    <mergeCell ref="B112:C112"/>
    <mergeCell ref="B84:C84"/>
    <mergeCell ref="B64:I64"/>
    <mergeCell ref="B69:H69"/>
    <mergeCell ref="B70:H70"/>
    <mergeCell ref="D84:E84"/>
    <mergeCell ref="D93:E93"/>
    <mergeCell ref="B67:J67"/>
    <mergeCell ref="B66:J66"/>
    <mergeCell ref="B68:H68"/>
    <mergeCell ref="I70:J70"/>
    <mergeCell ref="B56:I56"/>
    <mergeCell ref="B58:I58"/>
    <mergeCell ref="B60:I60"/>
    <mergeCell ref="B61:I61"/>
    <mergeCell ref="B59:I59"/>
    <mergeCell ref="B42:J42"/>
    <mergeCell ref="B43:J43"/>
    <mergeCell ref="B44:H44"/>
    <mergeCell ref="I44:J44"/>
    <mergeCell ref="B45:H45"/>
    <mergeCell ref="I45:J45"/>
    <mergeCell ref="C116:J116"/>
    <mergeCell ref="A115:B116"/>
    <mergeCell ref="B17:F17"/>
    <mergeCell ref="B18:F18"/>
    <mergeCell ref="B19:F19"/>
    <mergeCell ref="B20:F20"/>
    <mergeCell ref="B50:J50"/>
    <mergeCell ref="D112:J112"/>
    <mergeCell ref="D111:J111"/>
    <mergeCell ref="G17:H17"/>
    <mergeCell ref="B113:J114"/>
    <mergeCell ref="B111:C111"/>
    <mergeCell ref="B102:C102"/>
    <mergeCell ref="A66:A114"/>
    <mergeCell ref="A50:A64"/>
    <mergeCell ref="I68:J68"/>
    <mergeCell ref="I69:J69"/>
    <mergeCell ref="B93:C93"/>
    <mergeCell ref="B51:J51"/>
    <mergeCell ref="B53:I53"/>
    <mergeCell ref="B54:I54"/>
    <mergeCell ref="B62:I62"/>
    <mergeCell ref="B63:I63"/>
    <mergeCell ref="B55:I55"/>
    <mergeCell ref="C1:J1"/>
    <mergeCell ref="C2:J2"/>
    <mergeCell ref="C3:J3"/>
    <mergeCell ref="I93:J93"/>
    <mergeCell ref="D102:E102"/>
    <mergeCell ref="I102:J102"/>
    <mergeCell ref="G19:H19"/>
    <mergeCell ref="G20:H20"/>
    <mergeCell ref="I16:J16"/>
    <mergeCell ref="I19:J19"/>
    <mergeCell ref="I20:J20"/>
    <mergeCell ref="I17:J17"/>
    <mergeCell ref="I18:J18"/>
    <mergeCell ref="G18:H18"/>
    <mergeCell ref="B16:F16"/>
    <mergeCell ref="I84:J84"/>
    <mergeCell ref="C4:J4"/>
    <mergeCell ref="C5:J5"/>
    <mergeCell ref="C6:J6"/>
    <mergeCell ref="C7:J7"/>
    <mergeCell ref="A7:B7"/>
    <mergeCell ref="G16:H16"/>
    <mergeCell ref="B13:J13"/>
    <mergeCell ref="B14:J14"/>
    <mergeCell ref="K71:N71"/>
    <mergeCell ref="I71:J71"/>
    <mergeCell ref="B71:H71"/>
    <mergeCell ref="I73:J73"/>
    <mergeCell ref="D75:E75"/>
    <mergeCell ref="I75:J75"/>
    <mergeCell ref="I74:J74"/>
    <mergeCell ref="I72:J72"/>
    <mergeCell ref="B73:H73"/>
    <mergeCell ref="B74:H74"/>
    <mergeCell ref="B72:H72"/>
    <mergeCell ref="B75:C75"/>
    <mergeCell ref="A30:A41"/>
    <mergeCell ref="B30:J30"/>
    <mergeCell ref="B31:J31"/>
    <mergeCell ref="B33:I33"/>
    <mergeCell ref="B35:I35"/>
    <mergeCell ref="B36:I36"/>
    <mergeCell ref="B37:I37"/>
    <mergeCell ref="B39:I39"/>
    <mergeCell ref="B40:I40"/>
    <mergeCell ref="B41:I41"/>
    <mergeCell ref="B34:I34"/>
    <mergeCell ref="A13:A28"/>
    <mergeCell ref="B22:H22"/>
    <mergeCell ref="I22:J22"/>
    <mergeCell ref="B23:H23"/>
    <mergeCell ref="I23:J23"/>
    <mergeCell ref="B24:H24"/>
    <mergeCell ref="I24:J24"/>
    <mergeCell ref="K28:N28"/>
    <mergeCell ref="B48:H48"/>
    <mergeCell ref="I48:J48"/>
    <mergeCell ref="B21:J21"/>
    <mergeCell ref="B25:H25"/>
    <mergeCell ref="I25:J25"/>
    <mergeCell ref="B26:H26"/>
    <mergeCell ref="I26:J26"/>
    <mergeCell ref="B27:H27"/>
    <mergeCell ref="I27:J27"/>
    <mergeCell ref="B28:H28"/>
    <mergeCell ref="I28:J28"/>
    <mergeCell ref="B46:H46"/>
    <mergeCell ref="I46:J46"/>
    <mergeCell ref="B47:H47"/>
    <mergeCell ref="I47:J47"/>
    <mergeCell ref="K47:N47"/>
  </mergeCells>
  <phoneticPr fontId="5" type="noConversion"/>
  <hyperlinks>
    <hyperlink ref="G9:H9" location="Opgørelse!B12" display="Opgørelse" xr:uid="{D9D2F0D6-8184-A346-84BF-58D6C5ACA07B}"/>
    <hyperlink ref="A10:B10" location="August!A12" display="August" xr:uid="{0FBB5002-8A2E-9544-B54C-73C884CEA360}"/>
    <hyperlink ref="C10:D10" location="September!A8" display="September" xr:uid="{D815B978-FB0A-E149-9326-0645DC43E6F4}"/>
    <hyperlink ref="E10:F10" location="Oktober!A8" display="Oktober" xr:uid="{B49EFB27-2829-3D49-8F7C-F79599742C32}"/>
    <hyperlink ref="G10:H10" location="November!A8" display="November" xr:uid="{2829A42E-C4BC-FC4F-8858-EBCE32A4C40C}"/>
    <hyperlink ref="A11:B11" location="December!A8" display="December" xr:uid="{4FBF1BCD-1862-8442-A6FD-AA2929386FD3}"/>
    <hyperlink ref="C11:D11" location="Januar!A8" display="Januar" xr:uid="{EF347742-6A8B-7441-98B1-7FB6830433AF}"/>
    <hyperlink ref="E11:F11" location="Februar!A8" display="Februar" xr:uid="{3EFFA7D1-BC2D-C847-9995-18F2D6CD464E}"/>
    <hyperlink ref="A12:B12" location="April!A8" display="April" xr:uid="{FF0A29FB-B500-6440-B2B4-8EDD2147CCCD}"/>
    <hyperlink ref="C12:D12" location="Maj!A8" display="Maj" xr:uid="{4980DC58-ED40-B844-9CC8-E8F3FEB9D9B8}"/>
    <hyperlink ref="E12:F12" location="Juni!A8" display="Juni" xr:uid="{B23658D0-5C4A-F14A-8004-56C61A02C2C6}"/>
    <hyperlink ref="G12:H12" location="Juli!A8" display="Juli" xr:uid="{DE41197C-5655-104F-9288-B80D61119C1C}"/>
    <hyperlink ref="G11:H11" location="Marts!A8" display="Marts" xr:uid="{66558F6A-DB07-CE40-B55F-CF32AB30ED64}"/>
    <hyperlink ref="E9:F9" location="Stamoplysninger!E18" display="Stamoplysninger" xr:uid="{8F23AEF3-025F-8E40-9232-DB8B186BAC30}"/>
    <hyperlink ref="A9:B9" location="Opgaver!A8" display="Opgaver" xr:uid="{2CE3F91D-06D3-0148-9558-AB3090A42A83}"/>
    <hyperlink ref="C9:D9" location="Skemaoplysninger!A20" display="Skemaoplysninger" xr:uid="{8A510B31-373B-5F49-B966-E7564ED4AE41}"/>
  </hyperlinks>
  <printOptions horizontalCentered="1"/>
  <pageMargins left="0.25" right="0.25" top="0.75" bottom="0.75" header="0.3" footer="0.3"/>
  <pageSetup paperSize="9" scale="45" orientation="portrait" horizontalDpi="4294967292" verticalDpi="4294967292" r:id="rId1"/>
  <rowBreaks count="6" manualBreakCount="6">
    <brk id="28" max="16383" man="1"/>
    <brk id="47" max="9" man="1"/>
    <brk id="64" max="16383" man="1"/>
    <brk id="69" max="9" man="1"/>
    <brk id="74" max="16383" man="1"/>
    <brk id="113" max="16383" man="1"/>
  </rowBreaks>
  <colBreaks count="2" manualBreakCount="2">
    <brk id="1" min="12" max="46" man="1"/>
    <brk id="19" max="1048575" man="1"/>
  </colBreaks>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21262-29FD-1C4E-9405-DA2D546CED62}">
  <sheetPr>
    <tabColor theme="4" tint="-0.249977111117893"/>
    <pageSetUpPr fitToPage="1"/>
  </sheetPr>
  <dimension ref="A1:AO132"/>
  <sheetViews>
    <sheetView showZeros="0" topLeftCell="A28" zoomScale="135" zoomScaleNormal="100" workbookViewId="0">
      <selection activeCell="B39" sqref="B39:I39"/>
    </sheetView>
  </sheetViews>
  <sheetFormatPr baseColWidth="10" defaultRowHeight="16"/>
  <cols>
    <col min="9" max="9" width="10.83203125" customWidth="1"/>
    <col min="11" max="11" width="14.1640625" bestFit="1" customWidth="1"/>
  </cols>
  <sheetData>
    <row r="1" spans="1:12" ht="42" customHeight="1">
      <c r="C1" s="953" t="s">
        <v>629</v>
      </c>
      <c r="D1" s="953"/>
      <c r="E1" s="953"/>
      <c r="F1" s="953"/>
      <c r="G1" s="953"/>
      <c r="H1" s="953"/>
      <c r="I1" s="953"/>
      <c r="J1" s="953"/>
      <c r="K1" s="953"/>
    </row>
    <row r="2" spans="1:12" ht="47" customHeight="1">
      <c r="A2" s="837"/>
      <c r="B2" s="837"/>
      <c r="C2" s="953" t="s">
        <v>630</v>
      </c>
      <c r="D2" s="953"/>
      <c r="E2" s="953"/>
      <c r="F2" s="953"/>
      <c r="G2" s="953"/>
      <c r="H2" s="953"/>
      <c r="I2" s="953"/>
      <c r="J2" s="953"/>
      <c r="K2" s="953"/>
    </row>
    <row r="3" spans="1:12" ht="49" customHeight="1">
      <c r="A3" s="837"/>
      <c r="B3" s="837"/>
      <c r="C3" s="953" t="s">
        <v>447</v>
      </c>
      <c r="D3" s="953"/>
      <c r="E3" s="953"/>
      <c r="F3" s="953"/>
      <c r="G3" s="953"/>
      <c r="H3" s="953"/>
      <c r="I3" s="953"/>
      <c r="J3" s="953"/>
      <c r="K3" s="953"/>
    </row>
    <row r="4" spans="1:12" s="6" customFormat="1" ht="42" customHeight="1" thickBot="1">
      <c r="A4" s="864" t="s">
        <v>689</v>
      </c>
      <c r="B4" s="864"/>
      <c r="C4" s="864"/>
      <c r="D4" s="864"/>
      <c r="E4" s="864"/>
      <c r="F4" s="864"/>
      <c r="G4" s="864"/>
      <c r="H4" s="864"/>
      <c r="I4" s="771"/>
      <c r="J4" s="771"/>
      <c r="K4" s="460"/>
      <c r="L4" s="460"/>
    </row>
    <row r="5" spans="1:12" s="6" customFormat="1" ht="26" customHeight="1" thickBot="1">
      <c r="A5" s="1472" t="s">
        <v>503</v>
      </c>
      <c r="B5" s="870"/>
      <c r="C5" s="865" t="s">
        <v>690</v>
      </c>
      <c r="D5" s="866"/>
      <c r="E5" s="871" t="s">
        <v>687</v>
      </c>
      <c r="F5" s="1018"/>
      <c r="G5" s="1461" t="s">
        <v>367</v>
      </c>
      <c r="H5" s="1461"/>
      <c r="I5" s="771"/>
      <c r="J5" s="771"/>
      <c r="K5" s="460"/>
      <c r="L5" s="460"/>
    </row>
    <row r="6" spans="1:12" s="6" customFormat="1" ht="26" customHeight="1" thickBot="1">
      <c r="A6" s="873" t="s">
        <v>231</v>
      </c>
      <c r="B6" s="873"/>
      <c r="C6" s="873" t="s">
        <v>233</v>
      </c>
      <c r="D6" s="873"/>
      <c r="E6" s="873" t="s">
        <v>234</v>
      </c>
      <c r="F6" s="873"/>
      <c r="G6" s="873" t="s">
        <v>235</v>
      </c>
      <c r="H6" s="873"/>
      <c r="I6" s="771"/>
      <c r="J6" s="771"/>
      <c r="K6" s="460"/>
      <c r="L6" s="460"/>
    </row>
    <row r="7" spans="1:12" s="6" customFormat="1" ht="26" customHeight="1" thickBot="1">
      <c r="A7" s="873" t="s">
        <v>279</v>
      </c>
      <c r="B7" s="873"/>
      <c r="C7" s="873" t="s">
        <v>280</v>
      </c>
      <c r="D7" s="873"/>
      <c r="E7" s="873" t="s">
        <v>281</v>
      </c>
      <c r="F7" s="873"/>
      <c r="G7" s="873" t="s">
        <v>282</v>
      </c>
      <c r="H7" s="873"/>
      <c r="I7" s="771"/>
      <c r="J7" s="771"/>
      <c r="K7" s="460"/>
      <c r="L7" s="460"/>
    </row>
    <row r="8" spans="1:12" s="6" customFormat="1" ht="26" customHeight="1" thickBot="1">
      <c r="A8" s="873" t="s">
        <v>283</v>
      </c>
      <c r="B8" s="873"/>
      <c r="C8" s="873" t="s">
        <v>284</v>
      </c>
      <c r="D8" s="873"/>
      <c r="E8" s="873" t="s">
        <v>285</v>
      </c>
      <c r="F8" s="873"/>
      <c r="G8" s="873" t="s">
        <v>286</v>
      </c>
      <c r="H8" s="873"/>
      <c r="I8" s="771"/>
      <c r="J8" s="771"/>
      <c r="K8" s="460"/>
      <c r="L8" s="460"/>
    </row>
    <row r="9" spans="1:12" ht="26" customHeight="1">
      <c r="A9" s="1462">
        <v>1</v>
      </c>
      <c r="B9" s="1464" t="s">
        <v>329</v>
      </c>
      <c r="C9" s="1465"/>
      <c r="D9" s="1465"/>
      <c r="E9" s="1465"/>
      <c r="F9" s="1465"/>
      <c r="G9" s="1465"/>
      <c r="H9" s="1465"/>
      <c r="I9" s="1465"/>
      <c r="J9" s="1466"/>
      <c r="K9" s="628"/>
    </row>
    <row r="10" spans="1:12" ht="19" customHeight="1">
      <c r="A10" s="1463"/>
      <c r="B10" s="1339" t="s">
        <v>330</v>
      </c>
      <c r="C10" s="1340"/>
      <c r="D10" s="1340"/>
      <c r="E10" s="1340"/>
      <c r="F10" s="1340"/>
      <c r="G10" s="1340"/>
      <c r="H10" s="1340"/>
      <c r="I10" s="1340"/>
      <c r="J10" s="1341"/>
    </row>
    <row r="11" spans="1:12" ht="16" customHeight="1">
      <c r="A11" s="1463"/>
      <c r="B11" s="468"/>
      <c r="C11" s="349"/>
      <c r="D11" s="349"/>
      <c r="E11" s="349"/>
      <c r="F11" s="349"/>
      <c r="G11" s="349"/>
      <c r="H11" s="349"/>
      <c r="I11" s="350"/>
      <c r="J11" s="351" t="s">
        <v>30</v>
      </c>
    </row>
    <row r="12" spans="1:12" ht="16" customHeight="1">
      <c r="A12" s="1463"/>
      <c r="B12" s="1342" t="s">
        <v>56</v>
      </c>
      <c r="C12" s="1343"/>
      <c r="D12" s="1343"/>
      <c r="E12" s="1343"/>
      <c r="F12" s="1343"/>
      <c r="G12" s="1343"/>
      <c r="H12" s="1343"/>
      <c r="I12" s="1344"/>
      <c r="J12" s="352">
        <f>Arbejdstidsoversigt!I20</f>
        <v>1687.2</v>
      </c>
    </row>
    <row r="13" spans="1:12" ht="16" customHeight="1">
      <c r="A13" s="1463"/>
      <c r="B13" s="1345" t="s">
        <v>89</v>
      </c>
      <c r="C13" s="1346"/>
      <c r="D13" s="1346"/>
      <c r="E13" s="1346"/>
      <c r="F13" s="1346"/>
      <c r="G13" s="1346"/>
      <c r="H13" s="1346"/>
      <c r="I13" s="1347"/>
      <c r="J13" s="352">
        <f>Arbejdstidsoversigt!J54</f>
        <v>43</v>
      </c>
    </row>
    <row r="14" spans="1:12" ht="16" customHeight="1">
      <c r="A14" s="1463"/>
      <c r="B14" s="1345" t="s">
        <v>121</v>
      </c>
      <c r="C14" s="1346"/>
      <c r="D14" s="1346"/>
      <c r="E14" s="1346"/>
      <c r="F14" s="1346"/>
      <c r="G14" s="1346"/>
      <c r="H14" s="1346"/>
      <c r="I14" s="1347"/>
      <c r="J14" s="352">
        <f>Arbejdstidsoversigt!J55</f>
        <v>83.649999999999991</v>
      </c>
    </row>
    <row r="15" spans="1:12" ht="16" customHeight="1">
      <c r="A15" s="1463"/>
      <c r="B15" s="1345" t="s">
        <v>167</v>
      </c>
      <c r="C15" s="1346"/>
      <c r="D15" s="1346"/>
      <c r="E15" s="1346"/>
      <c r="F15" s="1346"/>
      <c r="G15" s="1346"/>
      <c r="H15" s="1346"/>
      <c r="I15" s="1347"/>
      <c r="J15" s="352">
        <f>Arbejdstidsoversigt!J56</f>
        <v>23</v>
      </c>
    </row>
    <row r="16" spans="1:12" ht="16" customHeight="1">
      <c r="A16" s="1463"/>
      <c r="B16" s="469" t="s">
        <v>407</v>
      </c>
      <c r="C16" s="438"/>
      <c r="D16" s="438"/>
      <c r="E16" s="438"/>
      <c r="F16" s="438"/>
      <c r="G16" s="438"/>
      <c r="H16" s="438"/>
      <c r="I16" s="439"/>
      <c r="J16" s="352">
        <f>Arbejdstidsoversigt!J57</f>
        <v>0</v>
      </c>
    </row>
    <row r="17" spans="1:41" ht="16" customHeight="1">
      <c r="A17" s="1463"/>
      <c r="B17" s="1345" t="s">
        <v>275</v>
      </c>
      <c r="C17" s="1346"/>
      <c r="D17" s="1346"/>
      <c r="E17" s="1346"/>
      <c r="F17" s="1346"/>
      <c r="G17" s="1346"/>
      <c r="H17" s="1346"/>
      <c r="I17" s="1347"/>
      <c r="J17" s="352">
        <f>Arbejdstidsoversigt!J58</f>
        <v>10</v>
      </c>
    </row>
    <row r="18" spans="1:41" ht="17" customHeight="1" thickBot="1">
      <c r="A18" s="1463"/>
      <c r="B18" s="1348" t="s">
        <v>441</v>
      </c>
      <c r="C18" s="1349"/>
      <c r="D18" s="1349"/>
      <c r="E18" s="1349"/>
      <c r="F18" s="1349"/>
      <c r="G18" s="1349"/>
      <c r="H18" s="1349"/>
      <c r="I18" s="1350"/>
      <c r="J18" s="352">
        <f>Arbejdstidsoversigt!J59</f>
        <v>-5</v>
      </c>
    </row>
    <row r="19" spans="1:41" ht="16" hidden="1" customHeight="1">
      <c r="A19" s="1463"/>
      <c r="B19" s="1467" t="s">
        <v>622</v>
      </c>
      <c r="C19" s="1468"/>
      <c r="D19" s="1468"/>
      <c r="E19" s="1468"/>
      <c r="F19" s="1468"/>
      <c r="G19" s="1468"/>
      <c r="H19" s="1468"/>
      <c r="I19" s="1469"/>
      <c r="J19" s="220">
        <f>J12-J13-J14-J15-J16-J17-J18</f>
        <v>1532.55</v>
      </c>
    </row>
    <row r="20" spans="1:41" ht="32" hidden="1" customHeight="1">
      <c r="A20" s="1463"/>
      <c r="B20" s="1327" t="s">
        <v>623</v>
      </c>
      <c r="C20" s="1328"/>
      <c r="D20" s="1328"/>
      <c r="E20" s="1328"/>
      <c r="F20" s="1328"/>
      <c r="G20" s="1328"/>
      <c r="H20" s="1328"/>
      <c r="I20" s="1328"/>
      <c r="J20" s="690">
        <f>Arbejdstidsoversigt!D105</f>
        <v>0</v>
      </c>
      <c r="K20" s="38"/>
      <c r="L20" s="38"/>
    </row>
    <row r="21" spans="1:41" ht="17" hidden="1" customHeight="1">
      <c r="A21" s="1463"/>
      <c r="B21" s="1470" t="s">
        <v>63</v>
      </c>
      <c r="C21" s="1471"/>
      <c r="D21" s="1471"/>
      <c r="E21" s="1471"/>
      <c r="F21" s="1471"/>
      <c r="G21" s="1471"/>
      <c r="H21" s="1471"/>
      <c r="I21" s="1471"/>
      <c r="J21" s="691">
        <f>Arbejdstidsoversigt!D106</f>
        <v>0</v>
      </c>
      <c r="K21" s="38"/>
      <c r="L21" s="38"/>
    </row>
    <row r="22" spans="1:41" ht="17" customHeight="1">
      <c r="A22" s="1463"/>
      <c r="B22" s="1467" t="s">
        <v>331</v>
      </c>
      <c r="C22" s="1468"/>
      <c r="D22" s="1468"/>
      <c r="E22" s="1468"/>
      <c r="F22" s="1468"/>
      <c r="G22" s="1468"/>
      <c r="H22" s="1468"/>
      <c r="I22" s="1469"/>
      <c r="J22" s="220">
        <f>J12-J13-J14-J15-J16-J17-J18</f>
        <v>1532.55</v>
      </c>
    </row>
    <row r="23" spans="1:41" ht="17" customHeight="1">
      <c r="A23" s="1463"/>
      <c r="B23" s="1345" t="s">
        <v>243</v>
      </c>
      <c r="C23" s="1346"/>
      <c r="D23" s="1346"/>
      <c r="E23" s="1346"/>
      <c r="F23" s="1346"/>
      <c r="G23" s="1346"/>
      <c r="H23" s="1346"/>
      <c r="I23" s="1347"/>
      <c r="J23" s="330">
        <f>Arbejdstidsoversigt!J61</f>
        <v>658.25</v>
      </c>
    </row>
    <row r="24" spans="1:41" ht="17" customHeight="1">
      <c r="A24" s="1463"/>
      <c r="B24" s="1345" t="s">
        <v>332</v>
      </c>
      <c r="C24" s="1346"/>
      <c r="D24" s="1346"/>
      <c r="E24" s="1346"/>
      <c r="F24" s="1346"/>
      <c r="G24" s="1346"/>
      <c r="H24" s="1346"/>
      <c r="I24" s="1347"/>
      <c r="J24" s="330">
        <f>Arbejdstidsoversigt!J62</f>
        <v>80.25</v>
      </c>
      <c r="K24" s="109"/>
    </row>
    <row r="25" spans="1:41" ht="17" customHeight="1">
      <c r="A25" s="1463"/>
      <c r="B25" s="1345" t="s">
        <v>333</v>
      </c>
      <c r="C25" s="1346"/>
      <c r="D25" s="1346"/>
      <c r="E25" s="1346"/>
      <c r="F25" s="1346"/>
      <c r="G25" s="1346"/>
      <c r="H25" s="1346"/>
      <c r="I25" s="1347"/>
      <c r="J25" s="330">
        <f>August!P46+September!P44+Oktober!P45+November!P44+December!P45+Januar!P45+Februar!P43+Marts!P45+April!P44+Maj!P45+Juni!P44+Juli!P45</f>
        <v>268.41666666666669</v>
      </c>
    </row>
    <row r="26" spans="1:41" ht="34" customHeight="1" thickBot="1">
      <c r="A26" s="1463"/>
      <c r="B26" s="1476" t="s">
        <v>625</v>
      </c>
      <c r="C26" s="1477"/>
      <c r="D26" s="1477"/>
      <c r="E26" s="1477"/>
      <c r="F26" s="1477"/>
      <c r="G26" s="1477"/>
      <c r="H26" s="1477"/>
      <c r="I26" s="1478"/>
      <c r="J26" s="470">
        <f>J22-J23-J24-J25</f>
        <v>525.63333333333321</v>
      </c>
    </row>
    <row r="27" spans="1:41" ht="49" customHeight="1" thickBot="1">
      <c r="A27" s="293"/>
      <c r="B27" s="293"/>
      <c r="C27" s="689"/>
      <c r="D27" s="689"/>
      <c r="E27" s="689"/>
      <c r="F27" s="689"/>
      <c r="G27" s="689"/>
      <c r="H27" s="689"/>
      <c r="I27" s="689"/>
      <c r="J27" s="689"/>
      <c r="K27" s="689"/>
    </row>
    <row r="28" spans="1:41" ht="58" customHeight="1">
      <c r="A28" s="1524" t="s">
        <v>626</v>
      </c>
      <c r="B28" s="1480" t="str">
        <f>"Liste over øvrige opgaver til "&amp;Stamoplysninger!E13&amp;""</f>
        <v>Liste over øvrige opgaver til Beate Simonsen</v>
      </c>
      <c r="C28" s="1481"/>
      <c r="D28" s="1481"/>
      <c r="E28" s="1481"/>
      <c r="F28" s="1481"/>
      <c r="G28" s="1481"/>
      <c r="H28" s="1481"/>
      <c r="I28" s="1482"/>
      <c r="J28" s="1497" t="s">
        <v>461</v>
      </c>
      <c r="K28" s="1513" t="s">
        <v>68</v>
      </c>
      <c r="L28" s="1479"/>
      <c r="M28" s="38" t="s">
        <v>459</v>
      </c>
    </row>
    <row r="29" spans="1:41" ht="45" customHeight="1" thickBot="1">
      <c r="A29" s="1525"/>
      <c r="B29" s="1483" t="s">
        <v>473</v>
      </c>
      <c r="C29" s="1484"/>
      <c r="D29" s="1484"/>
      <c r="E29" s="1484"/>
      <c r="F29" s="1484"/>
      <c r="G29" s="1484"/>
      <c r="H29" s="1484"/>
      <c r="I29" s="1485"/>
      <c r="J29" s="1498"/>
      <c r="K29" s="1514"/>
      <c r="L29" s="1479"/>
      <c r="M29" s="38" t="s">
        <v>460</v>
      </c>
    </row>
    <row r="30" spans="1:41" s="4" customFormat="1" ht="40" customHeight="1">
      <c r="A30" s="1525"/>
      <c r="B30" s="1486" t="s">
        <v>472</v>
      </c>
      <c r="C30" s="1487"/>
      <c r="D30" s="1487"/>
      <c r="E30" s="1487"/>
      <c r="F30" s="1487"/>
      <c r="G30" s="1487"/>
      <c r="H30" s="1487"/>
      <c r="I30" s="1488"/>
      <c r="J30" s="1498"/>
      <c r="K30" s="1495">
        <f>J26</f>
        <v>525.63333333333321</v>
      </c>
      <c r="L30" s="1479"/>
      <c r="M30" s="213"/>
      <c r="N30" s="214"/>
      <c r="O30" s="215"/>
      <c r="P30" s="215"/>
      <c r="Q30" s="212"/>
      <c r="R30" s="212"/>
      <c r="S30" s="212"/>
      <c r="T30" s="212"/>
      <c r="U30" s="212"/>
      <c r="W30" s="213"/>
      <c r="X30" s="214"/>
      <c r="Y30" s="215"/>
      <c r="Z30" s="215"/>
      <c r="AA30" s="212"/>
      <c r="AB30" s="212"/>
      <c r="AC30" s="212"/>
      <c r="AD30" s="212"/>
      <c r="AE30" s="212"/>
      <c r="AG30" s="213"/>
      <c r="AH30" s="214"/>
      <c r="AI30" s="215"/>
      <c r="AJ30" s="215"/>
      <c r="AK30" s="212"/>
      <c r="AL30" s="212"/>
      <c r="AM30" s="212"/>
      <c r="AN30" s="212"/>
      <c r="AO30" s="212"/>
    </row>
    <row r="31" spans="1:41" s="4" customFormat="1" ht="12" customHeight="1">
      <c r="A31" s="1525"/>
      <c r="B31" s="1500" t="s">
        <v>471</v>
      </c>
      <c r="C31" s="1501"/>
      <c r="D31" s="1501"/>
      <c r="E31" s="1501"/>
      <c r="F31" s="1501"/>
      <c r="G31" s="1501"/>
      <c r="H31" s="1501"/>
      <c r="I31" s="1502"/>
      <c r="J31" s="1498"/>
      <c r="K31" s="1495"/>
      <c r="L31" s="1479"/>
      <c r="M31" s="213"/>
      <c r="N31" s="214"/>
      <c r="O31" s="215"/>
      <c r="P31" s="215"/>
      <c r="Q31" s="212"/>
      <c r="R31" s="212"/>
      <c r="S31" s="212"/>
      <c r="T31" s="212"/>
      <c r="U31" s="212"/>
      <c r="W31" s="213"/>
      <c r="X31" s="214"/>
      <c r="Y31" s="215"/>
      <c r="Z31" s="215"/>
      <c r="AA31" s="212"/>
      <c r="AB31" s="212"/>
      <c r="AC31" s="212"/>
      <c r="AD31" s="212"/>
      <c r="AE31" s="212"/>
      <c r="AG31" s="213"/>
      <c r="AH31" s="214"/>
      <c r="AI31" s="215"/>
      <c r="AJ31" s="215"/>
      <c r="AK31" s="212"/>
      <c r="AL31" s="212"/>
      <c r="AM31" s="212"/>
      <c r="AN31" s="212"/>
      <c r="AO31" s="212"/>
    </row>
    <row r="32" spans="1:41" s="4" customFormat="1" ht="49" customHeight="1" thickBot="1">
      <c r="A32" s="1525"/>
      <c r="B32" s="1489" t="s">
        <v>474</v>
      </c>
      <c r="C32" s="1490"/>
      <c r="D32" s="1490"/>
      <c r="E32" s="1490"/>
      <c r="F32" s="1490"/>
      <c r="G32" s="1490"/>
      <c r="H32" s="1490"/>
      <c r="I32" s="1491"/>
      <c r="J32" s="1499"/>
      <c r="K32" s="1496"/>
      <c r="L32" s="1479"/>
    </row>
    <row r="33" spans="1:41" s="4" customFormat="1" ht="39" customHeight="1">
      <c r="A33" s="1525"/>
      <c r="B33" s="1492" t="s">
        <v>721</v>
      </c>
      <c r="C33" s="1493"/>
      <c r="D33" s="1493"/>
      <c r="E33" s="1493"/>
      <c r="F33" s="1493"/>
      <c r="G33" s="1493"/>
      <c r="H33" s="1493"/>
      <c r="I33" s="1494"/>
      <c r="J33" s="505" t="s">
        <v>459</v>
      </c>
      <c r="K33" s="506">
        <v>350</v>
      </c>
      <c r="L33" s="226"/>
      <c r="M33" s="807"/>
      <c r="N33" s="214"/>
      <c r="O33" s="215"/>
      <c r="P33" s="215"/>
      <c r="Q33" s="212"/>
      <c r="R33" s="212"/>
      <c r="S33" s="212"/>
      <c r="T33" s="212"/>
      <c r="U33" s="212"/>
      <c r="W33" s="213"/>
      <c r="X33" s="214"/>
      <c r="Y33" s="215"/>
      <c r="Z33" s="215"/>
      <c r="AA33" s="212"/>
      <c r="AB33" s="212"/>
      <c r="AC33" s="212"/>
      <c r="AD33" s="212"/>
      <c r="AE33" s="212"/>
      <c r="AG33" s="213"/>
      <c r="AH33" s="214"/>
      <c r="AI33" s="215"/>
      <c r="AJ33" s="215"/>
      <c r="AK33" s="212"/>
      <c r="AL33" s="212"/>
      <c r="AM33" s="212"/>
      <c r="AN33" s="212"/>
      <c r="AO33" s="212"/>
    </row>
    <row r="34" spans="1:41" s="4" customFormat="1" ht="20" customHeight="1">
      <c r="A34" s="1525"/>
      <c r="B34" s="1473" t="s">
        <v>770</v>
      </c>
      <c r="C34" s="1474"/>
      <c r="D34" s="1474"/>
      <c r="E34" s="1474"/>
      <c r="F34" s="1474"/>
      <c r="G34" s="1474"/>
      <c r="H34" s="1474"/>
      <c r="I34" s="1475"/>
      <c r="J34" s="505" t="s">
        <v>459</v>
      </c>
      <c r="K34" s="360">
        <v>50</v>
      </c>
      <c r="L34" s="226"/>
      <c r="M34" s="213"/>
      <c r="N34" s="214"/>
      <c r="O34" s="215"/>
      <c r="P34" s="215"/>
      <c r="Q34" s="212"/>
      <c r="R34" s="212"/>
      <c r="S34" s="212"/>
      <c r="T34" s="212"/>
      <c r="U34" s="212"/>
      <c r="W34" s="213"/>
      <c r="X34" s="214"/>
      <c r="Y34" s="215"/>
      <c r="Z34" s="215"/>
      <c r="AA34" s="212"/>
      <c r="AB34" s="212"/>
      <c r="AC34" s="212"/>
      <c r="AD34" s="212"/>
      <c r="AE34" s="212"/>
      <c r="AG34" s="213"/>
      <c r="AH34" s="214"/>
      <c r="AI34" s="215"/>
      <c r="AJ34" s="215"/>
      <c r="AK34" s="212"/>
      <c r="AL34" s="212"/>
      <c r="AM34" s="212"/>
      <c r="AN34" s="212"/>
      <c r="AO34" s="212"/>
    </row>
    <row r="35" spans="1:41" s="4" customFormat="1" ht="20" customHeight="1">
      <c r="A35" s="1525"/>
      <c r="B35" s="1473" t="s">
        <v>18</v>
      </c>
      <c r="C35" s="1474"/>
      <c r="D35" s="1474"/>
      <c r="E35" s="1474"/>
      <c r="F35" s="1474"/>
      <c r="G35" s="1474"/>
      <c r="H35" s="1474"/>
      <c r="I35" s="1475"/>
      <c r="J35" s="505" t="s">
        <v>459</v>
      </c>
      <c r="K35" s="360">
        <v>75</v>
      </c>
      <c r="L35" s="226"/>
      <c r="M35" s="213"/>
      <c r="N35" s="214"/>
      <c r="O35" s="215"/>
      <c r="P35" s="215"/>
      <c r="Q35" s="212"/>
      <c r="R35" s="212"/>
      <c r="S35" s="212"/>
      <c r="T35" s="212"/>
      <c r="U35" s="212"/>
      <c r="W35" s="213"/>
      <c r="X35" s="214"/>
      <c r="Y35" s="215"/>
      <c r="Z35" s="215"/>
      <c r="AA35" s="212"/>
      <c r="AB35" s="212"/>
      <c r="AC35" s="212"/>
      <c r="AD35" s="212"/>
      <c r="AE35" s="212"/>
      <c r="AG35" s="213"/>
      <c r="AH35" s="214"/>
      <c r="AI35" s="215"/>
      <c r="AJ35" s="215"/>
      <c r="AK35" s="212"/>
      <c r="AL35" s="212"/>
      <c r="AM35" s="212"/>
      <c r="AN35" s="212"/>
      <c r="AO35" s="212"/>
    </row>
    <row r="36" spans="1:41" s="4" customFormat="1" ht="20" customHeight="1">
      <c r="A36" s="1525"/>
      <c r="B36" s="1473" t="s">
        <v>722</v>
      </c>
      <c r="C36" s="1474"/>
      <c r="D36" s="1474"/>
      <c r="E36" s="1474"/>
      <c r="F36" s="1474"/>
      <c r="G36" s="1474"/>
      <c r="H36" s="1474"/>
      <c r="I36" s="1475"/>
      <c r="J36" s="505" t="s">
        <v>459</v>
      </c>
      <c r="K36" s="360">
        <v>0</v>
      </c>
      <c r="L36" s="226"/>
      <c r="M36" s="213"/>
      <c r="N36" s="214"/>
      <c r="O36" s="215"/>
      <c r="P36" s="215"/>
      <c r="Q36" s="212"/>
      <c r="R36" s="212"/>
      <c r="S36" s="212"/>
      <c r="T36" s="212"/>
      <c r="U36" s="212"/>
      <c r="W36" s="213"/>
      <c r="X36" s="214"/>
      <c r="Y36" s="215"/>
      <c r="Z36" s="215"/>
      <c r="AA36" s="212"/>
      <c r="AB36" s="212"/>
      <c r="AC36" s="212"/>
      <c r="AD36" s="212"/>
      <c r="AE36" s="212"/>
      <c r="AG36" s="213"/>
      <c r="AH36" s="214"/>
      <c r="AI36" s="215"/>
      <c r="AJ36" s="215"/>
      <c r="AK36" s="212"/>
      <c r="AL36" s="212"/>
      <c r="AM36" s="212"/>
      <c r="AN36" s="212"/>
      <c r="AO36" s="212"/>
    </row>
    <row r="37" spans="1:41" s="4" customFormat="1" ht="20" customHeight="1">
      <c r="A37" s="1525"/>
      <c r="B37" s="1473" t="s">
        <v>789</v>
      </c>
      <c r="C37" s="1474"/>
      <c r="D37" s="1474"/>
      <c r="E37" s="1474"/>
      <c r="F37" s="1474"/>
      <c r="G37" s="1474"/>
      <c r="H37" s="1474"/>
      <c r="I37" s="1475"/>
      <c r="J37" s="505" t="s">
        <v>459</v>
      </c>
      <c r="K37" s="360">
        <v>30</v>
      </c>
      <c r="L37" s="226"/>
      <c r="M37" s="213"/>
      <c r="N37" s="214"/>
      <c r="O37" s="215"/>
      <c r="P37" s="215"/>
      <c r="Q37" s="212"/>
      <c r="R37" s="212"/>
      <c r="S37" s="212"/>
      <c r="T37" s="212"/>
      <c r="U37" s="212"/>
      <c r="W37" s="213"/>
      <c r="X37" s="214"/>
      <c r="Y37" s="215"/>
      <c r="Z37" s="215"/>
      <c r="AA37" s="212"/>
      <c r="AB37" s="212"/>
      <c r="AC37" s="212"/>
      <c r="AD37" s="212"/>
      <c r="AE37" s="212"/>
      <c r="AG37" s="213"/>
      <c r="AH37" s="214"/>
      <c r="AI37" s="215"/>
      <c r="AJ37" s="215"/>
      <c r="AK37" s="212"/>
      <c r="AL37" s="212"/>
      <c r="AM37" s="212"/>
      <c r="AN37" s="212"/>
      <c r="AO37" s="212"/>
    </row>
    <row r="38" spans="1:41" s="4" customFormat="1" ht="20" customHeight="1">
      <c r="A38" s="1525"/>
      <c r="B38" s="1473"/>
      <c r="C38" s="1474"/>
      <c r="D38" s="1474"/>
      <c r="E38" s="1474"/>
      <c r="F38" s="1474"/>
      <c r="G38" s="1474"/>
      <c r="H38" s="1474"/>
      <c r="I38" s="1475"/>
      <c r="J38" s="505"/>
      <c r="K38" s="360"/>
      <c r="L38" s="226"/>
      <c r="M38" s="213"/>
      <c r="N38" s="214"/>
      <c r="O38" s="215"/>
      <c r="P38" s="215"/>
      <c r="Q38" s="212"/>
      <c r="R38" s="212"/>
      <c r="S38" s="212"/>
      <c r="T38" s="212"/>
      <c r="U38" s="212"/>
      <c r="W38" s="213"/>
      <c r="X38" s="214"/>
      <c r="Y38" s="215"/>
      <c r="Z38" s="215"/>
      <c r="AA38" s="212"/>
      <c r="AB38" s="212"/>
      <c r="AC38" s="212"/>
      <c r="AD38" s="212"/>
      <c r="AE38" s="212"/>
      <c r="AG38" s="213"/>
      <c r="AH38" s="214"/>
      <c r="AI38" s="215"/>
      <c r="AJ38" s="215"/>
      <c r="AK38" s="212"/>
      <c r="AL38" s="212"/>
      <c r="AM38" s="212"/>
      <c r="AN38" s="212"/>
      <c r="AO38" s="212"/>
    </row>
    <row r="39" spans="1:41" s="4" customFormat="1" ht="20" customHeight="1">
      <c r="A39" s="1525"/>
      <c r="B39" s="1473"/>
      <c r="C39" s="1474"/>
      <c r="D39" s="1474"/>
      <c r="E39" s="1474"/>
      <c r="F39" s="1474"/>
      <c r="G39" s="1474"/>
      <c r="H39" s="1474"/>
      <c r="I39" s="1475"/>
      <c r="J39" s="505"/>
      <c r="K39" s="360"/>
      <c r="L39" s="226"/>
      <c r="M39" s="213"/>
      <c r="N39" s="214"/>
      <c r="O39" s="215"/>
      <c r="P39" s="215"/>
      <c r="Q39" s="212"/>
      <c r="R39" s="212"/>
      <c r="S39" s="212"/>
      <c r="T39" s="212"/>
      <c r="U39" s="212"/>
      <c r="W39" s="213"/>
      <c r="X39" s="214"/>
      <c r="Y39" s="215"/>
      <c r="Z39" s="215"/>
      <c r="AA39" s="212"/>
      <c r="AB39" s="212"/>
      <c r="AC39" s="212"/>
      <c r="AD39" s="212"/>
      <c r="AE39" s="212"/>
      <c r="AG39" s="213"/>
      <c r="AH39" s="214"/>
      <c r="AI39" s="215"/>
      <c r="AJ39" s="215"/>
      <c r="AK39" s="212"/>
      <c r="AL39" s="212"/>
      <c r="AM39" s="212"/>
      <c r="AN39" s="212"/>
      <c r="AO39" s="212"/>
    </row>
    <row r="40" spans="1:41" s="4" customFormat="1" ht="20" customHeight="1">
      <c r="A40" s="1525"/>
      <c r="B40" s="1473"/>
      <c r="C40" s="1474"/>
      <c r="D40" s="1474"/>
      <c r="E40" s="1474"/>
      <c r="F40" s="1474"/>
      <c r="G40" s="1474"/>
      <c r="H40" s="1474"/>
      <c r="I40" s="1475"/>
      <c r="J40" s="505"/>
      <c r="K40" s="360"/>
      <c r="L40" s="226"/>
      <c r="M40" s="213"/>
      <c r="N40" s="214"/>
      <c r="O40" s="215"/>
      <c r="P40" s="215"/>
      <c r="Q40" s="212"/>
      <c r="R40" s="212"/>
      <c r="S40" s="212"/>
      <c r="T40" s="212"/>
      <c r="U40" s="212"/>
      <c r="W40" s="213"/>
      <c r="X40" s="214"/>
      <c r="Y40" s="215"/>
      <c r="Z40" s="215"/>
      <c r="AA40" s="212"/>
      <c r="AB40" s="212"/>
      <c r="AC40" s="212"/>
      <c r="AD40" s="212"/>
      <c r="AE40" s="212"/>
      <c r="AG40" s="213"/>
      <c r="AH40" s="214"/>
      <c r="AI40" s="215"/>
      <c r="AJ40" s="215"/>
      <c r="AK40" s="212"/>
      <c r="AL40" s="212"/>
      <c r="AM40" s="212"/>
      <c r="AN40" s="212"/>
      <c r="AO40" s="212"/>
    </row>
    <row r="41" spans="1:41" s="4" customFormat="1" ht="20" customHeight="1">
      <c r="A41" s="1525"/>
      <c r="B41" s="1473"/>
      <c r="C41" s="1474"/>
      <c r="D41" s="1474"/>
      <c r="E41" s="1474"/>
      <c r="F41" s="1474"/>
      <c r="G41" s="1474"/>
      <c r="H41" s="1474"/>
      <c r="I41" s="1475"/>
      <c r="J41" s="505"/>
      <c r="K41" s="360"/>
      <c r="L41" s="226"/>
      <c r="M41" s="213"/>
      <c r="N41" s="214"/>
      <c r="O41" s="215"/>
      <c r="P41" s="215"/>
      <c r="Q41" s="212"/>
      <c r="R41" s="212"/>
      <c r="S41" s="212"/>
      <c r="T41" s="212"/>
      <c r="U41" s="212"/>
      <c r="W41" s="213"/>
      <c r="X41" s="214"/>
      <c r="Y41" s="215"/>
      <c r="Z41" s="215"/>
      <c r="AA41" s="212"/>
      <c r="AB41" s="212"/>
      <c r="AC41" s="212"/>
      <c r="AD41" s="212"/>
      <c r="AE41" s="212"/>
      <c r="AG41" s="213"/>
      <c r="AH41" s="214"/>
      <c r="AI41" s="215"/>
      <c r="AJ41" s="215"/>
      <c r="AK41" s="212"/>
      <c r="AL41" s="212"/>
      <c r="AM41" s="212"/>
      <c r="AN41" s="212"/>
      <c r="AO41" s="212"/>
    </row>
    <row r="42" spans="1:41" s="4" customFormat="1" ht="20" customHeight="1">
      <c r="A42" s="1525"/>
      <c r="B42" s="1473"/>
      <c r="C42" s="1474"/>
      <c r="D42" s="1474"/>
      <c r="E42" s="1474"/>
      <c r="F42" s="1474"/>
      <c r="G42" s="1474"/>
      <c r="H42" s="1474"/>
      <c r="I42" s="1475"/>
      <c r="J42" s="505"/>
      <c r="K42" s="360"/>
      <c r="L42" s="226"/>
      <c r="M42" s="213"/>
      <c r="N42" s="214"/>
      <c r="O42" s="215"/>
      <c r="P42" s="215"/>
      <c r="Q42" s="212"/>
      <c r="R42" s="212"/>
      <c r="S42" s="212"/>
      <c r="T42" s="212"/>
      <c r="U42" s="212"/>
      <c r="W42" s="213"/>
      <c r="X42" s="214"/>
      <c r="Y42" s="215"/>
      <c r="Z42" s="215"/>
      <c r="AA42" s="212"/>
      <c r="AB42" s="212"/>
      <c r="AC42" s="212"/>
      <c r="AD42" s="212"/>
      <c r="AE42" s="212"/>
      <c r="AG42" s="213"/>
      <c r="AH42" s="214"/>
      <c r="AI42" s="215"/>
      <c r="AJ42" s="215"/>
      <c r="AK42" s="212"/>
      <c r="AL42" s="212"/>
      <c r="AM42" s="212"/>
      <c r="AN42" s="212"/>
      <c r="AO42" s="212"/>
    </row>
    <row r="43" spans="1:41" s="4" customFormat="1" ht="20" customHeight="1">
      <c r="A43" s="1525"/>
      <c r="B43" s="1473"/>
      <c r="C43" s="1474"/>
      <c r="D43" s="1474"/>
      <c r="E43" s="1474"/>
      <c r="F43" s="1474"/>
      <c r="G43" s="1474"/>
      <c r="H43" s="1474"/>
      <c r="I43" s="1475"/>
      <c r="J43" s="505"/>
      <c r="K43" s="360"/>
      <c r="L43" s="226"/>
      <c r="M43" s="213"/>
      <c r="N43" s="214"/>
      <c r="O43" s="215"/>
      <c r="P43" s="215"/>
      <c r="Q43" s="212"/>
      <c r="R43" s="212"/>
      <c r="S43" s="212"/>
      <c r="T43" s="212"/>
      <c r="U43" s="212"/>
      <c r="W43" s="213"/>
      <c r="X43" s="214"/>
      <c r="Y43" s="215"/>
      <c r="Z43" s="215"/>
      <c r="AA43" s="212"/>
      <c r="AB43" s="212"/>
      <c r="AC43" s="212"/>
      <c r="AD43" s="212"/>
      <c r="AE43" s="212"/>
      <c r="AG43" s="213"/>
      <c r="AH43" s="214"/>
      <c r="AI43" s="215"/>
      <c r="AJ43" s="215"/>
      <c r="AK43" s="212"/>
      <c r="AL43" s="212"/>
      <c r="AM43" s="212"/>
      <c r="AN43" s="212"/>
      <c r="AO43" s="212"/>
    </row>
    <row r="44" spans="1:41" s="4" customFormat="1" ht="20" customHeight="1">
      <c r="A44" s="1525"/>
      <c r="B44" s="1473"/>
      <c r="C44" s="1474"/>
      <c r="D44" s="1474"/>
      <c r="E44" s="1474"/>
      <c r="F44" s="1474"/>
      <c r="G44" s="1474"/>
      <c r="H44" s="1474"/>
      <c r="I44" s="1475"/>
      <c r="J44" s="505"/>
      <c r="K44" s="360"/>
      <c r="L44" s="226"/>
      <c r="M44" s="213"/>
      <c r="N44" s="214"/>
      <c r="O44" s="215"/>
      <c r="P44" s="215"/>
      <c r="Q44" s="212"/>
      <c r="R44" s="212"/>
      <c r="S44" s="212"/>
      <c r="T44" s="212"/>
      <c r="U44" s="212"/>
      <c r="W44" s="213"/>
      <c r="X44" s="214"/>
      <c r="Y44" s="215"/>
      <c r="Z44" s="215"/>
      <c r="AA44" s="212"/>
      <c r="AB44" s="212"/>
      <c r="AC44" s="212"/>
      <c r="AD44" s="212"/>
      <c r="AE44" s="212"/>
      <c r="AG44" s="213"/>
      <c r="AH44" s="214"/>
      <c r="AI44" s="215"/>
      <c r="AJ44" s="215"/>
      <c r="AK44" s="212"/>
      <c r="AL44" s="212"/>
      <c r="AM44" s="212"/>
      <c r="AN44" s="212"/>
      <c r="AO44" s="212"/>
    </row>
    <row r="45" spans="1:41" s="4" customFormat="1" ht="20" customHeight="1">
      <c r="A45" s="1525"/>
      <c r="B45" s="1473"/>
      <c r="C45" s="1474"/>
      <c r="D45" s="1474"/>
      <c r="E45" s="1474"/>
      <c r="F45" s="1474"/>
      <c r="G45" s="1474"/>
      <c r="H45" s="1474"/>
      <c r="I45" s="1475"/>
      <c r="J45" s="505"/>
      <c r="K45" s="360"/>
      <c r="L45" s="226"/>
      <c r="M45" s="213"/>
      <c r="N45" s="214"/>
      <c r="O45" s="215"/>
      <c r="P45" s="215"/>
      <c r="Q45" s="212"/>
      <c r="R45" s="212"/>
      <c r="S45" s="212"/>
      <c r="T45" s="212"/>
      <c r="U45" s="212"/>
      <c r="W45" s="213"/>
      <c r="X45" s="214"/>
      <c r="Y45" s="215"/>
      <c r="Z45" s="215"/>
      <c r="AA45" s="212"/>
      <c r="AB45" s="212"/>
      <c r="AC45" s="212"/>
      <c r="AD45" s="212"/>
      <c r="AE45" s="212"/>
      <c r="AG45" s="213"/>
      <c r="AH45" s="214"/>
      <c r="AI45" s="215"/>
      <c r="AJ45" s="215"/>
      <c r="AK45" s="212"/>
      <c r="AL45" s="212"/>
      <c r="AM45" s="212"/>
      <c r="AN45" s="212"/>
      <c r="AO45" s="212"/>
    </row>
    <row r="46" spans="1:41" s="4" customFormat="1" ht="20" customHeight="1">
      <c r="A46" s="1525"/>
      <c r="B46" s="1473"/>
      <c r="C46" s="1474"/>
      <c r="D46" s="1474"/>
      <c r="E46" s="1474"/>
      <c r="F46" s="1474"/>
      <c r="G46" s="1474"/>
      <c r="H46" s="1474"/>
      <c r="I46" s="1475"/>
      <c r="J46" s="505"/>
      <c r="K46" s="360"/>
      <c r="L46" s="226"/>
      <c r="M46" s="213"/>
      <c r="N46" s="214"/>
      <c r="O46" s="215"/>
      <c r="P46" s="215"/>
      <c r="Q46" s="212"/>
      <c r="R46" s="212"/>
      <c r="S46" s="212"/>
      <c r="T46" s="212"/>
      <c r="U46" s="212"/>
      <c r="W46" s="213"/>
      <c r="X46" s="214"/>
      <c r="Y46" s="215"/>
      <c r="Z46" s="215"/>
      <c r="AA46" s="212"/>
      <c r="AB46" s="212"/>
      <c r="AC46" s="212"/>
      <c r="AD46" s="212"/>
      <c r="AE46" s="212"/>
      <c r="AG46" s="213"/>
      <c r="AH46" s="214"/>
      <c r="AI46" s="215"/>
      <c r="AJ46" s="215"/>
      <c r="AK46" s="212"/>
      <c r="AL46" s="212"/>
      <c r="AM46" s="212"/>
      <c r="AN46" s="212"/>
      <c r="AO46" s="212"/>
    </row>
    <row r="47" spans="1:41" s="4" customFormat="1" ht="20" customHeight="1">
      <c r="A47" s="1525"/>
      <c r="B47" s="1473"/>
      <c r="C47" s="1474"/>
      <c r="D47" s="1474"/>
      <c r="E47" s="1474"/>
      <c r="F47" s="1474"/>
      <c r="G47" s="1474"/>
      <c r="H47" s="1474"/>
      <c r="I47" s="1475"/>
      <c r="J47" s="505"/>
      <c r="K47" s="360"/>
      <c r="L47" s="226"/>
      <c r="M47" s="213"/>
      <c r="N47" s="214"/>
      <c r="O47" s="215"/>
      <c r="P47" s="215"/>
      <c r="Q47" s="212"/>
      <c r="R47" s="212"/>
      <c r="S47" s="212"/>
      <c r="T47" s="212"/>
      <c r="U47" s="212"/>
      <c r="W47" s="213"/>
      <c r="X47" s="214"/>
      <c r="Y47" s="215"/>
      <c r="Z47" s="215"/>
      <c r="AA47" s="212"/>
      <c r="AB47" s="212"/>
      <c r="AC47" s="212"/>
      <c r="AD47" s="212"/>
      <c r="AE47" s="212"/>
      <c r="AG47" s="213"/>
      <c r="AH47" s="214"/>
      <c r="AI47" s="215"/>
      <c r="AJ47" s="215"/>
      <c r="AK47" s="212"/>
      <c r="AL47" s="212"/>
      <c r="AM47" s="212"/>
      <c r="AN47" s="212"/>
      <c r="AO47" s="212"/>
    </row>
    <row r="48" spans="1:41" s="4" customFormat="1" ht="20" customHeight="1">
      <c r="A48" s="1525"/>
      <c r="B48" s="1473"/>
      <c r="C48" s="1474"/>
      <c r="D48" s="1474"/>
      <c r="E48" s="1474"/>
      <c r="F48" s="1474"/>
      <c r="G48" s="1474"/>
      <c r="H48" s="1474"/>
      <c r="I48" s="1475"/>
      <c r="J48" s="505"/>
      <c r="K48" s="360"/>
      <c r="L48" s="226"/>
      <c r="M48" s="213"/>
      <c r="N48" s="214"/>
      <c r="O48" s="215"/>
      <c r="P48" s="215"/>
      <c r="Q48" s="212"/>
      <c r="R48" s="212"/>
      <c r="S48" s="212"/>
      <c r="T48" s="212"/>
      <c r="U48" s="212"/>
      <c r="W48" s="213"/>
      <c r="X48" s="214"/>
      <c r="Y48" s="215"/>
      <c r="Z48" s="215"/>
      <c r="AA48" s="212"/>
      <c r="AB48" s="212"/>
      <c r="AC48" s="212"/>
      <c r="AD48" s="212"/>
      <c r="AE48" s="212"/>
      <c r="AG48" s="213"/>
      <c r="AH48" s="214"/>
      <c r="AI48" s="215"/>
      <c r="AJ48" s="215"/>
      <c r="AK48" s="212"/>
      <c r="AL48" s="212"/>
      <c r="AM48" s="212"/>
      <c r="AN48" s="212"/>
      <c r="AO48" s="212"/>
    </row>
    <row r="49" spans="1:41" s="4" customFormat="1" ht="20" customHeight="1">
      <c r="A49" s="1525"/>
      <c r="B49" s="1473"/>
      <c r="C49" s="1474"/>
      <c r="D49" s="1474"/>
      <c r="E49" s="1474"/>
      <c r="F49" s="1474"/>
      <c r="G49" s="1474"/>
      <c r="H49" s="1474"/>
      <c r="I49" s="1475"/>
      <c r="J49" s="505"/>
      <c r="K49" s="360"/>
      <c r="L49" s="226"/>
      <c r="M49" s="213"/>
      <c r="N49" s="214"/>
      <c r="O49" s="215"/>
      <c r="P49" s="215"/>
      <c r="Q49" s="212"/>
      <c r="R49" s="212"/>
      <c r="S49" s="212"/>
      <c r="T49" s="212"/>
      <c r="U49" s="212"/>
      <c r="W49" s="213"/>
      <c r="X49" s="214"/>
      <c r="Y49" s="215"/>
      <c r="Z49" s="215"/>
      <c r="AA49" s="212"/>
      <c r="AB49" s="212"/>
      <c r="AC49" s="212"/>
      <c r="AD49" s="212"/>
      <c r="AE49" s="212"/>
      <c r="AG49" s="213"/>
      <c r="AH49" s="214"/>
      <c r="AI49" s="215"/>
      <c r="AJ49" s="215"/>
      <c r="AK49" s="212"/>
      <c r="AL49" s="212"/>
      <c r="AM49" s="212"/>
      <c r="AN49" s="212"/>
      <c r="AO49" s="212"/>
    </row>
    <row r="50" spans="1:41" s="4" customFormat="1" ht="20" customHeight="1">
      <c r="A50" s="1525"/>
      <c r="B50" s="1473"/>
      <c r="C50" s="1474"/>
      <c r="D50" s="1474"/>
      <c r="E50" s="1474"/>
      <c r="F50" s="1474"/>
      <c r="G50" s="1474"/>
      <c r="H50" s="1474"/>
      <c r="I50" s="1475"/>
      <c r="J50" s="505"/>
      <c r="K50" s="360"/>
      <c r="L50" s="226"/>
      <c r="M50" s="213"/>
      <c r="N50" s="214"/>
      <c r="O50" s="215"/>
      <c r="P50" s="215"/>
      <c r="Q50" s="212"/>
      <c r="R50" s="212"/>
      <c r="S50" s="212"/>
      <c r="T50" s="212"/>
      <c r="U50" s="212"/>
      <c r="W50" s="213"/>
      <c r="X50" s="214"/>
      <c r="Y50" s="215"/>
      <c r="Z50" s="215"/>
      <c r="AA50" s="212"/>
      <c r="AB50" s="212"/>
      <c r="AC50" s="212"/>
      <c r="AD50" s="212"/>
      <c r="AE50" s="212"/>
      <c r="AG50" s="213"/>
      <c r="AH50" s="214"/>
      <c r="AI50" s="215"/>
      <c r="AJ50" s="215"/>
      <c r="AK50" s="212"/>
      <c r="AL50" s="212"/>
      <c r="AM50" s="212"/>
      <c r="AN50" s="212"/>
      <c r="AO50" s="212"/>
    </row>
    <row r="51" spans="1:41" s="4" customFormat="1" ht="20" customHeight="1">
      <c r="A51" s="1525"/>
      <c r="B51" s="1473"/>
      <c r="C51" s="1474"/>
      <c r="D51" s="1474"/>
      <c r="E51" s="1474"/>
      <c r="F51" s="1474"/>
      <c r="G51" s="1474"/>
      <c r="H51" s="1474"/>
      <c r="I51" s="1475"/>
      <c r="J51" s="505"/>
      <c r="K51" s="360"/>
      <c r="L51" s="226"/>
      <c r="M51" s="213"/>
      <c r="N51" s="214"/>
      <c r="O51" s="215"/>
      <c r="P51" s="215"/>
      <c r="Q51" s="212"/>
      <c r="R51" s="212"/>
      <c r="S51" s="212"/>
      <c r="T51" s="212"/>
      <c r="U51" s="212"/>
      <c r="W51" s="213"/>
      <c r="X51" s="214"/>
      <c r="Y51" s="215"/>
      <c r="Z51" s="215"/>
      <c r="AA51" s="212"/>
      <c r="AB51" s="212"/>
      <c r="AC51" s="212"/>
      <c r="AD51" s="212"/>
      <c r="AE51" s="212"/>
      <c r="AG51" s="213"/>
      <c r="AH51" s="214"/>
      <c r="AI51" s="215"/>
      <c r="AJ51" s="215"/>
      <c r="AK51" s="212"/>
      <c r="AL51" s="212"/>
      <c r="AM51" s="212"/>
      <c r="AN51" s="212"/>
      <c r="AO51" s="212"/>
    </row>
    <row r="52" spans="1:41" s="4" customFormat="1" ht="20" customHeight="1">
      <c r="A52" s="1525"/>
      <c r="B52" s="1473"/>
      <c r="C52" s="1474"/>
      <c r="D52" s="1474"/>
      <c r="E52" s="1474"/>
      <c r="F52" s="1474"/>
      <c r="G52" s="1474"/>
      <c r="H52" s="1474"/>
      <c r="I52" s="1475"/>
      <c r="J52" s="505"/>
      <c r="K52" s="360"/>
      <c r="L52" s="226"/>
      <c r="M52" s="213"/>
      <c r="N52" s="214"/>
      <c r="O52" s="215"/>
      <c r="P52" s="215"/>
      <c r="Q52" s="212"/>
      <c r="R52" s="212"/>
      <c r="S52" s="212"/>
      <c r="T52" s="212"/>
      <c r="U52" s="212"/>
      <c r="W52" s="213"/>
      <c r="X52" s="214"/>
      <c r="Y52" s="215"/>
      <c r="Z52" s="215"/>
      <c r="AA52" s="212"/>
      <c r="AB52" s="212"/>
      <c r="AC52" s="212"/>
      <c r="AD52" s="212"/>
      <c r="AE52" s="212"/>
      <c r="AG52" s="213"/>
      <c r="AH52" s="214"/>
      <c r="AI52" s="215"/>
      <c r="AJ52" s="215"/>
      <c r="AK52" s="212"/>
      <c r="AL52" s="212"/>
      <c r="AM52" s="212"/>
      <c r="AN52" s="212"/>
      <c r="AO52" s="212"/>
    </row>
    <row r="53" spans="1:41" s="4" customFormat="1" ht="20" customHeight="1">
      <c r="A53" s="1525"/>
      <c r="B53" s="1473"/>
      <c r="C53" s="1474"/>
      <c r="D53" s="1474"/>
      <c r="E53" s="1474"/>
      <c r="F53" s="1474"/>
      <c r="G53" s="1474"/>
      <c r="H53" s="1474"/>
      <c r="I53" s="1475"/>
      <c r="J53" s="505"/>
      <c r="K53" s="360"/>
      <c r="L53" s="226"/>
      <c r="M53" s="213"/>
      <c r="N53" s="214"/>
      <c r="O53" s="215"/>
      <c r="P53" s="215"/>
      <c r="Q53" s="212"/>
      <c r="R53" s="212"/>
      <c r="S53" s="212"/>
      <c r="T53" s="212"/>
      <c r="U53" s="212"/>
      <c r="W53" s="213"/>
      <c r="X53" s="214"/>
      <c r="Y53" s="215"/>
      <c r="Z53" s="215"/>
      <c r="AA53" s="212"/>
      <c r="AB53" s="212"/>
      <c r="AC53" s="212"/>
      <c r="AD53" s="212"/>
      <c r="AE53" s="212"/>
      <c r="AG53" s="213"/>
      <c r="AH53" s="214"/>
      <c r="AI53" s="215"/>
      <c r="AJ53" s="215"/>
      <c r="AK53" s="212"/>
      <c r="AL53" s="212"/>
      <c r="AM53" s="212"/>
      <c r="AN53" s="212"/>
      <c r="AO53" s="212"/>
    </row>
    <row r="54" spans="1:41" s="4" customFormat="1" ht="20" customHeight="1">
      <c r="A54" s="1525"/>
      <c r="B54" s="1473"/>
      <c r="C54" s="1474"/>
      <c r="D54" s="1474"/>
      <c r="E54" s="1474"/>
      <c r="F54" s="1474"/>
      <c r="G54" s="1474"/>
      <c r="H54" s="1474"/>
      <c r="I54" s="1475"/>
      <c r="J54" s="505"/>
      <c r="K54" s="360"/>
      <c r="L54" s="226"/>
      <c r="M54" s="213"/>
      <c r="N54" s="214"/>
      <c r="O54" s="215"/>
      <c r="P54" s="215"/>
      <c r="Q54" s="212"/>
      <c r="R54" s="212"/>
      <c r="S54" s="212"/>
      <c r="T54" s="212"/>
      <c r="U54" s="212"/>
      <c r="W54" s="213"/>
      <c r="X54" s="214"/>
      <c r="Y54" s="215"/>
      <c r="Z54" s="215"/>
      <c r="AA54" s="212"/>
      <c r="AB54" s="212"/>
      <c r="AC54" s="212"/>
      <c r="AD54" s="212"/>
      <c r="AE54" s="212"/>
      <c r="AG54" s="213"/>
      <c r="AH54" s="214"/>
      <c r="AI54" s="215"/>
      <c r="AJ54" s="215"/>
      <c r="AK54" s="212"/>
      <c r="AL54" s="212"/>
      <c r="AM54" s="212"/>
      <c r="AN54" s="212"/>
      <c r="AO54" s="212"/>
    </row>
    <row r="55" spans="1:41" s="4" customFormat="1" ht="20" customHeight="1" thickBot="1">
      <c r="A55" s="1525"/>
      <c r="B55" s="1473"/>
      <c r="C55" s="1474"/>
      <c r="D55" s="1474"/>
      <c r="E55" s="1474"/>
      <c r="F55" s="1474"/>
      <c r="G55" s="1474"/>
      <c r="H55" s="1474"/>
      <c r="I55" s="1475"/>
      <c r="J55" s="505"/>
      <c r="K55" s="361"/>
      <c r="L55" s="226"/>
      <c r="M55" s="213"/>
      <c r="N55" s="214"/>
      <c r="O55" s="215"/>
      <c r="P55" s="215"/>
      <c r="Q55" s="212"/>
      <c r="R55" s="212"/>
      <c r="S55" s="212"/>
      <c r="T55" s="212"/>
      <c r="U55" s="212"/>
      <c r="W55" s="213"/>
      <c r="X55" s="214"/>
      <c r="Y55" s="215"/>
      <c r="Z55" s="215"/>
      <c r="AA55" s="212"/>
      <c r="AB55" s="212"/>
      <c r="AC55" s="212"/>
      <c r="AD55" s="212"/>
      <c r="AE55" s="212"/>
      <c r="AG55" s="213"/>
      <c r="AH55" s="214"/>
      <c r="AI55" s="215"/>
      <c r="AJ55" s="215"/>
      <c r="AK55" s="212"/>
      <c r="AL55" s="212"/>
      <c r="AM55" s="212"/>
      <c r="AN55" s="212"/>
      <c r="AO55" s="212"/>
    </row>
    <row r="56" spans="1:41" s="262" customFormat="1" ht="30" customHeight="1" thickBot="1">
      <c r="A56" s="1525"/>
      <c r="B56" s="1518" t="s">
        <v>238</v>
      </c>
      <c r="C56" s="1519"/>
      <c r="D56" s="1519"/>
      <c r="E56" s="1519"/>
      <c r="F56" s="1519"/>
      <c r="G56" s="1519"/>
      <c r="H56" s="1519"/>
      <c r="I56" s="1519"/>
      <c r="J56" s="1520"/>
      <c r="K56" s="404">
        <f>SUM(K33:K55)</f>
        <v>505</v>
      </c>
      <c r="L56" s="257"/>
      <c r="M56" s="258"/>
      <c r="N56" s="259"/>
      <c r="O56" s="260"/>
      <c r="P56" s="260"/>
      <c r="Q56" s="261"/>
      <c r="R56" s="261"/>
      <c r="S56" s="261"/>
      <c r="T56" s="261"/>
      <c r="U56" s="261"/>
      <c r="W56" s="258"/>
      <c r="X56" s="259"/>
      <c r="Y56" s="260"/>
      <c r="Z56" s="260"/>
      <c r="AA56" s="261"/>
      <c r="AB56" s="261"/>
      <c r="AC56" s="261"/>
      <c r="AD56" s="261"/>
      <c r="AE56" s="261"/>
      <c r="AG56" s="258"/>
      <c r="AH56" s="259"/>
      <c r="AI56" s="260"/>
      <c r="AJ56" s="260"/>
      <c r="AK56" s="261"/>
      <c r="AL56" s="261"/>
      <c r="AM56" s="261"/>
      <c r="AN56" s="261"/>
      <c r="AO56" s="261"/>
    </row>
    <row r="57" spans="1:41" s="4" customFormat="1" ht="47" customHeight="1" thickBot="1">
      <c r="A57" s="1525"/>
      <c r="B57" s="1509" t="s">
        <v>515</v>
      </c>
      <c r="C57" s="1510"/>
      <c r="D57" s="1510"/>
      <c r="E57" s="1510"/>
      <c r="F57" s="1510"/>
      <c r="G57" s="1510"/>
      <c r="H57" s="1510"/>
      <c r="I57" s="1511" t="s">
        <v>475</v>
      </c>
      <c r="J57" s="1512"/>
      <c r="K57" s="357">
        <f>K30-K56</f>
        <v>20.633333333333212</v>
      </c>
      <c r="L57" s="226"/>
      <c r="M57" s="213"/>
      <c r="N57" s="214"/>
      <c r="O57" s="215"/>
      <c r="P57" s="215"/>
      <c r="Q57" s="212"/>
      <c r="R57" s="212"/>
      <c r="S57" s="212"/>
      <c r="T57" s="212"/>
      <c r="U57" s="212"/>
      <c r="W57" s="213"/>
      <c r="X57" s="214"/>
      <c r="Y57" s="215"/>
      <c r="Z57" s="215"/>
      <c r="AA57" s="212"/>
      <c r="AB57" s="212"/>
      <c r="AC57" s="212"/>
      <c r="AD57" s="212"/>
      <c r="AE57" s="212"/>
      <c r="AG57" s="213"/>
      <c r="AH57" s="214"/>
      <c r="AI57" s="215"/>
      <c r="AJ57" s="215"/>
      <c r="AK57" s="212"/>
      <c r="AL57" s="212"/>
      <c r="AM57" s="212"/>
      <c r="AN57" s="212"/>
      <c r="AO57" s="212"/>
    </row>
    <row r="58" spans="1:41" s="4" customFormat="1" ht="137" customHeight="1" thickBot="1">
      <c r="A58" s="1525"/>
      <c r="B58" s="1527" t="s">
        <v>694</v>
      </c>
      <c r="C58" s="1528"/>
      <c r="D58" s="1528"/>
      <c r="E58" s="1528"/>
      <c r="F58" s="1528"/>
      <c r="G58" s="1528"/>
      <c r="H58" s="1528"/>
      <c r="I58" s="1528"/>
      <c r="J58" s="1528"/>
      <c r="K58" s="1529"/>
      <c r="L58" s="226"/>
      <c r="M58" s="213"/>
      <c r="N58" s="214"/>
      <c r="O58" s="215"/>
      <c r="P58" s="215"/>
      <c r="Q58" s="212"/>
      <c r="R58" s="212"/>
      <c r="S58" s="212"/>
      <c r="T58" s="212"/>
      <c r="U58" s="212"/>
      <c r="W58" s="213"/>
      <c r="X58" s="214"/>
      <c r="Y58" s="215"/>
      <c r="Z58" s="215"/>
      <c r="AA58" s="212"/>
      <c r="AB58" s="212"/>
      <c r="AC58" s="212"/>
      <c r="AD58" s="212"/>
      <c r="AE58" s="212"/>
      <c r="AG58" s="213"/>
      <c r="AH58" s="214"/>
      <c r="AI58" s="215"/>
      <c r="AJ58" s="215"/>
      <c r="AK58" s="212"/>
      <c r="AL58" s="212"/>
      <c r="AM58" s="212"/>
      <c r="AN58" s="212"/>
      <c r="AO58" s="212"/>
    </row>
    <row r="59" spans="1:41" s="4" customFormat="1" ht="20" customHeight="1">
      <c r="A59" s="1525"/>
      <c r="B59" s="1532" t="s">
        <v>722</v>
      </c>
      <c r="C59" s="1533"/>
      <c r="D59" s="1533"/>
      <c r="E59" s="1533"/>
      <c r="F59" s="1533"/>
      <c r="G59" s="1533"/>
      <c r="H59" s="1533"/>
      <c r="I59" s="1533"/>
      <c r="J59" s="1533"/>
      <c r="K59" s="1534"/>
      <c r="L59" s="226"/>
      <c r="M59" s="213"/>
      <c r="N59" s="214"/>
      <c r="O59" s="215"/>
      <c r="P59" s="215"/>
      <c r="Q59" s="212"/>
      <c r="R59" s="212"/>
      <c r="S59" s="212"/>
      <c r="T59" s="212"/>
      <c r="U59" s="212"/>
      <c r="W59" s="213"/>
      <c r="X59" s="214"/>
      <c r="Y59" s="215"/>
      <c r="Z59" s="215"/>
      <c r="AA59" s="212"/>
      <c r="AB59" s="212"/>
      <c r="AC59" s="212"/>
      <c r="AD59" s="212"/>
      <c r="AE59" s="212"/>
      <c r="AG59" s="213"/>
      <c r="AH59" s="214"/>
      <c r="AI59" s="215"/>
      <c r="AJ59" s="215"/>
      <c r="AK59" s="212"/>
      <c r="AL59" s="212"/>
      <c r="AM59" s="212"/>
      <c r="AN59" s="212"/>
      <c r="AO59" s="212"/>
    </row>
    <row r="60" spans="1:41" s="4" customFormat="1" ht="20" customHeight="1">
      <c r="A60" s="1525"/>
      <c r="B60" s="1515" t="s">
        <v>792</v>
      </c>
      <c r="C60" s="1516"/>
      <c r="D60" s="1516"/>
      <c r="E60" s="1516"/>
      <c r="F60" s="1516"/>
      <c r="G60" s="1516"/>
      <c r="H60" s="1516"/>
      <c r="I60" s="1516"/>
      <c r="J60" s="1516"/>
      <c r="K60" s="1517"/>
      <c r="L60" s="226"/>
      <c r="M60" s="213"/>
      <c r="N60" s="214"/>
      <c r="O60" s="215"/>
      <c r="P60" s="215"/>
      <c r="Q60" s="212"/>
      <c r="R60" s="212"/>
      <c r="S60" s="212"/>
      <c r="T60" s="212"/>
      <c r="U60" s="212"/>
      <c r="W60" s="213"/>
      <c r="X60" s="214"/>
      <c r="Y60" s="215"/>
      <c r="Z60" s="215"/>
      <c r="AA60" s="212"/>
      <c r="AB60" s="212"/>
      <c r="AC60" s="212"/>
      <c r="AD60" s="212"/>
      <c r="AE60" s="212"/>
      <c r="AG60" s="213"/>
      <c r="AH60" s="214"/>
      <c r="AI60" s="215"/>
      <c r="AJ60" s="215"/>
      <c r="AK60" s="212"/>
      <c r="AL60" s="212"/>
      <c r="AM60" s="212"/>
      <c r="AN60" s="212"/>
      <c r="AO60" s="212"/>
    </row>
    <row r="61" spans="1:41" s="4" customFormat="1" ht="20" customHeight="1">
      <c r="A61" s="1525"/>
      <c r="B61" s="1515"/>
      <c r="C61" s="1516"/>
      <c r="D61" s="1516"/>
      <c r="E61" s="1516"/>
      <c r="F61" s="1516"/>
      <c r="G61" s="1516"/>
      <c r="H61" s="1516"/>
      <c r="I61" s="1516"/>
      <c r="J61" s="1516"/>
      <c r="K61" s="1517"/>
      <c r="L61" s="226"/>
      <c r="M61" s="213"/>
      <c r="N61" s="214"/>
      <c r="O61" s="215"/>
      <c r="P61" s="215"/>
      <c r="Q61" s="212"/>
      <c r="R61" s="212"/>
      <c r="S61" s="212"/>
      <c r="T61" s="212"/>
      <c r="U61" s="212"/>
      <c r="W61" s="213"/>
      <c r="X61" s="214"/>
      <c r="Y61" s="215"/>
      <c r="Z61" s="215"/>
      <c r="AA61" s="212"/>
      <c r="AB61" s="212"/>
      <c r="AC61" s="212"/>
      <c r="AD61" s="212"/>
      <c r="AE61" s="212"/>
      <c r="AG61" s="213"/>
      <c r="AH61" s="214"/>
      <c r="AI61" s="215"/>
      <c r="AJ61" s="215"/>
      <c r="AK61" s="212"/>
      <c r="AL61" s="212"/>
      <c r="AM61" s="212"/>
      <c r="AN61" s="212"/>
      <c r="AO61" s="212"/>
    </row>
    <row r="62" spans="1:41" s="4" customFormat="1" ht="20" customHeight="1">
      <c r="A62" s="1525"/>
      <c r="B62" s="1515"/>
      <c r="C62" s="1516"/>
      <c r="D62" s="1516"/>
      <c r="E62" s="1516"/>
      <c r="F62" s="1516"/>
      <c r="G62" s="1516"/>
      <c r="H62" s="1516"/>
      <c r="I62" s="1516"/>
      <c r="J62" s="1516"/>
      <c r="K62" s="1517"/>
      <c r="L62" s="226"/>
      <c r="M62" s="213"/>
      <c r="N62" s="214"/>
      <c r="O62" s="215"/>
      <c r="P62" s="215"/>
      <c r="Q62" s="212"/>
      <c r="R62" s="212"/>
      <c r="S62" s="212"/>
      <c r="T62" s="212"/>
      <c r="U62" s="212"/>
      <c r="W62" s="213"/>
      <c r="X62" s="214"/>
      <c r="Y62" s="215"/>
      <c r="Z62" s="215"/>
      <c r="AA62" s="212"/>
      <c r="AB62" s="212"/>
      <c r="AC62" s="212"/>
      <c r="AD62" s="212"/>
      <c r="AE62" s="212"/>
      <c r="AG62" s="213"/>
      <c r="AH62" s="214"/>
      <c r="AI62" s="215"/>
      <c r="AJ62" s="215"/>
      <c r="AK62" s="212"/>
      <c r="AL62" s="212"/>
      <c r="AM62" s="212"/>
      <c r="AN62" s="212"/>
      <c r="AO62" s="212"/>
    </row>
    <row r="63" spans="1:41" s="4" customFormat="1" ht="20" customHeight="1">
      <c r="A63" s="1525"/>
      <c r="B63" s="1515"/>
      <c r="C63" s="1516"/>
      <c r="D63" s="1516"/>
      <c r="E63" s="1516"/>
      <c r="F63" s="1516"/>
      <c r="G63" s="1516"/>
      <c r="H63" s="1516"/>
      <c r="I63" s="1516"/>
      <c r="J63" s="1516"/>
      <c r="K63" s="1517"/>
      <c r="L63" s="226"/>
      <c r="M63" s="213"/>
      <c r="N63" s="214"/>
      <c r="O63" s="215"/>
      <c r="P63" s="215"/>
      <c r="Q63" s="212"/>
      <c r="R63" s="212"/>
      <c r="S63" s="212"/>
      <c r="T63" s="212"/>
      <c r="U63" s="212"/>
      <c r="W63" s="213"/>
      <c r="X63" s="214"/>
      <c r="Y63" s="215"/>
      <c r="Z63" s="215"/>
      <c r="AA63" s="212"/>
      <c r="AB63" s="212"/>
      <c r="AC63" s="212"/>
      <c r="AD63" s="212"/>
      <c r="AE63" s="212"/>
      <c r="AG63" s="213"/>
      <c r="AH63" s="214"/>
      <c r="AI63" s="215"/>
      <c r="AJ63" s="215"/>
      <c r="AK63" s="212"/>
      <c r="AL63" s="212"/>
      <c r="AM63" s="212"/>
      <c r="AN63" s="212"/>
      <c r="AO63" s="212"/>
    </row>
    <row r="64" spans="1:41" s="4" customFormat="1" ht="20" customHeight="1">
      <c r="A64" s="1525"/>
      <c r="B64" s="1515"/>
      <c r="C64" s="1516"/>
      <c r="D64" s="1516"/>
      <c r="E64" s="1516"/>
      <c r="F64" s="1516"/>
      <c r="G64" s="1516"/>
      <c r="H64" s="1516"/>
      <c r="I64" s="1516"/>
      <c r="J64" s="1516"/>
      <c r="K64" s="1517"/>
      <c r="L64" s="226"/>
      <c r="M64" s="213"/>
      <c r="N64" s="214"/>
      <c r="O64" s="215"/>
      <c r="P64" s="215"/>
      <c r="Q64" s="212"/>
      <c r="R64" s="212"/>
      <c r="S64" s="212"/>
      <c r="T64" s="212"/>
      <c r="U64" s="212"/>
      <c r="W64" s="213"/>
      <c r="X64" s="214"/>
      <c r="Y64" s="215"/>
      <c r="Z64" s="215"/>
      <c r="AA64" s="212"/>
      <c r="AB64" s="212"/>
      <c r="AC64" s="212"/>
      <c r="AD64" s="212"/>
      <c r="AE64" s="212"/>
      <c r="AG64" s="213"/>
      <c r="AH64" s="214"/>
      <c r="AI64" s="215"/>
      <c r="AJ64" s="215"/>
      <c r="AK64" s="212"/>
      <c r="AL64" s="212"/>
      <c r="AM64" s="212"/>
      <c r="AN64" s="212"/>
      <c r="AO64" s="212"/>
    </row>
    <row r="65" spans="1:41" s="4" customFormat="1" ht="20" customHeight="1">
      <c r="A65" s="1525"/>
      <c r="B65" s="1515"/>
      <c r="C65" s="1516"/>
      <c r="D65" s="1516"/>
      <c r="E65" s="1516"/>
      <c r="F65" s="1516"/>
      <c r="G65" s="1516"/>
      <c r="H65" s="1516"/>
      <c r="I65" s="1516"/>
      <c r="J65" s="1516"/>
      <c r="K65" s="1517"/>
      <c r="L65" s="226"/>
      <c r="M65" s="213"/>
      <c r="N65" s="214"/>
      <c r="O65" s="215"/>
      <c r="P65" s="215"/>
      <c r="Q65" s="212"/>
      <c r="R65" s="212"/>
      <c r="S65" s="212"/>
      <c r="T65" s="212"/>
      <c r="U65" s="212"/>
      <c r="W65" s="213"/>
      <c r="X65" s="214"/>
      <c r="Y65" s="215"/>
      <c r="Z65" s="215"/>
      <c r="AA65" s="212"/>
      <c r="AB65" s="212"/>
      <c r="AC65" s="212"/>
      <c r="AD65" s="212"/>
      <c r="AE65" s="212"/>
      <c r="AG65" s="213"/>
      <c r="AH65" s="214"/>
      <c r="AI65" s="215"/>
      <c r="AJ65" s="215"/>
      <c r="AK65" s="212"/>
      <c r="AL65" s="212"/>
      <c r="AM65" s="212"/>
      <c r="AN65" s="212"/>
      <c r="AO65" s="212"/>
    </row>
    <row r="66" spans="1:41" s="4" customFormat="1" ht="20" customHeight="1">
      <c r="A66" s="1525"/>
      <c r="B66" s="1515"/>
      <c r="C66" s="1516"/>
      <c r="D66" s="1516"/>
      <c r="E66" s="1516"/>
      <c r="F66" s="1516"/>
      <c r="G66" s="1516"/>
      <c r="H66" s="1516"/>
      <c r="I66" s="1516"/>
      <c r="J66" s="1516"/>
      <c r="K66" s="1517"/>
      <c r="L66" s="226"/>
      <c r="M66" s="213"/>
      <c r="N66" s="214"/>
      <c r="O66" s="215"/>
      <c r="P66" s="215"/>
      <c r="Q66" s="212"/>
      <c r="R66" s="212"/>
      <c r="S66" s="212"/>
      <c r="T66" s="212"/>
      <c r="U66" s="212"/>
      <c r="W66" s="213"/>
      <c r="X66" s="214"/>
      <c r="Y66" s="215"/>
      <c r="Z66" s="215"/>
      <c r="AA66" s="212"/>
      <c r="AB66" s="212"/>
      <c r="AC66" s="212"/>
      <c r="AD66" s="212"/>
      <c r="AE66" s="212"/>
      <c r="AG66" s="213"/>
      <c r="AH66" s="214"/>
      <c r="AI66" s="215"/>
      <c r="AJ66" s="215"/>
      <c r="AK66" s="212"/>
      <c r="AL66" s="212"/>
      <c r="AM66" s="212"/>
      <c r="AN66" s="212"/>
      <c r="AO66" s="212"/>
    </row>
    <row r="67" spans="1:41" s="4" customFormat="1" ht="20" customHeight="1">
      <c r="A67" s="1525"/>
      <c r="B67" s="1515"/>
      <c r="C67" s="1516"/>
      <c r="D67" s="1516"/>
      <c r="E67" s="1516"/>
      <c r="F67" s="1516"/>
      <c r="G67" s="1516"/>
      <c r="H67" s="1516"/>
      <c r="I67" s="1516"/>
      <c r="J67" s="1516"/>
      <c r="K67" s="1517"/>
      <c r="L67" s="226"/>
      <c r="M67" s="213"/>
      <c r="N67" s="214"/>
      <c r="O67" s="215"/>
      <c r="P67" s="215"/>
      <c r="Q67" s="212"/>
      <c r="R67" s="212"/>
      <c r="S67" s="212"/>
      <c r="T67" s="212"/>
      <c r="U67" s="212"/>
      <c r="W67" s="213"/>
      <c r="X67" s="214"/>
      <c r="Y67" s="215"/>
      <c r="Z67" s="215"/>
      <c r="AA67" s="212"/>
      <c r="AB67" s="212"/>
      <c r="AC67" s="212"/>
      <c r="AD67" s="212"/>
      <c r="AE67" s="212"/>
      <c r="AG67" s="213"/>
      <c r="AH67" s="214"/>
      <c r="AI67" s="215"/>
      <c r="AJ67" s="215"/>
      <c r="AK67" s="212"/>
      <c r="AL67" s="212"/>
      <c r="AM67" s="212"/>
      <c r="AN67" s="212"/>
      <c r="AO67" s="212"/>
    </row>
    <row r="68" spans="1:41" s="4" customFormat="1" ht="20" customHeight="1">
      <c r="A68" s="1525"/>
      <c r="B68" s="1515"/>
      <c r="C68" s="1516"/>
      <c r="D68" s="1516"/>
      <c r="E68" s="1516"/>
      <c r="F68" s="1516"/>
      <c r="G68" s="1516"/>
      <c r="H68" s="1516"/>
      <c r="I68" s="1516"/>
      <c r="J68" s="1516"/>
      <c r="K68" s="1517"/>
      <c r="L68" s="226"/>
      <c r="M68" s="213"/>
      <c r="N68" s="214"/>
      <c r="O68" s="215"/>
      <c r="P68" s="215"/>
      <c r="Q68" s="212"/>
      <c r="R68" s="212"/>
      <c r="S68" s="212"/>
      <c r="T68" s="212"/>
      <c r="U68" s="212"/>
      <c r="W68" s="213"/>
      <c r="X68" s="214"/>
      <c r="Y68" s="215"/>
      <c r="Z68" s="215"/>
      <c r="AA68" s="212"/>
      <c r="AB68" s="212"/>
      <c r="AC68" s="212"/>
      <c r="AD68" s="212"/>
      <c r="AE68" s="212"/>
      <c r="AG68" s="213"/>
      <c r="AH68" s="214"/>
      <c r="AI68" s="215"/>
      <c r="AJ68" s="215"/>
      <c r="AK68" s="212"/>
      <c r="AL68" s="212"/>
      <c r="AM68" s="212"/>
      <c r="AN68" s="212"/>
      <c r="AO68" s="212"/>
    </row>
    <row r="69" spans="1:41" s="4" customFormat="1" ht="20" customHeight="1">
      <c r="A69" s="1525"/>
      <c r="B69" s="1515"/>
      <c r="C69" s="1516"/>
      <c r="D69" s="1516"/>
      <c r="E69" s="1516"/>
      <c r="F69" s="1516"/>
      <c r="G69" s="1516"/>
      <c r="H69" s="1516"/>
      <c r="I69" s="1516"/>
      <c r="J69" s="1516"/>
      <c r="K69" s="1517"/>
      <c r="L69" s="226"/>
      <c r="M69" s="213"/>
      <c r="N69" s="214"/>
      <c r="O69" s="215"/>
      <c r="P69" s="215"/>
      <c r="Q69" s="212"/>
      <c r="R69" s="212"/>
      <c r="S69" s="212"/>
      <c r="T69" s="212"/>
      <c r="U69" s="212"/>
      <c r="W69" s="213"/>
      <c r="X69" s="214"/>
      <c r="Y69" s="215"/>
      <c r="Z69" s="215"/>
      <c r="AA69" s="212"/>
      <c r="AB69" s="212"/>
      <c r="AC69" s="212"/>
      <c r="AD69" s="212"/>
      <c r="AE69" s="212"/>
      <c r="AG69" s="213"/>
      <c r="AH69" s="214"/>
      <c r="AI69" s="215"/>
      <c r="AJ69" s="215"/>
      <c r="AK69" s="212"/>
      <c r="AL69" s="212"/>
      <c r="AM69" s="212"/>
      <c r="AN69" s="212"/>
      <c r="AO69" s="212"/>
    </row>
    <row r="70" spans="1:41" s="4" customFormat="1" ht="20" customHeight="1">
      <c r="A70" s="1525"/>
      <c r="B70" s="1515"/>
      <c r="C70" s="1516"/>
      <c r="D70" s="1516"/>
      <c r="E70" s="1516"/>
      <c r="F70" s="1516"/>
      <c r="G70" s="1516"/>
      <c r="H70" s="1516"/>
      <c r="I70" s="1516"/>
      <c r="J70" s="1516"/>
      <c r="K70" s="1517"/>
      <c r="L70" s="226"/>
      <c r="M70" s="213"/>
      <c r="N70" s="214"/>
      <c r="O70" s="215"/>
      <c r="P70" s="215"/>
      <c r="Q70" s="212"/>
      <c r="R70" s="212"/>
      <c r="S70" s="212"/>
      <c r="T70" s="212"/>
      <c r="U70" s="212"/>
      <c r="W70" s="213"/>
      <c r="X70" s="214"/>
      <c r="Y70" s="215"/>
      <c r="Z70" s="215"/>
      <c r="AA70" s="212"/>
      <c r="AB70" s="212"/>
      <c r="AC70" s="212"/>
      <c r="AD70" s="212"/>
      <c r="AE70" s="212"/>
      <c r="AG70" s="213"/>
      <c r="AH70" s="214"/>
      <c r="AI70" s="215"/>
      <c r="AJ70" s="215"/>
      <c r="AK70" s="212"/>
      <c r="AL70" s="212"/>
      <c r="AM70" s="212"/>
      <c r="AN70" s="212"/>
      <c r="AO70" s="212"/>
    </row>
    <row r="71" spans="1:41" s="4" customFormat="1" ht="20" customHeight="1">
      <c r="A71" s="1525"/>
      <c r="B71" s="1515"/>
      <c r="C71" s="1516"/>
      <c r="D71" s="1516"/>
      <c r="E71" s="1516"/>
      <c r="F71" s="1516"/>
      <c r="G71" s="1516"/>
      <c r="H71" s="1516"/>
      <c r="I71" s="1516"/>
      <c r="J71" s="1516"/>
      <c r="K71" s="1517"/>
      <c r="L71" s="226"/>
      <c r="M71" s="213"/>
      <c r="N71" s="214"/>
      <c r="O71" s="215"/>
      <c r="P71" s="215"/>
      <c r="Q71" s="212"/>
      <c r="R71" s="212"/>
      <c r="S71" s="212"/>
      <c r="T71" s="212"/>
      <c r="U71" s="212"/>
      <c r="W71" s="213"/>
      <c r="X71" s="214"/>
      <c r="Y71" s="215"/>
      <c r="Z71" s="215"/>
      <c r="AA71" s="212"/>
      <c r="AB71" s="212"/>
      <c r="AC71" s="212"/>
      <c r="AD71" s="212"/>
      <c r="AE71" s="212"/>
      <c r="AG71" s="213"/>
      <c r="AH71" s="214"/>
      <c r="AI71" s="215"/>
      <c r="AJ71" s="215"/>
      <c r="AK71" s="212"/>
      <c r="AL71" s="212"/>
      <c r="AM71" s="212"/>
      <c r="AN71" s="212"/>
      <c r="AO71" s="212"/>
    </row>
    <row r="72" spans="1:41" s="4" customFormat="1" ht="20" customHeight="1">
      <c r="A72" s="1525"/>
      <c r="B72" s="1515"/>
      <c r="C72" s="1516"/>
      <c r="D72" s="1516"/>
      <c r="E72" s="1516"/>
      <c r="F72" s="1516"/>
      <c r="G72" s="1516"/>
      <c r="H72" s="1516"/>
      <c r="I72" s="1516"/>
      <c r="J72" s="1516"/>
      <c r="K72" s="1517"/>
      <c r="L72" s="226"/>
      <c r="M72" s="213"/>
      <c r="N72" s="214"/>
      <c r="O72" s="215"/>
      <c r="P72" s="215"/>
      <c r="Q72" s="212"/>
      <c r="R72" s="212"/>
      <c r="S72" s="212"/>
      <c r="T72" s="212"/>
      <c r="U72" s="212"/>
      <c r="W72" s="213"/>
      <c r="X72" s="214"/>
      <c r="Y72" s="215"/>
      <c r="Z72" s="215"/>
      <c r="AA72" s="212"/>
      <c r="AB72" s="212"/>
      <c r="AC72" s="212"/>
      <c r="AD72" s="212"/>
      <c r="AE72" s="212"/>
      <c r="AG72" s="213"/>
      <c r="AH72" s="214"/>
      <c r="AI72" s="215"/>
      <c r="AJ72" s="215"/>
      <c r="AK72" s="212"/>
      <c r="AL72" s="212"/>
      <c r="AM72" s="212"/>
      <c r="AN72" s="212"/>
      <c r="AO72" s="212"/>
    </row>
    <row r="73" spans="1:41" s="4" customFormat="1" ht="20" customHeight="1">
      <c r="A73" s="1525"/>
      <c r="B73" s="1515"/>
      <c r="C73" s="1516"/>
      <c r="D73" s="1516"/>
      <c r="E73" s="1516"/>
      <c r="F73" s="1516"/>
      <c r="G73" s="1516"/>
      <c r="H73" s="1516"/>
      <c r="I73" s="1516"/>
      <c r="J73" s="1516"/>
      <c r="K73" s="1517"/>
      <c r="L73" s="226"/>
      <c r="M73" s="213"/>
      <c r="N73" s="214"/>
      <c r="O73" s="215"/>
      <c r="P73" s="215"/>
      <c r="Q73" s="212"/>
      <c r="R73" s="212"/>
      <c r="S73" s="212"/>
      <c r="T73" s="212"/>
      <c r="U73" s="212"/>
      <c r="W73" s="213"/>
      <c r="X73" s="214"/>
      <c r="Y73" s="215"/>
      <c r="Z73" s="215"/>
      <c r="AA73" s="212"/>
      <c r="AB73" s="212"/>
      <c r="AC73" s="212"/>
      <c r="AD73" s="212"/>
      <c r="AE73" s="212"/>
      <c r="AG73" s="213"/>
      <c r="AH73" s="214"/>
      <c r="AI73" s="215"/>
      <c r="AJ73" s="215"/>
      <c r="AK73" s="212"/>
      <c r="AL73" s="212"/>
      <c r="AM73" s="212"/>
      <c r="AN73" s="212"/>
      <c r="AO73" s="212"/>
    </row>
    <row r="74" spans="1:41" s="4" customFormat="1" ht="20" customHeight="1" thickBot="1">
      <c r="A74" s="1525"/>
      <c r="B74" s="1515"/>
      <c r="C74" s="1516"/>
      <c r="D74" s="1516"/>
      <c r="E74" s="1516"/>
      <c r="F74" s="1516"/>
      <c r="G74" s="1516"/>
      <c r="H74" s="1516"/>
      <c r="I74" s="1516"/>
      <c r="J74" s="1516"/>
      <c r="K74" s="1517"/>
      <c r="L74" s="226"/>
      <c r="M74" s="213"/>
      <c r="N74" s="214"/>
      <c r="O74" s="215"/>
      <c r="P74" s="215"/>
      <c r="Q74" s="212"/>
      <c r="R74" s="212"/>
      <c r="S74" s="212"/>
      <c r="T74" s="212"/>
      <c r="U74" s="212"/>
      <c r="W74" s="213"/>
      <c r="X74" s="214"/>
      <c r="Y74" s="215"/>
      <c r="Z74" s="215"/>
      <c r="AA74" s="212"/>
      <c r="AB74" s="212"/>
      <c r="AC74" s="212"/>
      <c r="AD74" s="212"/>
      <c r="AE74" s="212"/>
      <c r="AG74" s="213"/>
      <c r="AH74" s="214"/>
      <c r="AI74" s="215"/>
      <c r="AJ74" s="215"/>
      <c r="AK74" s="212"/>
      <c r="AL74" s="212"/>
      <c r="AM74" s="212"/>
      <c r="AN74" s="212"/>
      <c r="AO74" s="212"/>
    </row>
    <row r="75" spans="1:41" s="4" customFormat="1" ht="31" customHeight="1" thickBot="1">
      <c r="A75" s="1525"/>
      <c r="B75" s="1530" t="s">
        <v>448</v>
      </c>
      <c r="C75" s="1531"/>
      <c r="D75" s="1531"/>
      <c r="E75" s="1531"/>
      <c r="F75" s="1531"/>
      <c r="G75" s="1531"/>
      <c r="H75" s="1531"/>
      <c r="I75" s="1531"/>
      <c r="J75" s="1531"/>
      <c r="K75" s="403">
        <f>ROUND(J25,2)</f>
        <v>268.42</v>
      </c>
      <c r="L75" s="226"/>
      <c r="M75" s="213"/>
      <c r="N75" s="214"/>
      <c r="O75" s="215"/>
      <c r="P75" s="215"/>
      <c r="Q75" s="212"/>
      <c r="R75" s="212"/>
      <c r="S75" s="212"/>
      <c r="T75" s="212"/>
      <c r="U75" s="212"/>
      <c r="W75" s="213"/>
      <c r="X75" s="214"/>
      <c r="Y75" s="215"/>
      <c r="Z75" s="215"/>
      <c r="AA75" s="212"/>
      <c r="AB75" s="212"/>
      <c r="AC75" s="212"/>
      <c r="AD75" s="212"/>
      <c r="AE75" s="212"/>
      <c r="AG75" s="213"/>
      <c r="AH75" s="214"/>
      <c r="AI75" s="215"/>
      <c r="AJ75" s="215"/>
      <c r="AK75" s="212"/>
      <c r="AL75" s="212"/>
      <c r="AM75" s="212"/>
      <c r="AN75" s="212"/>
      <c r="AO75" s="212"/>
    </row>
    <row r="76" spans="1:41" s="4" customFormat="1" ht="40" customHeight="1">
      <c r="A76" s="1525"/>
      <c r="B76" s="1507" t="s">
        <v>293</v>
      </c>
      <c r="C76" s="1508"/>
      <c r="D76" s="1508"/>
      <c r="E76" s="1508"/>
      <c r="F76" s="1508"/>
      <c r="G76" s="1508"/>
      <c r="H76" s="1508"/>
      <c r="I76" s="1508" t="s">
        <v>339</v>
      </c>
      <c r="J76" s="1508"/>
      <c r="K76" s="358" t="s">
        <v>232</v>
      </c>
      <c r="L76" s="226"/>
      <c r="M76" s="213"/>
      <c r="N76" s="214"/>
      <c r="O76" s="213"/>
      <c r="P76" s="214"/>
      <c r="Q76" s="213"/>
      <c r="R76" s="214"/>
      <c r="S76" s="213"/>
      <c r="T76" s="214"/>
      <c r="U76" s="213"/>
      <c r="V76" s="214"/>
      <c r="W76" s="213"/>
      <c r="X76" s="214"/>
      <c r="Y76" s="213"/>
      <c r="Z76" s="214"/>
      <c r="AA76" s="213"/>
      <c r="AB76" s="212"/>
      <c r="AC76" s="212"/>
      <c r="AD76" s="212"/>
      <c r="AE76" s="212"/>
      <c r="AG76" s="213"/>
      <c r="AH76" s="214"/>
      <c r="AI76" s="215"/>
      <c r="AJ76" s="215"/>
      <c r="AK76" s="212"/>
      <c r="AL76" s="212"/>
      <c r="AM76" s="212"/>
      <c r="AN76" s="212"/>
      <c r="AO76" s="212"/>
    </row>
    <row r="77" spans="1:41" s="4" customFormat="1" ht="20" customHeight="1">
      <c r="A77" s="1525"/>
      <c r="B77" s="1503" t="str">
        <f>Skemaoplysninger!A62</f>
        <v>Julebazar</v>
      </c>
      <c r="C77" s="1504"/>
      <c r="D77" s="1504"/>
      <c r="E77" s="1504"/>
      <c r="F77" s="1504"/>
      <c r="G77" s="1504"/>
      <c r="H77" s="1505"/>
      <c r="I77" s="1506" t="str">
        <f>Skemaoplysninger!G62</f>
        <v>December</v>
      </c>
      <c r="J77" s="1505"/>
      <c r="K77" s="401">
        <f>Skemaoplysninger!I62</f>
        <v>10</v>
      </c>
      <c r="L77" s="226"/>
      <c r="M77" s="213"/>
      <c r="N77" s="213"/>
      <c r="O77" s="213"/>
      <c r="P77" s="213"/>
      <c r="Q77" s="213"/>
      <c r="R77" s="213"/>
      <c r="S77" s="213"/>
      <c r="T77" s="213"/>
      <c r="U77" s="213"/>
      <c r="V77" s="213"/>
      <c r="W77" s="213"/>
      <c r="X77" s="213"/>
      <c r="Y77" s="213"/>
      <c r="Z77" s="213"/>
      <c r="AA77" s="213"/>
      <c r="AB77" s="212"/>
      <c r="AC77" s="212"/>
      <c r="AD77" s="212"/>
      <c r="AE77" s="212"/>
      <c r="AG77" s="213"/>
      <c r="AH77" s="214"/>
      <c r="AI77" s="215"/>
      <c r="AJ77" s="215"/>
      <c r="AK77" s="212"/>
      <c r="AL77" s="212"/>
      <c r="AM77" s="212"/>
      <c r="AN77" s="212"/>
      <c r="AO77" s="212"/>
    </row>
    <row r="78" spans="1:41" s="4" customFormat="1" ht="20" customHeight="1">
      <c r="A78" s="1525"/>
      <c r="B78" s="1503">
        <f>Skemaoplysninger!A63</f>
        <v>0</v>
      </c>
      <c r="C78" s="1504"/>
      <c r="D78" s="1504"/>
      <c r="E78" s="1504"/>
      <c r="F78" s="1504"/>
      <c r="G78" s="1504"/>
      <c r="H78" s="1505"/>
      <c r="I78" s="1506">
        <f>Skemaoplysninger!G63</f>
        <v>0</v>
      </c>
      <c r="J78" s="1505"/>
      <c r="K78" s="401">
        <f>Skemaoplysninger!I63</f>
        <v>0</v>
      </c>
      <c r="L78" s="226"/>
      <c r="M78" s="213"/>
      <c r="N78" s="213"/>
      <c r="O78" s="213"/>
      <c r="P78" s="213"/>
      <c r="Q78" s="213"/>
      <c r="R78" s="213"/>
      <c r="S78" s="213"/>
      <c r="T78" s="213"/>
      <c r="U78" s="213"/>
      <c r="V78" s="213"/>
      <c r="W78" s="213"/>
      <c r="X78" s="213"/>
      <c r="Y78" s="213"/>
      <c r="Z78" s="213"/>
      <c r="AA78" s="213"/>
      <c r="AB78" s="212"/>
      <c r="AC78" s="212"/>
      <c r="AD78" s="212"/>
      <c r="AE78" s="212"/>
      <c r="AG78" s="213"/>
      <c r="AH78" s="214"/>
      <c r="AI78" s="215"/>
      <c r="AJ78" s="215"/>
      <c r="AK78" s="212"/>
      <c r="AL78" s="212"/>
      <c r="AM78" s="212"/>
      <c r="AN78" s="212"/>
      <c r="AO78" s="212"/>
    </row>
    <row r="79" spans="1:41" s="4" customFormat="1" ht="20" customHeight="1">
      <c r="A79" s="1525"/>
      <c r="B79" s="1503">
        <f>Skemaoplysninger!A64</f>
        <v>0</v>
      </c>
      <c r="C79" s="1504"/>
      <c r="D79" s="1504"/>
      <c r="E79" s="1504"/>
      <c r="F79" s="1504"/>
      <c r="G79" s="1504"/>
      <c r="H79" s="1505"/>
      <c r="I79" s="1506">
        <f>Skemaoplysninger!G64</f>
        <v>0</v>
      </c>
      <c r="J79" s="1505"/>
      <c r="K79" s="401">
        <f>Skemaoplysninger!I64</f>
        <v>0</v>
      </c>
      <c r="L79" s="226"/>
      <c r="M79" s="213"/>
      <c r="N79" s="213"/>
      <c r="O79" s="213"/>
      <c r="P79" s="213"/>
      <c r="Q79" s="213"/>
      <c r="R79" s="213"/>
      <c r="S79" s="213"/>
      <c r="T79" s="213"/>
      <c r="U79" s="213"/>
      <c r="V79" s="213"/>
      <c r="W79" s="213"/>
      <c r="X79" s="213"/>
      <c r="Y79" s="213"/>
      <c r="Z79" s="213"/>
      <c r="AA79" s="213"/>
      <c r="AB79" s="212"/>
      <c r="AC79" s="212"/>
      <c r="AD79" s="212"/>
      <c r="AE79" s="212"/>
      <c r="AG79" s="213"/>
      <c r="AH79" s="214"/>
      <c r="AI79" s="215"/>
      <c r="AJ79" s="215"/>
      <c r="AK79" s="212"/>
      <c r="AL79" s="212"/>
      <c r="AM79" s="212"/>
      <c r="AN79" s="212"/>
      <c r="AO79" s="212"/>
    </row>
    <row r="80" spans="1:41" s="4" customFormat="1" ht="20" customHeight="1">
      <c r="A80" s="1525"/>
      <c r="B80" s="1503">
        <f>Skemaoplysninger!A65</f>
        <v>0</v>
      </c>
      <c r="C80" s="1504"/>
      <c r="D80" s="1504"/>
      <c r="E80" s="1504"/>
      <c r="F80" s="1504"/>
      <c r="G80" s="1504"/>
      <c r="H80" s="1505"/>
      <c r="I80" s="1506">
        <f>Skemaoplysninger!G65</f>
        <v>0</v>
      </c>
      <c r="J80" s="1505"/>
      <c r="K80" s="401">
        <f>Skemaoplysninger!I65</f>
        <v>0</v>
      </c>
      <c r="L80" s="226"/>
      <c r="M80" s="213"/>
      <c r="N80" s="213"/>
      <c r="O80" s="213"/>
      <c r="P80" s="213"/>
      <c r="Q80" s="213"/>
      <c r="R80" s="213"/>
      <c r="S80" s="213"/>
      <c r="T80" s="213"/>
      <c r="U80" s="213"/>
      <c r="V80" s="213"/>
      <c r="W80" s="213"/>
      <c r="X80" s="213"/>
      <c r="Y80" s="213"/>
      <c r="Z80" s="213"/>
      <c r="AA80" s="213"/>
      <c r="AB80" s="212"/>
      <c r="AC80" s="212"/>
      <c r="AD80" s="212"/>
      <c r="AE80" s="212"/>
      <c r="AG80" s="213"/>
      <c r="AH80" s="214"/>
      <c r="AI80" s="215"/>
      <c r="AJ80" s="215"/>
      <c r="AK80" s="212"/>
      <c r="AL80" s="212"/>
      <c r="AM80" s="212"/>
      <c r="AN80" s="212"/>
      <c r="AO80" s="212"/>
    </row>
    <row r="81" spans="1:41" s="4" customFormat="1" ht="20" customHeight="1">
      <c r="A81" s="1525"/>
      <c r="B81" s="1503">
        <f>Skemaoplysninger!A66</f>
        <v>0</v>
      </c>
      <c r="C81" s="1504"/>
      <c r="D81" s="1504"/>
      <c r="E81" s="1504"/>
      <c r="F81" s="1504"/>
      <c r="G81" s="1504"/>
      <c r="H81" s="1505"/>
      <c r="I81" s="1506">
        <f>Skemaoplysninger!G66</f>
        <v>0</v>
      </c>
      <c r="J81" s="1505"/>
      <c r="K81" s="401">
        <f>Skemaoplysninger!I66</f>
        <v>0</v>
      </c>
      <c r="L81" s="226"/>
      <c r="M81" s="213"/>
      <c r="N81" s="213"/>
      <c r="O81" s="213"/>
      <c r="P81" s="213"/>
      <c r="Q81" s="213"/>
      <c r="R81" s="213"/>
      <c r="S81" s="213"/>
      <c r="T81" s="213"/>
      <c r="U81" s="213"/>
      <c r="V81" s="213"/>
      <c r="W81" s="213"/>
      <c r="X81" s="213"/>
      <c r="Y81" s="213"/>
      <c r="Z81" s="213"/>
      <c r="AA81" s="213"/>
      <c r="AB81" s="212"/>
      <c r="AC81" s="212"/>
      <c r="AD81" s="212"/>
      <c r="AE81" s="212"/>
      <c r="AG81" s="213"/>
      <c r="AH81" s="214"/>
      <c r="AI81" s="215"/>
      <c r="AJ81" s="215"/>
      <c r="AK81" s="212"/>
      <c r="AL81" s="212"/>
      <c r="AM81" s="212"/>
      <c r="AN81" s="212"/>
      <c r="AO81" s="212"/>
    </row>
    <row r="82" spans="1:41" s="4" customFormat="1" ht="20" customHeight="1">
      <c r="A82" s="1525"/>
      <c r="B82" s="1503">
        <f>Skemaoplysninger!A67</f>
        <v>0</v>
      </c>
      <c r="C82" s="1504"/>
      <c r="D82" s="1504"/>
      <c r="E82" s="1504"/>
      <c r="F82" s="1504"/>
      <c r="G82" s="1504"/>
      <c r="H82" s="1505"/>
      <c r="I82" s="1506">
        <f>Skemaoplysninger!G67</f>
        <v>0</v>
      </c>
      <c r="J82" s="1505"/>
      <c r="K82" s="401">
        <f>Skemaoplysninger!I67</f>
        <v>0</v>
      </c>
      <c r="L82" s="226"/>
      <c r="M82" s="213"/>
      <c r="N82" s="213"/>
      <c r="O82" s="213"/>
      <c r="P82" s="213"/>
      <c r="Q82" s="213"/>
      <c r="R82" s="213"/>
      <c r="S82" s="213"/>
      <c r="T82" s="213"/>
      <c r="U82" s="213"/>
      <c r="V82" s="213"/>
      <c r="W82" s="213"/>
      <c r="X82" s="213"/>
      <c r="Y82" s="213"/>
      <c r="Z82" s="213"/>
      <c r="AA82" s="213"/>
      <c r="AB82" s="212"/>
      <c r="AC82" s="212"/>
      <c r="AD82" s="212"/>
      <c r="AE82" s="212"/>
      <c r="AG82" s="213"/>
      <c r="AH82" s="214"/>
      <c r="AI82" s="215"/>
      <c r="AJ82" s="215"/>
      <c r="AK82" s="212"/>
      <c r="AL82" s="212"/>
      <c r="AM82" s="212"/>
      <c r="AN82" s="212"/>
      <c r="AO82" s="212"/>
    </row>
    <row r="83" spans="1:41" s="4" customFormat="1" ht="20" customHeight="1">
      <c r="A83" s="1525"/>
      <c r="B83" s="1503">
        <f>Skemaoplysninger!A68</f>
        <v>0</v>
      </c>
      <c r="C83" s="1504"/>
      <c r="D83" s="1504"/>
      <c r="E83" s="1504"/>
      <c r="F83" s="1504"/>
      <c r="G83" s="1504"/>
      <c r="H83" s="1505"/>
      <c r="I83" s="1506">
        <f>Skemaoplysninger!G68</f>
        <v>0</v>
      </c>
      <c r="J83" s="1505"/>
      <c r="K83" s="401">
        <f>Skemaoplysninger!I68</f>
        <v>0</v>
      </c>
      <c r="L83" s="226"/>
      <c r="M83" s="213"/>
      <c r="N83" s="213"/>
      <c r="O83" s="213"/>
      <c r="P83" s="213"/>
      <c r="Q83" s="213"/>
      <c r="R83" s="213"/>
      <c r="S83" s="213"/>
      <c r="T83" s="213"/>
      <c r="U83" s="213"/>
      <c r="V83" s="213"/>
      <c r="W83" s="213"/>
      <c r="X83" s="213"/>
      <c r="Y83" s="213"/>
      <c r="Z83" s="213"/>
      <c r="AA83" s="213"/>
      <c r="AB83" s="212"/>
      <c r="AC83" s="212"/>
      <c r="AD83" s="212"/>
      <c r="AE83" s="212"/>
      <c r="AG83" s="213"/>
      <c r="AH83" s="214"/>
      <c r="AI83" s="215"/>
      <c r="AJ83" s="215"/>
      <c r="AK83" s="212"/>
      <c r="AL83" s="212"/>
      <c r="AM83" s="212"/>
      <c r="AN83" s="212"/>
      <c r="AO83" s="212"/>
    </row>
    <row r="84" spans="1:41" s="4" customFormat="1" ht="20" customHeight="1">
      <c r="A84" s="1525"/>
      <c r="B84" s="1503">
        <f>Skemaoplysninger!A69</f>
        <v>0</v>
      </c>
      <c r="C84" s="1504"/>
      <c r="D84" s="1504"/>
      <c r="E84" s="1504"/>
      <c r="F84" s="1504"/>
      <c r="G84" s="1504"/>
      <c r="H84" s="1505"/>
      <c r="I84" s="1506">
        <f>Skemaoplysninger!G69</f>
        <v>0</v>
      </c>
      <c r="J84" s="1505"/>
      <c r="K84" s="401">
        <f>Skemaoplysninger!I69</f>
        <v>0</v>
      </c>
      <c r="L84" s="226"/>
      <c r="M84" s="213"/>
      <c r="N84" s="213"/>
      <c r="O84" s="213"/>
      <c r="P84" s="213"/>
      <c r="Q84" s="213"/>
      <c r="R84" s="213"/>
      <c r="S84" s="213"/>
      <c r="T84" s="213"/>
      <c r="U84" s="213"/>
      <c r="V84" s="213"/>
      <c r="W84" s="213"/>
      <c r="X84" s="213"/>
      <c r="Y84" s="213"/>
      <c r="Z84" s="213"/>
      <c r="AA84" s="213"/>
      <c r="AB84" s="212"/>
      <c r="AC84" s="212"/>
      <c r="AD84" s="212"/>
      <c r="AE84" s="212"/>
      <c r="AG84" s="213"/>
      <c r="AH84" s="214"/>
      <c r="AI84" s="215"/>
      <c r="AJ84" s="215"/>
      <c r="AK84" s="212"/>
      <c r="AL84" s="212"/>
      <c r="AM84" s="212"/>
      <c r="AN84" s="212"/>
      <c r="AO84" s="212"/>
    </row>
    <row r="85" spans="1:41" s="4" customFormat="1" ht="20" customHeight="1">
      <c r="A85" s="1525"/>
      <c r="B85" s="1503">
        <f>Skemaoplysninger!A70</f>
        <v>0</v>
      </c>
      <c r="C85" s="1504"/>
      <c r="D85" s="1504"/>
      <c r="E85" s="1504"/>
      <c r="F85" s="1504"/>
      <c r="G85" s="1504"/>
      <c r="H85" s="1505"/>
      <c r="I85" s="1506">
        <f>Skemaoplysninger!G70</f>
        <v>0</v>
      </c>
      <c r="J85" s="1505"/>
      <c r="K85" s="401">
        <f>Skemaoplysninger!I70</f>
        <v>0</v>
      </c>
      <c r="L85" s="226"/>
      <c r="M85" s="213"/>
      <c r="N85" s="213"/>
      <c r="O85" s="213"/>
      <c r="P85" s="213"/>
      <c r="Q85" s="213"/>
      <c r="R85" s="213"/>
      <c r="S85" s="213"/>
      <c r="T85" s="213"/>
      <c r="U85" s="213"/>
      <c r="V85" s="213"/>
      <c r="W85" s="213"/>
      <c r="X85" s="213"/>
      <c r="Y85" s="213"/>
      <c r="Z85" s="213"/>
      <c r="AA85" s="213"/>
      <c r="AB85" s="212"/>
      <c r="AC85" s="212"/>
      <c r="AD85" s="212"/>
      <c r="AE85" s="212"/>
      <c r="AG85" s="213"/>
      <c r="AH85" s="214"/>
      <c r="AI85" s="215"/>
      <c r="AJ85" s="215"/>
      <c r="AK85" s="212"/>
      <c r="AL85" s="212"/>
      <c r="AM85" s="212"/>
      <c r="AN85" s="212"/>
      <c r="AO85" s="212"/>
    </row>
    <row r="86" spans="1:41" s="4" customFormat="1" ht="20" customHeight="1">
      <c r="A86" s="1525"/>
      <c r="B86" s="1503">
        <f>Skemaoplysninger!A71</f>
        <v>0</v>
      </c>
      <c r="C86" s="1504"/>
      <c r="D86" s="1504"/>
      <c r="E86" s="1504"/>
      <c r="F86" s="1504"/>
      <c r="G86" s="1504"/>
      <c r="H86" s="1505"/>
      <c r="I86" s="1506">
        <f>Skemaoplysninger!G71</f>
        <v>0</v>
      </c>
      <c r="J86" s="1505"/>
      <c r="K86" s="401">
        <f>Skemaoplysninger!I71</f>
        <v>0</v>
      </c>
      <c r="L86" s="226"/>
      <c r="M86" s="213"/>
      <c r="N86" s="213"/>
      <c r="O86" s="213"/>
      <c r="P86" s="213"/>
      <c r="Q86" s="213"/>
      <c r="R86" s="213"/>
      <c r="S86" s="213"/>
      <c r="T86" s="213"/>
      <c r="U86" s="213"/>
      <c r="V86" s="213"/>
      <c r="W86" s="213"/>
      <c r="X86" s="213"/>
      <c r="Y86" s="213"/>
      <c r="Z86" s="213"/>
      <c r="AA86" s="213"/>
      <c r="AB86" s="212"/>
      <c r="AC86" s="212"/>
      <c r="AD86" s="212"/>
      <c r="AE86" s="212"/>
      <c r="AG86" s="213"/>
      <c r="AH86" s="214"/>
      <c r="AI86" s="215"/>
      <c r="AJ86" s="215"/>
      <c r="AK86" s="212"/>
      <c r="AL86" s="212"/>
      <c r="AM86" s="212"/>
      <c r="AN86" s="212"/>
      <c r="AO86" s="212"/>
    </row>
    <row r="87" spans="1:41" s="4" customFormat="1" ht="20" customHeight="1">
      <c r="A87" s="1525"/>
      <c r="B87" s="1503">
        <f>Skemaoplysninger!A72</f>
        <v>0</v>
      </c>
      <c r="C87" s="1504"/>
      <c r="D87" s="1504"/>
      <c r="E87" s="1504"/>
      <c r="F87" s="1504"/>
      <c r="G87" s="1504"/>
      <c r="H87" s="1505"/>
      <c r="I87" s="1506">
        <f>Skemaoplysninger!G72</f>
        <v>0</v>
      </c>
      <c r="J87" s="1505"/>
      <c r="K87" s="401">
        <f>Skemaoplysninger!I72</f>
        <v>0</v>
      </c>
      <c r="L87" s="226"/>
      <c r="M87" s="213"/>
      <c r="N87" s="213"/>
      <c r="O87" s="213"/>
      <c r="P87" s="213"/>
      <c r="Q87" s="213"/>
      <c r="R87" s="213"/>
      <c r="S87" s="213"/>
      <c r="T87" s="213"/>
      <c r="U87" s="213"/>
      <c r="V87" s="213"/>
      <c r="W87" s="213"/>
      <c r="X87" s="213"/>
      <c r="Y87" s="213"/>
      <c r="Z87" s="213"/>
      <c r="AA87" s="213"/>
      <c r="AB87" s="212"/>
      <c r="AC87" s="212"/>
      <c r="AD87" s="212"/>
      <c r="AE87" s="212"/>
      <c r="AG87" s="213"/>
      <c r="AH87" s="214"/>
      <c r="AI87" s="215"/>
      <c r="AJ87" s="215"/>
      <c r="AK87" s="212"/>
      <c r="AL87" s="212"/>
      <c r="AM87" s="212"/>
      <c r="AN87" s="212"/>
      <c r="AO87" s="212"/>
    </row>
    <row r="88" spans="1:41" s="4" customFormat="1" ht="20" customHeight="1">
      <c r="A88" s="1525"/>
      <c r="B88" s="1503">
        <f>Skemaoplysninger!A73</f>
        <v>0</v>
      </c>
      <c r="C88" s="1504"/>
      <c r="D88" s="1504"/>
      <c r="E88" s="1504"/>
      <c r="F88" s="1504"/>
      <c r="G88" s="1504"/>
      <c r="H88" s="1505"/>
      <c r="I88" s="1506">
        <f>Skemaoplysninger!G73</f>
        <v>0</v>
      </c>
      <c r="J88" s="1505"/>
      <c r="K88" s="401">
        <f>Skemaoplysninger!I73</f>
        <v>0</v>
      </c>
      <c r="L88" s="226"/>
      <c r="M88" s="213"/>
      <c r="N88" s="213"/>
      <c r="O88" s="213"/>
      <c r="P88" s="213"/>
      <c r="Q88" s="213"/>
      <c r="R88" s="213"/>
      <c r="S88" s="213"/>
      <c r="T88" s="213"/>
      <c r="U88" s="213"/>
      <c r="V88" s="213"/>
      <c r="W88" s="213"/>
      <c r="X88" s="213"/>
      <c r="Y88" s="213"/>
      <c r="Z88" s="213"/>
      <c r="AA88" s="213"/>
      <c r="AB88" s="212"/>
      <c r="AC88" s="212"/>
      <c r="AD88" s="212"/>
      <c r="AE88" s="212"/>
      <c r="AG88" s="213"/>
      <c r="AH88" s="214"/>
      <c r="AI88" s="215"/>
      <c r="AJ88" s="215"/>
      <c r="AK88" s="212"/>
      <c r="AL88" s="212"/>
      <c r="AM88" s="212"/>
      <c r="AN88" s="212"/>
      <c r="AO88" s="212"/>
    </row>
    <row r="89" spans="1:41" s="4" customFormat="1" ht="20" customHeight="1">
      <c r="A89" s="1525"/>
      <c r="B89" s="1503">
        <f>Skemaoplysninger!A74</f>
        <v>0</v>
      </c>
      <c r="C89" s="1504"/>
      <c r="D89" s="1504"/>
      <c r="E89" s="1504"/>
      <c r="F89" s="1504"/>
      <c r="G89" s="1504"/>
      <c r="H89" s="1505"/>
      <c r="I89" s="1506">
        <f>Skemaoplysninger!G74</f>
        <v>0</v>
      </c>
      <c r="J89" s="1505"/>
      <c r="K89" s="401">
        <f>Skemaoplysninger!I74</f>
        <v>0</v>
      </c>
      <c r="L89" s="226"/>
      <c r="M89" s="213"/>
      <c r="N89" s="213"/>
      <c r="O89" s="213"/>
      <c r="P89" s="213"/>
      <c r="Q89" s="213"/>
      <c r="R89" s="213"/>
      <c r="S89" s="213"/>
      <c r="T89" s="213"/>
      <c r="U89" s="213"/>
      <c r="V89" s="213"/>
      <c r="W89" s="213"/>
      <c r="X89" s="213"/>
      <c r="Y89" s="213"/>
      <c r="Z89" s="213"/>
      <c r="AA89" s="213"/>
      <c r="AB89" s="212"/>
      <c r="AC89" s="212"/>
      <c r="AD89" s="212"/>
      <c r="AE89" s="212"/>
      <c r="AG89" s="213"/>
      <c r="AH89" s="214"/>
      <c r="AI89" s="215"/>
      <c r="AJ89" s="215"/>
      <c r="AK89" s="212"/>
      <c r="AL89" s="212"/>
      <c r="AM89" s="212"/>
      <c r="AN89" s="212"/>
      <c r="AO89" s="212"/>
    </row>
    <row r="90" spans="1:41" s="4" customFormat="1" ht="20" customHeight="1">
      <c r="A90" s="1525"/>
      <c r="B90" s="1503">
        <f>Skemaoplysninger!A75</f>
        <v>0</v>
      </c>
      <c r="C90" s="1504"/>
      <c r="D90" s="1504"/>
      <c r="E90" s="1504"/>
      <c r="F90" s="1504"/>
      <c r="G90" s="1504"/>
      <c r="H90" s="1505"/>
      <c r="I90" s="1506">
        <f>Skemaoplysninger!G75</f>
        <v>0</v>
      </c>
      <c r="J90" s="1505"/>
      <c r="K90" s="401">
        <f>Skemaoplysninger!I75</f>
        <v>0</v>
      </c>
      <c r="L90" s="226"/>
      <c r="M90" s="213"/>
      <c r="N90" s="213"/>
      <c r="O90" s="213"/>
      <c r="P90" s="213"/>
      <c r="Q90" s="213"/>
      <c r="R90" s="213"/>
      <c r="S90" s="213"/>
      <c r="T90" s="213"/>
      <c r="U90" s="213"/>
      <c r="V90" s="213"/>
      <c r="W90" s="213"/>
      <c r="X90" s="213"/>
      <c r="Y90" s="213"/>
      <c r="Z90" s="213"/>
      <c r="AA90" s="213"/>
      <c r="AB90" s="212"/>
      <c r="AC90" s="212"/>
      <c r="AD90" s="212"/>
      <c r="AE90" s="212"/>
      <c r="AG90" s="213"/>
      <c r="AH90" s="214"/>
      <c r="AI90" s="215"/>
      <c r="AJ90" s="215"/>
      <c r="AK90" s="212"/>
      <c r="AL90" s="212"/>
      <c r="AM90" s="212"/>
      <c r="AN90" s="212"/>
      <c r="AO90" s="212"/>
    </row>
    <row r="91" spans="1:41" s="4" customFormat="1" ht="20" customHeight="1">
      <c r="A91" s="1525"/>
      <c r="B91" s="1503">
        <f>Skemaoplysninger!A76</f>
        <v>0</v>
      </c>
      <c r="C91" s="1504"/>
      <c r="D91" s="1504"/>
      <c r="E91" s="1504"/>
      <c r="F91" s="1504"/>
      <c r="G91" s="1504"/>
      <c r="H91" s="1505"/>
      <c r="I91" s="1506">
        <f>Skemaoplysninger!G76</f>
        <v>0</v>
      </c>
      <c r="J91" s="1505"/>
      <c r="K91" s="401">
        <f>Skemaoplysninger!I76</f>
        <v>0</v>
      </c>
      <c r="L91" s="226"/>
      <c r="M91" s="213"/>
      <c r="N91" s="213"/>
      <c r="O91" s="213"/>
      <c r="P91" s="213"/>
      <c r="Q91" s="213"/>
      <c r="R91" s="213"/>
      <c r="S91" s="213"/>
      <c r="T91" s="213"/>
      <c r="U91" s="213"/>
      <c r="V91" s="213"/>
      <c r="W91" s="213"/>
      <c r="X91" s="213"/>
      <c r="Y91" s="213"/>
      <c r="Z91" s="213"/>
      <c r="AA91" s="213"/>
      <c r="AB91" s="212"/>
      <c r="AC91" s="212"/>
      <c r="AD91" s="212"/>
      <c r="AE91" s="212"/>
      <c r="AG91" s="213"/>
      <c r="AH91" s="214"/>
      <c r="AI91" s="215"/>
      <c r="AJ91" s="215"/>
      <c r="AK91" s="212"/>
      <c r="AL91" s="212"/>
      <c r="AM91" s="212"/>
      <c r="AN91" s="212"/>
      <c r="AO91" s="212"/>
    </row>
    <row r="92" spans="1:41" s="4" customFormat="1" ht="20" customHeight="1">
      <c r="A92" s="1525"/>
      <c r="B92" s="1503">
        <f>Skemaoplysninger!A77</f>
        <v>0</v>
      </c>
      <c r="C92" s="1504"/>
      <c r="D92" s="1504"/>
      <c r="E92" s="1504"/>
      <c r="F92" s="1504"/>
      <c r="G92" s="1504"/>
      <c r="H92" s="1505"/>
      <c r="I92" s="1506">
        <f>Skemaoplysninger!G77</f>
        <v>0</v>
      </c>
      <c r="J92" s="1505"/>
      <c r="K92" s="401">
        <f>Skemaoplysninger!I77</f>
        <v>0</v>
      </c>
      <c r="L92" s="226"/>
      <c r="M92" s="213"/>
      <c r="N92" s="213"/>
      <c r="O92" s="213"/>
      <c r="P92" s="213"/>
      <c r="Q92" s="213"/>
      <c r="R92" s="213"/>
      <c r="S92" s="213"/>
      <c r="T92" s="213"/>
      <c r="U92" s="213"/>
      <c r="V92" s="213"/>
      <c r="W92" s="213"/>
      <c r="X92" s="213"/>
      <c r="Y92" s="213"/>
      <c r="Z92" s="213"/>
      <c r="AA92" s="213"/>
      <c r="AB92" s="212"/>
      <c r="AC92" s="212"/>
      <c r="AD92" s="212"/>
      <c r="AE92" s="212"/>
      <c r="AG92" s="213"/>
      <c r="AH92" s="214"/>
      <c r="AI92" s="215"/>
      <c r="AJ92" s="215"/>
      <c r="AK92" s="212"/>
      <c r="AL92" s="212"/>
      <c r="AM92" s="212"/>
      <c r="AN92" s="212"/>
      <c r="AO92" s="212"/>
    </row>
    <row r="93" spans="1:41" s="4" customFormat="1" ht="20" customHeight="1">
      <c r="A93" s="1525"/>
      <c r="B93" s="1503">
        <f>Skemaoplysninger!A78</f>
        <v>0</v>
      </c>
      <c r="C93" s="1504"/>
      <c r="D93" s="1504"/>
      <c r="E93" s="1504"/>
      <c r="F93" s="1504"/>
      <c r="G93" s="1504"/>
      <c r="H93" s="1505"/>
      <c r="I93" s="1506">
        <f>Skemaoplysninger!G78</f>
        <v>0</v>
      </c>
      <c r="J93" s="1505"/>
      <c r="K93" s="401">
        <f>Skemaoplysninger!I78</f>
        <v>0</v>
      </c>
      <c r="L93" s="226"/>
      <c r="M93" s="213"/>
      <c r="N93" s="213"/>
      <c r="O93" s="213"/>
      <c r="P93" s="213"/>
      <c r="Q93" s="213"/>
      <c r="R93" s="213"/>
      <c r="S93" s="213"/>
      <c r="T93" s="213"/>
      <c r="U93" s="213"/>
      <c r="V93" s="213"/>
      <c r="W93" s="213"/>
      <c r="X93" s="213"/>
      <c r="Y93" s="213"/>
      <c r="Z93" s="213"/>
      <c r="AA93" s="213"/>
      <c r="AB93" s="212"/>
      <c r="AC93" s="212"/>
      <c r="AD93" s="212"/>
      <c r="AE93" s="212"/>
      <c r="AG93" s="213"/>
      <c r="AH93" s="214"/>
      <c r="AI93" s="215"/>
      <c r="AJ93" s="215"/>
      <c r="AK93" s="212"/>
      <c r="AL93" s="212"/>
      <c r="AM93" s="212"/>
      <c r="AN93" s="212"/>
      <c r="AO93" s="212"/>
    </row>
    <row r="94" spans="1:41" s="4" customFormat="1" ht="20" customHeight="1">
      <c r="A94" s="1525"/>
      <c r="B94" s="1503">
        <f>Skemaoplysninger!A79</f>
        <v>0</v>
      </c>
      <c r="C94" s="1504"/>
      <c r="D94" s="1504"/>
      <c r="E94" s="1504"/>
      <c r="F94" s="1504"/>
      <c r="G94" s="1504"/>
      <c r="H94" s="1505"/>
      <c r="I94" s="1506">
        <f>Skemaoplysninger!G79</f>
        <v>0</v>
      </c>
      <c r="J94" s="1505"/>
      <c r="K94" s="401">
        <f>Skemaoplysninger!I79</f>
        <v>0</v>
      </c>
      <c r="L94" s="226"/>
      <c r="M94" s="213"/>
      <c r="N94" s="213"/>
      <c r="O94" s="213"/>
      <c r="P94" s="213"/>
      <c r="Q94" s="213"/>
      <c r="R94" s="213"/>
      <c r="S94" s="213"/>
      <c r="T94" s="213"/>
      <c r="U94" s="213"/>
      <c r="V94" s="213"/>
      <c r="W94" s="213"/>
      <c r="X94" s="213"/>
      <c r="Y94" s="213"/>
      <c r="Z94" s="213"/>
      <c r="AA94" s="213"/>
      <c r="AB94" s="212"/>
      <c r="AC94" s="212"/>
      <c r="AD94" s="212"/>
      <c r="AE94" s="212"/>
      <c r="AG94" s="213"/>
      <c r="AH94" s="214"/>
      <c r="AI94" s="215"/>
      <c r="AJ94" s="215"/>
      <c r="AK94" s="212"/>
      <c r="AL94" s="212"/>
      <c r="AM94" s="212"/>
      <c r="AN94" s="212"/>
      <c r="AO94" s="212"/>
    </row>
    <row r="95" spans="1:41" s="4" customFormat="1" ht="20" customHeight="1">
      <c r="A95" s="1525"/>
      <c r="B95" s="1503">
        <f>Skemaoplysninger!A80</f>
        <v>0</v>
      </c>
      <c r="C95" s="1504"/>
      <c r="D95" s="1504"/>
      <c r="E95" s="1504"/>
      <c r="F95" s="1504"/>
      <c r="G95" s="1504"/>
      <c r="H95" s="1505"/>
      <c r="I95" s="1506">
        <f>Skemaoplysninger!G80</f>
        <v>0</v>
      </c>
      <c r="J95" s="1505"/>
      <c r="K95" s="401">
        <f>Skemaoplysninger!I80</f>
        <v>0</v>
      </c>
      <c r="L95" s="226"/>
      <c r="M95" s="213"/>
      <c r="N95" s="213"/>
      <c r="O95" s="213"/>
      <c r="P95" s="213"/>
      <c r="Q95" s="213"/>
      <c r="R95" s="213"/>
      <c r="S95" s="213"/>
      <c r="T95" s="213"/>
      <c r="U95" s="213"/>
      <c r="V95" s="213"/>
      <c r="W95" s="213"/>
      <c r="X95" s="213"/>
      <c r="Y95" s="213"/>
      <c r="Z95" s="213"/>
      <c r="AA95" s="213"/>
      <c r="AB95" s="212"/>
      <c r="AC95" s="212"/>
      <c r="AD95" s="212"/>
      <c r="AE95" s="212"/>
      <c r="AG95" s="213"/>
      <c r="AH95" s="214"/>
      <c r="AI95" s="215"/>
      <c r="AJ95" s="215"/>
      <c r="AK95" s="212"/>
      <c r="AL95" s="212"/>
      <c r="AM95" s="212"/>
      <c r="AN95" s="212"/>
      <c r="AO95" s="212"/>
    </row>
    <row r="96" spans="1:41" s="4" customFormat="1" ht="20" customHeight="1">
      <c r="A96" s="1525"/>
      <c r="B96" s="1503">
        <f>Skemaoplysninger!A81</f>
        <v>0</v>
      </c>
      <c r="C96" s="1504"/>
      <c r="D96" s="1504"/>
      <c r="E96" s="1504"/>
      <c r="F96" s="1504"/>
      <c r="G96" s="1504"/>
      <c r="H96" s="1505"/>
      <c r="I96" s="1506">
        <f>Skemaoplysninger!G81</f>
        <v>0</v>
      </c>
      <c r="J96" s="1505"/>
      <c r="K96" s="401">
        <f>Skemaoplysninger!I81</f>
        <v>0</v>
      </c>
      <c r="L96" s="226"/>
      <c r="M96" s="213"/>
      <c r="N96" s="213"/>
      <c r="O96" s="213"/>
      <c r="P96" s="213"/>
      <c r="Q96" s="213"/>
      <c r="R96" s="213"/>
      <c r="S96" s="213"/>
      <c r="T96" s="213"/>
      <c r="U96" s="213"/>
      <c r="V96" s="213"/>
      <c r="W96" s="213"/>
      <c r="X96" s="213"/>
      <c r="Y96" s="213"/>
      <c r="Z96" s="213"/>
      <c r="AA96" s="213"/>
      <c r="AB96" s="212"/>
      <c r="AC96" s="212"/>
      <c r="AD96" s="212"/>
      <c r="AE96" s="212"/>
      <c r="AG96" s="213"/>
      <c r="AH96" s="214"/>
      <c r="AI96" s="215"/>
      <c r="AJ96" s="215"/>
      <c r="AK96" s="212"/>
      <c r="AL96" s="212"/>
      <c r="AM96" s="212"/>
      <c r="AN96" s="212"/>
      <c r="AO96" s="212"/>
    </row>
    <row r="97" spans="1:41" s="4" customFormat="1" ht="20" customHeight="1">
      <c r="A97" s="1525"/>
      <c r="B97" s="1503">
        <f>Skemaoplysninger!A82</f>
        <v>0</v>
      </c>
      <c r="C97" s="1504"/>
      <c r="D97" s="1504"/>
      <c r="E97" s="1504"/>
      <c r="F97" s="1504"/>
      <c r="G97" s="1504"/>
      <c r="H97" s="1505"/>
      <c r="I97" s="1506">
        <f>Skemaoplysninger!G82</f>
        <v>0</v>
      </c>
      <c r="J97" s="1505"/>
      <c r="K97" s="401">
        <f>Skemaoplysninger!I82</f>
        <v>0</v>
      </c>
      <c r="L97" s="226"/>
      <c r="M97" s="213"/>
      <c r="N97" s="213"/>
      <c r="O97" s="213"/>
      <c r="P97" s="213"/>
      <c r="Q97" s="213"/>
      <c r="R97" s="213"/>
      <c r="S97" s="213"/>
      <c r="T97" s="213"/>
      <c r="U97" s="213"/>
      <c r="V97" s="213"/>
      <c r="W97" s="213"/>
      <c r="X97" s="213"/>
      <c r="Y97" s="213"/>
      <c r="Z97" s="213"/>
      <c r="AA97" s="213"/>
      <c r="AB97" s="212"/>
      <c r="AC97" s="212"/>
      <c r="AD97" s="212"/>
      <c r="AE97" s="212"/>
      <c r="AG97" s="213"/>
      <c r="AH97" s="214"/>
      <c r="AI97" s="215"/>
      <c r="AJ97" s="215"/>
      <c r="AK97" s="212"/>
      <c r="AL97" s="212"/>
      <c r="AM97" s="212"/>
      <c r="AN97" s="212"/>
      <c r="AO97" s="212"/>
    </row>
    <row r="98" spans="1:41" s="4" customFormat="1" ht="20" customHeight="1">
      <c r="A98" s="1525"/>
      <c r="B98" s="1503">
        <f>Skemaoplysninger!A83</f>
        <v>0</v>
      </c>
      <c r="C98" s="1504"/>
      <c r="D98" s="1504"/>
      <c r="E98" s="1504"/>
      <c r="F98" s="1504"/>
      <c r="G98" s="1504"/>
      <c r="H98" s="1505"/>
      <c r="I98" s="1506">
        <f>Skemaoplysninger!G83</f>
        <v>0</v>
      </c>
      <c r="J98" s="1505"/>
      <c r="K98" s="401">
        <f>Skemaoplysninger!I83</f>
        <v>0</v>
      </c>
      <c r="L98" s="226"/>
      <c r="M98" s="213"/>
      <c r="N98" s="213"/>
      <c r="O98" s="213"/>
      <c r="P98" s="213"/>
      <c r="Q98" s="213"/>
      <c r="R98" s="213"/>
      <c r="S98" s="213"/>
      <c r="T98" s="213"/>
      <c r="U98" s="213"/>
      <c r="V98" s="213"/>
      <c r="W98" s="213"/>
      <c r="X98" s="213"/>
      <c r="Y98" s="213"/>
      <c r="Z98" s="213"/>
      <c r="AA98" s="213"/>
      <c r="AB98" s="212"/>
      <c r="AC98" s="212"/>
      <c r="AD98" s="212"/>
      <c r="AE98" s="212"/>
      <c r="AG98" s="213"/>
      <c r="AH98" s="214"/>
      <c r="AI98" s="215"/>
      <c r="AJ98" s="215"/>
      <c r="AK98" s="212"/>
      <c r="AL98" s="212"/>
      <c r="AM98" s="212"/>
      <c r="AN98" s="212"/>
      <c r="AO98" s="212"/>
    </row>
    <row r="99" spans="1:41" s="4" customFormat="1" ht="20" customHeight="1">
      <c r="A99" s="1525"/>
      <c r="B99" s="1503">
        <f>Skemaoplysninger!A84</f>
        <v>0</v>
      </c>
      <c r="C99" s="1504"/>
      <c r="D99" s="1504"/>
      <c r="E99" s="1504"/>
      <c r="F99" s="1504"/>
      <c r="G99" s="1504"/>
      <c r="H99" s="1505"/>
      <c r="I99" s="1506">
        <f>Skemaoplysninger!G84</f>
        <v>0</v>
      </c>
      <c r="J99" s="1505"/>
      <c r="K99" s="401">
        <f>Skemaoplysninger!I84</f>
        <v>0</v>
      </c>
      <c r="L99" s="226"/>
      <c r="M99" s="213"/>
      <c r="N99" s="213"/>
      <c r="O99" s="213"/>
      <c r="P99" s="213"/>
      <c r="Q99" s="213"/>
      <c r="R99" s="213"/>
      <c r="S99" s="213"/>
      <c r="T99" s="213"/>
      <c r="U99" s="213"/>
      <c r="V99" s="213"/>
      <c r="W99" s="213"/>
      <c r="X99" s="213"/>
      <c r="Y99" s="213"/>
      <c r="Z99" s="213"/>
      <c r="AA99" s="213"/>
      <c r="AB99" s="212"/>
      <c r="AC99" s="212"/>
      <c r="AD99" s="212"/>
      <c r="AE99" s="212"/>
      <c r="AG99" s="213"/>
      <c r="AH99" s="214"/>
      <c r="AI99" s="215"/>
      <c r="AJ99" s="215"/>
      <c r="AK99" s="212"/>
      <c r="AL99" s="212"/>
      <c r="AM99" s="212"/>
      <c r="AN99" s="212"/>
      <c r="AO99" s="212"/>
    </row>
    <row r="100" spans="1:41" s="4" customFormat="1" ht="20" customHeight="1">
      <c r="A100" s="1525"/>
      <c r="B100" s="1503">
        <f>Skemaoplysninger!A85</f>
        <v>0</v>
      </c>
      <c r="C100" s="1504"/>
      <c r="D100" s="1504"/>
      <c r="E100" s="1504"/>
      <c r="F100" s="1504"/>
      <c r="G100" s="1504"/>
      <c r="H100" s="1505"/>
      <c r="I100" s="1506">
        <f>Skemaoplysninger!G85</f>
        <v>0</v>
      </c>
      <c r="J100" s="1505"/>
      <c r="K100" s="401">
        <f>Skemaoplysninger!I85</f>
        <v>0</v>
      </c>
      <c r="L100" s="226"/>
      <c r="M100" s="213"/>
      <c r="N100" s="213"/>
      <c r="O100" s="213"/>
      <c r="P100" s="213"/>
      <c r="Q100" s="213"/>
      <c r="R100" s="213"/>
      <c r="S100" s="213"/>
      <c r="T100" s="213"/>
      <c r="U100" s="213"/>
      <c r="V100" s="213"/>
      <c r="W100" s="213"/>
      <c r="X100" s="213"/>
      <c r="Y100" s="213"/>
      <c r="Z100" s="213"/>
      <c r="AA100" s="213"/>
      <c r="AB100" s="212"/>
      <c r="AC100" s="212"/>
      <c r="AD100" s="212"/>
      <c r="AE100" s="212"/>
      <c r="AG100" s="213"/>
      <c r="AH100" s="214"/>
      <c r="AI100" s="215"/>
      <c r="AJ100" s="215"/>
      <c r="AK100" s="212"/>
      <c r="AL100" s="212"/>
      <c r="AM100" s="212"/>
      <c r="AN100" s="212"/>
      <c r="AO100" s="212"/>
    </row>
    <row r="101" spans="1:41" s="4" customFormat="1" ht="20" customHeight="1">
      <c r="A101" s="1525"/>
      <c r="B101" s="1503">
        <f>Skemaoplysninger!A86</f>
        <v>0</v>
      </c>
      <c r="C101" s="1504"/>
      <c r="D101" s="1504"/>
      <c r="E101" s="1504"/>
      <c r="F101" s="1504"/>
      <c r="G101" s="1504"/>
      <c r="H101" s="1505"/>
      <c r="I101" s="1506">
        <f>Skemaoplysninger!G86</f>
        <v>0</v>
      </c>
      <c r="J101" s="1505"/>
      <c r="K101" s="401">
        <f>Skemaoplysninger!I86</f>
        <v>0</v>
      </c>
      <c r="L101" s="226"/>
      <c r="M101" s="213"/>
      <c r="N101" s="213"/>
      <c r="O101" s="213"/>
      <c r="P101" s="213"/>
      <c r="Q101" s="213"/>
      <c r="R101" s="213"/>
      <c r="S101" s="213"/>
      <c r="T101" s="213"/>
      <c r="U101" s="213"/>
      <c r="V101" s="213"/>
      <c r="W101" s="213"/>
      <c r="X101" s="213"/>
      <c r="Y101" s="213"/>
      <c r="Z101" s="213"/>
      <c r="AA101" s="213"/>
      <c r="AB101" s="212"/>
      <c r="AC101" s="212"/>
      <c r="AD101" s="212"/>
      <c r="AE101" s="212"/>
      <c r="AG101" s="213"/>
      <c r="AH101" s="214"/>
      <c r="AI101" s="215"/>
      <c r="AJ101" s="215"/>
      <c r="AK101" s="212"/>
      <c r="AL101" s="212"/>
      <c r="AM101" s="212"/>
      <c r="AN101" s="212"/>
      <c r="AO101" s="212"/>
    </row>
    <row r="102" spans="1:41" s="4" customFormat="1" ht="20" customHeight="1">
      <c r="A102" s="1525"/>
      <c r="B102" s="1503">
        <f>Skemaoplysninger!A87</f>
        <v>0</v>
      </c>
      <c r="C102" s="1504"/>
      <c r="D102" s="1504"/>
      <c r="E102" s="1504"/>
      <c r="F102" s="1504"/>
      <c r="G102" s="1504"/>
      <c r="H102" s="1505"/>
      <c r="I102" s="1506">
        <f>Skemaoplysninger!G87</f>
        <v>0</v>
      </c>
      <c r="J102" s="1505"/>
      <c r="K102" s="401">
        <f>Skemaoplysninger!I87</f>
        <v>0</v>
      </c>
      <c r="L102" s="226"/>
      <c r="M102" s="213"/>
      <c r="N102" s="213"/>
      <c r="O102" s="213"/>
      <c r="P102" s="213"/>
      <c r="Q102" s="213"/>
      <c r="R102" s="213"/>
      <c r="S102" s="213"/>
      <c r="T102" s="213"/>
      <c r="U102" s="213"/>
      <c r="V102" s="213"/>
      <c r="W102" s="213"/>
      <c r="X102" s="213"/>
      <c r="Y102" s="213"/>
      <c r="Z102" s="213"/>
      <c r="AA102" s="213"/>
      <c r="AB102" s="212"/>
      <c r="AC102" s="212"/>
      <c r="AD102" s="212"/>
      <c r="AE102" s="212"/>
      <c r="AG102" s="213"/>
      <c r="AH102" s="214"/>
      <c r="AI102" s="215"/>
      <c r="AJ102" s="215"/>
      <c r="AK102" s="212"/>
      <c r="AL102" s="212"/>
      <c r="AM102" s="212"/>
      <c r="AN102" s="212"/>
      <c r="AO102" s="212"/>
    </row>
    <row r="103" spans="1:41" s="4" customFormat="1" ht="20" customHeight="1">
      <c r="A103" s="1525"/>
      <c r="B103" s="1503">
        <f>Skemaoplysninger!A88</f>
        <v>0</v>
      </c>
      <c r="C103" s="1504"/>
      <c r="D103" s="1504"/>
      <c r="E103" s="1504"/>
      <c r="F103" s="1504"/>
      <c r="G103" s="1504"/>
      <c r="H103" s="1505"/>
      <c r="I103" s="1506">
        <f>Skemaoplysninger!G88</f>
        <v>0</v>
      </c>
      <c r="J103" s="1505"/>
      <c r="K103" s="401">
        <f>Skemaoplysninger!I88</f>
        <v>0</v>
      </c>
      <c r="L103" s="226"/>
      <c r="M103" s="213"/>
      <c r="N103" s="213"/>
      <c r="O103" s="213"/>
      <c r="P103" s="213"/>
      <c r="Q103" s="213"/>
      <c r="R103" s="213"/>
      <c r="S103" s="213"/>
      <c r="T103" s="213"/>
      <c r="U103" s="213"/>
      <c r="V103" s="213"/>
      <c r="W103" s="213"/>
      <c r="X103" s="213"/>
      <c r="Y103" s="213"/>
      <c r="Z103" s="213"/>
      <c r="AA103" s="213"/>
      <c r="AB103" s="212"/>
      <c r="AC103" s="212"/>
      <c r="AD103" s="212"/>
      <c r="AE103" s="212"/>
      <c r="AG103" s="213"/>
      <c r="AH103" s="214"/>
      <c r="AI103" s="215"/>
      <c r="AJ103" s="215"/>
      <c r="AK103" s="212"/>
      <c r="AL103" s="212"/>
      <c r="AM103" s="212"/>
      <c r="AN103" s="212"/>
      <c r="AO103" s="212"/>
    </row>
    <row r="104" spans="1:41" s="4" customFormat="1" ht="20" customHeight="1">
      <c r="A104" s="1525"/>
      <c r="B104" s="1503">
        <f>Skemaoplysninger!A89</f>
        <v>0</v>
      </c>
      <c r="C104" s="1504"/>
      <c r="D104" s="1504"/>
      <c r="E104" s="1504"/>
      <c r="F104" s="1504"/>
      <c r="G104" s="1504"/>
      <c r="H104" s="1505"/>
      <c r="I104" s="1506">
        <f>Skemaoplysninger!G89</f>
        <v>0</v>
      </c>
      <c r="J104" s="1505"/>
      <c r="K104" s="401">
        <f>Skemaoplysninger!I89</f>
        <v>0</v>
      </c>
      <c r="L104" s="226"/>
      <c r="M104" s="213"/>
      <c r="N104" s="213"/>
      <c r="O104" s="213"/>
      <c r="P104" s="213"/>
      <c r="Q104" s="213"/>
      <c r="R104" s="213"/>
      <c r="S104" s="213"/>
      <c r="T104" s="213"/>
      <c r="U104" s="213"/>
      <c r="V104" s="213"/>
      <c r="W104" s="213"/>
      <c r="X104" s="213"/>
      <c r="Y104" s="213"/>
      <c r="Z104" s="213"/>
      <c r="AA104" s="213"/>
      <c r="AB104" s="212"/>
      <c r="AC104" s="212"/>
      <c r="AD104" s="212"/>
      <c r="AE104" s="212"/>
      <c r="AG104" s="213"/>
      <c r="AH104" s="214"/>
      <c r="AI104" s="215"/>
      <c r="AJ104" s="215"/>
      <c r="AK104" s="212"/>
      <c r="AL104" s="212"/>
      <c r="AM104" s="212"/>
      <c r="AN104" s="212"/>
      <c r="AO104" s="212"/>
    </row>
    <row r="105" spans="1:41" s="4" customFormat="1" ht="20" customHeight="1">
      <c r="A105" s="1525"/>
      <c r="B105" s="1503">
        <f>Skemaoplysninger!A90</f>
        <v>0</v>
      </c>
      <c r="C105" s="1504"/>
      <c r="D105" s="1504"/>
      <c r="E105" s="1504"/>
      <c r="F105" s="1504"/>
      <c r="G105" s="1504"/>
      <c r="H105" s="1505"/>
      <c r="I105" s="1506">
        <f>Skemaoplysninger!G90</f>
        <v>0</v>
      </c>
      <c r="J105" s="1505"/>
      <c r="K105" s="401">
        <f>Skemaoplysninger!I90</f>
        <v>0</v>
      </c>
      <c r="L105" s="226"/>
      <c r="M105" s="213"/>
      <c r="N105" s="213"/>
      <c r="O105" s="213"/>
      <c r="P105" s="213"/>
      <c r="Q105" s="213"/>
      <c r="R105" s="213"/>
      <c r="S105" s="213"/>
      <c r="T105" s="213"/>
      <c r="U105" s="213"/>
      <c r="V105" s="213"/>
      <c r="W105" s="213"/>
      <c r="X105" s="213"/>
      <c r="Y105" s="213"/>
      <c r="Z105" s="213"/>
      <c r="AA105" s="213"/>
      <c r="AB105" s="212"/>
      <c r="AC105" s="212"/>
      <c r="AD105" s="212"/>
      <c r="AE105" s="212"/>
      <c r="AG105" s="213"/>
      <c r="AH105" s="214"/>
      <c r="AI105" s="215"/>
      <c r="AJ105" s="215"/>
      <c r="AK105" s="212"/>
      <c r="AL105" s="212"/>
      <c r="AM105" s="212"/>
      <c r="AN105" s="212"/>
      <c r="AO105" s="212"/>
    </row>
    <row r="106" spans="1:41" s="4" customFormat="1" ht="20" customHeight="1">
      <c r="A106" s="1525"/>
      <c r="B106" s="1503">
        <f>Skemaoplysninger!A91</f>
        <v>0</v>
      </c>
      <c r="C106" s="1504"/>
      <c r="D106" s="1504"/>
      <c r="E106" s="1504"/>
      <c r="F106" s="1504"/>
      <c r="G106" s="1504"/>
      <c r="H106" s="1505"/>
      <c r="I106" s="1506">
        <f>Skemaoplysninger!G91</f>
        <v>0</v>
      </c>
      <c r="J106" s="1505"/>
      <c r="K106" s="401">
        <f>Skemaoplysninger!I91</f>
        <v>0</v>
      </c>
      <c r="L106" s="226"/>
      <c r="M106" s="213"/>
      <c r="N106" s="213"/>
      <c r="O106" s="213"/>
      <c r="P106" s="213"/>
      <c r="Q106" s="213"/>
      <c r="R106" s="213"/>
      <c r="S106" s="213"/>
      <c r="T106" s="213"/>
      <c r="U106" s="213"/>
      <c r="V106" s="213"/>
      <c r="W106" s="213"/>
      <c r="X106" s="213"/>
      <c r="Y106" s="213"/>
      <c r="Z106" s="213"/>
      <c r="AA106" s="213"/>
      <c r="AB106" s="212"/>
      <c r="AC106" s="212"/>
      <c r="AD106" s="212"/>
      <c r="AE106" s="212"/>
      <c r="AG106" s="213"/>
      <c r="AH106" s="214"/>
      <c r="AI106" s="215"/>
      <c r="AJ106" s="215"/>
      <c r="AK106" s="212"/>
      <c r="AL106" s="212"/>
      <c r="AM106" s="212"/>
      <c r="AN106" s="212"/>
      <c r="AO106" s="212"/>
    </row>
    <row r="107" spans="1:41" s="4" customFormat="1" ht="20" customHeight="1">
      <c r="A107" s="1525"/>
      <c r="B107" s="1503">
        <f>Skemaoplysninger!A92</f>
        <v>0</v>
      </c>
      <c r="C107" s="1504"/>
      <c r="D107" s="1504"/>
      <c r="E107" s="1504"/>
      <c r="F107" s="1504"/>
      <c r="G107" s="1504"/>
      <c r="H107" s="1505"/>
      <c r="I107" s="1506">
        <f>Skemaoplysninger!G92</f>
        <v>0</v>
      </c>
      <c r="J107" s="1505"/>
      <c r="K107" s="401">
        <f>Skemaoplysninger!I92</f>
        <v>0</v>
      </c>
      <c r="L107" s="226"/>
      <c r="M107" s="213"/>
      <c r="N107" s="213"/>
      <c r="O107" s="213"/>
      <c r="P107" s="213"/>
      <c r="Q107" s="213"/>
      <c r="R107" s="213"/>
      <c r="S107" s="213"/>
      <c r="T107" s="213"/>
      <c r="U107" s="213"/>
      <c r="V107" s="213"/>
      <c r="W107" s="213"/>
      <c r="X107" s="213"/>
      <c r="Y107" s="213"/>
      <c r="Z107" s="213"/>
      <c r="AA107" s="213"/>
      <c r="AB107" s="212"/>
      <c r="AC107" s="212"/>
      <c r="AD107" s="212"/>
      <c r="AE107" s="212"/>
      <c r="AG107" s="213"/>
      <c r="AH107" s="214"/>
      <c r="AI107" s="215"/>
      <c r="AJ107" s="215"/>
      <c r="AK107" s="212"/>
      <c r="AL107" s="212"/>
      <c r="AM107" s="212"/>
      <c r="AN107" s="212"/>
      <c r="AO107" s="212"/>
    </row>
    <row r="108" spans="1:41" s="4" customFormat="1" ht="20" customHeight="1">
      <c r="A108" s="1525"/>
      <c r="B108" s="1503">
        <f>Skemaoplysninger!A93</f>
        <v>0</v>
      </c>
      <c r="C108" s="1504"/>
      <c r="D108" s="1504"/>
      <c r="E108" s="1504"/>
      <c r="F108" s="1504"/>
      <c r="G108" s="1504"/>
      <c r="H108" s="1505"/>
      <c r="I108" s="1506">
        <f>Skemaoplysninger!G93</f>
        <v>0</v>
      </c>
      <c r="J108" s="1505"/>
      <c r="K108" s="401">
        <f>Skemaoplysninger!I93</f>
        <v>0</v>
      </c>
      <c r="L108" s="226"/>
      <c r="M108" s="213"/>
      <c r="N108" s="213"/>
      <c r="O108" s="213"/>
      <c r="P108" s="213"/>
      <c r="Q108" s="213"/>
      <c r="R108" s="213"/>
      <c r="S108" s="213"/>
      <c r="T108" s="213"/>
      <c r="U108" s="213"/>
      <c r="V108" s="213"/>
      <c r="W108" s="213"/>
      <c r="X108" s="213"/>
      <c r="Y108" s="213"/>
      <c r="Z108" s="213"/>
      <c r="AA108" s="213"/>
      <c r="AB108" s="212"/>
      <c r="AC108" s="212"/>
      <c r="AD108" s="212"/>
      <c r="AE108" s="212"/>
      <c r="AG108" s="213"/>
      <c r="AH108" s="214"/>
      <c r="AI108" s="215"/>
      <c r="AJ108" s="215"/>
      <c r="AK108" s="212"/>
      <c r="AL108" s="212"/>
      <c r="AM108" s="212"/>
      <c r="AN108" s="212"/>
      <c r="AO108" s="212"/>
    </row>
    <row r="109" spans="1:41" s="4" customFormat="1" ht="20" customHeight="1">
      <c r="A109" s="1525"/>
      <c r="B109" s="1503">
        <f>Skemaoplysninger!A94</f>
        <v>0</v>
      </c>
      <c r="C109" s="1504"/>
      <c r="D109" s="1504"/>
      <c r="E109" s="1504"/>
      <c r="F109" s="1504"/>
      <c r="G109" s="1504"/>
      <c r="H109" s="1505"/>
      <c r="I109" s="1506">
        <f>Skemaoplysninger!G94</f>
        <v>0</v>
      </c>
      <c r="J109" s="1505"/>
      <c r="K109" s="401">
        <f>Skemaoplysninger!I94</f>
        <v>0</v>
      </c>
      <c r="L109" s="226"/>
      <c r="M109" s="213"/>
      <c r="N109" s="213"/>
      <c r="O109" s="213"/>
      <c r="P109" s="213"/>
      <c r="Q109" s="213"/>
      <c r="R109" s="213"/>
      <c r="S109" s="213"/>
      <c r="T109" s="213"/>
      <c r="U109" s="213"/>
      <c r="V109" s="213"/>
      <c r="W109" s="213"/>
      <c r="X109" s="213"/>
      <c r="Y109" s="213"/>
      <c r="Z109" s="213"/>
      <c r="AA109" s="213"/>
      <c r="AB109" s="212"/>
      <c r="AC109" s="212"/>
      <c r="AD109" s="212"/>
      <c r="AE109" s="212"/>
      <c r="AG109" s="213"/>
      <c r="AH109" s="214"/>
      <c r="AI109" s="215"/>
      <c r="AJ109" s="215"/>
      <c r="AK109" s="212"/>
      <c r="AL109" s="212"/>
      <c r="AM109" s="212"/>
      <c r="AN109" s="212"/>
      <c r="AO109" s="212"/>
    </row>
    <row r="110" spans="1:41" s="4" customFormat="1" ht="20" customHeight="1">
      <c r="A110" s="1525"/>
      <c r="B110" s="1503">
        <f>Skemaoplysninger!A95</f>
        <v>0</v>
      </c>
      <c r="C110" s="1504"/>
      <c r="D110" s="1504"/>
      <c r="E110" s="1504"/>
      <c r="F110" s="1504"/>
      <c r="G110" s="1504"/>
      <c r="H110" s="1505"/>
      <c r="I110" s="1506">
        <f>Skemaoplysninger!G95</f>
        <v>0</v>
      </c>
      <c r="J110" s="1505"/>
      <c r="K110" s="401">
        <f>Skemaoplysninger!I95</f>
        <v>0</v>
      </c>
      <c r="L110" s="226"/>
      <c r="M110" s="213"/>
      <c r="N110" s="213"/>
      <c r="O110" s="213"/>
      <c r="P110" s="213"/>
      <c r="Q110" s="213"/>
      <c r="R110" s="213"/>
      <c r="S110" s="213"/>
      <c r="T110" s="213"/>
      <c r="U110" s="213"/>
      <c r="V110" s="213"/>
      <c r="W110" s="213"/>
      <c r="X110" s="213"/>
      <c r="Y110" s="213"/>
      <c r="Z110" s="213"/>
      <c r="AA110" s="213"/>
      <c r="AB110" s="212"/>
      <c r="AC110" s="212"/>
      <c r="AD110" s="212"/>
      <c r="AE110" s="212"/>
      <c r="AG110" s="213"/>
      <c r="AH110" s="214"/>
      <c r="AI110" s="215"/>
      <c r="AJ110" s="215"/>
      <c r="AK110" s="212"/>
      <c r="AL110" s="212"/>
      <c r="AM110" s="212"/>
      <c r="AN110" s="212"/>
      <c r="AO110" s="212"/>
    </row>
    <row r="111" spans="1:41" s="4" customFormat="1" ht="20" customHeight="1">
      <c r="A111" s="1525"/>
      <c r="B111" s="1503">
        <f>Skemaoplysninger!A96</f>
        <v>0</v>
      </c>
      <c r="C111" s="1504"/>
      <c r="D111" s="1504"/>
      <c r="E111" s="1504"/>
      <c r="F111" s="1504"/>
      <c r="G111" s="1504"/>
      <c r="H111" s="1505"/>
      <c r="I111" s="1506">
        <f>Skemaoplysninger!G96</f>
        <v>0</v>
      </c>
      <c r="J111" s="1505"/>
      <c r="K111" s="401">
        <f>Skemaoplysninger!I96</f>
        <v>0</v>
      </c>
      <c r="L111" s="226"/>
      <c r="M111" s="213"/>
      <c r="N111" s="213"/>
      <c r="O111" s="213"/>
      <c r="P111" s="213"/>
      <c r="Q111" s="213"/>
      <c r="R111" s="213"/>
      <c r="S111" s="213"/>
      <c r="T111" s="213"/>
      <c r="U111" s="213"/>
      <c r="V111" s="213"/>
      <c r="W111" s="213"/>
      <c r="X111" s="213"/>
      <c r="Y111" s="213"/>
      <c r="Z111" s="213"/>
      <c r="AA111" s="213"/>
      <c r="AB111" s="212"/>
      <c r="AC111" s="212"/>
      <c r="AD111" s="212"/>
      <c r="AE111" s="212"/>
      <c r="AG111" s="213"/>
      <c r="AH111" s="214"/>
      <c r="AI111" s="215"/>
      <c r="AJ111" s="215"/>
      <c r="AK111" s="212"/>
      <c r="AL111" s="212"/>
      <c r="AM111" s="212"/>
      <c r="AN111" s="212"/>
      <c r="AO111" s="212"/>
    </row>
    <row r="112" spans="1:41" s="4" customFormat="1" ht="20" customHeight="1">
      <c r="A112" s="1525"/>
      <c r="B112" s="1503">
        <f>Skemaoplysninger!A97</f>
        <v>0</v>
      </c>
      <c r="C112" s="1504"/>
      <c r="D112" s="1504"/>
      <c r="E112" s="1504"/>
      <c r="F112" s="1504"/>
      <c r="G112" s="1504"/>
      <c r="H112" s="1505"/>
      <c r="I112" s="1506">
        <f>Skemaoplysninger!G97</f>
        <v>0</v>
      </c>
      <c r="J112" s="1505"/>
      <c r="K112" s="401">
        <f>Skemaoplysninger!I97</f>
        <v>0</v>
      </c>
      <c r="L112" s="226"/>
      <c r="M112" s="213"/>
      <c r="N112" s="213"/>
      <c r="O112" s="213"/>
      <c r="P112" s="213"/>
      <c r="Q112" s="213"/>
      <c r="R112" s="213"/>
      <c r="S112" s="213"/>
      <c r="T112" s="213"/>
      <c r="U112" s="213"/>
      <c r="V112" s="213"/>
      <c r="W112" s="213"/>
      <c r="X112" s="213"/>
      <c r="Y112" s="213"/>
      <c r="Z112" s="213"/>
      <c r="AA112" s="213"/>
      <c r="AB112" s="212"/>
      <c r="AC112" s="212"/>
      <c r="AD112" s="212"/>
      <c r="AE112" s="212"/>
      <c r="AG112" s="213"/>
      <c r="AH112" s="214"/>
      <c r="AI112" s="215"/>
      <c r="AJ112" s="215"/>
      <c r="AK112" s="212"/>
      <c r="AL112" s="212"/>
      <c r="AM112" s="212"/>
      <c r="AN112" s="212"/>
      <c r="AO112" s="212"/>
    </row>
    <row r="113" spans="1:41" s="4" customFormat="1" ht="20" customHeight="1">
      <c r="A113" s="1525"/>
      <c r="B113" s="1503">
        <f>Skemaoplysninger!A98</f>
        <v>0</v>
      </c>
      <c r="C113" s="1504"/>
      <c r="D113" s="1504"/>
      <c r="E113" s="1504"/>
      <c r="F113" s="1504"/>
      <c r="G113" s="1504"/>
      <c r="H113" s="1505"/>
      <c r="I113" s="1506">
        <f>Skemaoplysninger!G98</f>
        <v>0</v>
      </c>
      <c r="J113" s="1505"/>
      <c r="K113" s="401">
        <f>Skemaoplysninger!I98</f>
        <v>0</v>
      </c>
      <c r="L113" s="226"/>
      <c r="M113" s="213"/>
      <c r="N113" s="213"/>
      <c r="O113" s="213"/>
      <c r="P113" s="213"/>
      <c r="Q113" s="213"/>
      <c r="R113" s="213"/>
      <c r="S113" s="213"/>
      <c r="T113" s="213"/>
      <c r="U113" s="213"/>
      <c r="V113" s="213"/>
      <c r="W113" s="213"/>
      <c r="X113" s="213"/>
      <c r="Y113" s="213"/>
      <c r="Z113" s="213"/>
      <c r="AA113" s="213"/>
      <c r="AB113" s="212"/>
      <c r="AC113" s="212"/>
      <c r="AD113" s="212"/>
      <c r="AE113" s="212"/>
      <c r="AG113" s="213"/>
      <c r="AH113" s="214"/>
      <c r="AI113" s="215"/>
      <c r="AJ113" s="215"/>
      <c r="AK113" s="212"/>
      <c r="AL113" s="212"/>
      <c r="AM113" s="212"/>
      <c r="AN113" s="212"/>
      <c r="AO113" s="212"/>
    </row>
    <row r="114" spans="1:41" s="4" customFormat="1" ht="20" customHeight="1">
      <c r="A114" s="1525"/>
      <c r="B114" s="1503">
        <f>Skemaoplysninger!A99</f>
        <v>0</v>
      </c>
      <c r="C114" s="1504"/>
      <c r="D114" s="1504"/>
      <c r="E114" s="1504"/>
      <c r="F114" s="1504"/>
      <c r="G114" s="1504"/>
      <c r="H114" s="1505"/>
      <c r="I114" s="1506">
        <f>Skemaoplysninger!G99</f>
        <v>0</v>
      </c>
      <c r="J114" s="1505"/>
      <c r="K114" s="401">
        <f>Skemaoplysninger!I99</f>
        <v>0</v>
      </c>
      <c r="L114" s="226"/>
      <c r="M114" s="213"/>
      <c r="N114" s="213"/>
      <c r="O114" s="213"/>
      <c r="P114" s="213"/>
      <c r="Q114" s="213"/>
      <c r="R114" s="213"/>
      <c r="S114" s="213"/>
      <c r="T114" s="213"/>
      <c r="U114" s="213"/>
      <c r="V114" s="213"/>
      <c r="W114" s="213"/>
      <c r="X114" s="213"/>
      <c r="Y114" s="213"/>
      <c r="Z114" s="213"/>
      <c r="AA114" s="213"/>
      <c r="AB114" s="212"/>
      <c r="AC114" s="212"/>
      <c r="AD114" s="212"/>
      <c r="AE114" s="212"/>
      <c r="AG114" s="213"/>
      <c r="AH114" s="214"/>
      <c r="AI114" s="215"/>
      <c r="AJ114" s="215"/>
      <c r="AK114" s="212"/>
      <c r="AL114" s="212"/>
      <c r="AM114" s="212"/>
      <c r="AN114" s="212"/>
      <c r="AO114" s="212"/>
    </row>
    <row r="115" spans="1:41" s="4" customFormat="1" ht="20" customHeight="1">
      <c r="A115" s="1525"/>
      <c r="B115" s="1503">
        <f>Skemaoplysninger!A100</f>
        <v>0</v>
      </c>
      <c r="C115" s="1504"/>
      <c r="D115" s="1504"/>
      <c r="E115" s="1504"/>
      <c r="F115" s="1504"/>
      <c r="G115" s="1504"/>
      <c r="H115" s="1505"/>
      <c r="I115" s="1506">
        <f>Skemaoplysninger!G100</f>
        <v>0</v>
      </c>
      <c r="J115" s="1505"/>
      <c r="K115" s="401">
        <f>Skemaoplysninger!I100</f>
        <v>0</v>
      </c>
      <c r="L115" s="226"/>
      <c r="M115" s="213"/>
      <c r="N115" s="213"/>
      <c r="O115" s="213"/>
      <c r="P115" s="213"/>
      <c r="Q115" s="213"/>
      <c r="R115" s="213"/>
      <c r="S115" s="213"/>
      <c r="T115" s="213"/>
      <c r="U115" s="213"/>
      <c r="V115" s="213"/>
      <c r="W115" s="213"/>
      <c r="X115" s="213"/>
      <c r="Y115" s="213"/>
      <c r="Z115" s="213"/>
      <c r="AA115" s="213"/>
      <c r="AB115" s="212"/>
      <c r="AC115" s="212"/>
      <c r="AD115" s="212"/>
      <c r="AE115" s="212"/>
      <c r="AG115" s="213"/>
      <c r="AH115" s="214"/>
      <c r="AI115" s="215"/>
      <c r="AJ115" s="215"/>
      <c r="AK115" s="212"/>
      <c r="AL115" s="212"/>
      <c r="AM115" s="212"/>
      <c r="AN115" s="212"/>
      <c r="AO115" s="212"/>
    </row>
    <row r="116" spans="1:41" s="4" customFormat="1" ht="20" customHeight="1">
      <c r="A116" s="1525"/>
      <c r="B116" s="1503">
        <f>Skemaoplysninger!A101</f>
        <v>0</v>
      </c>
      <c r="C116" s="1504"/>
      <c r="D116" s="1504"/>
      <c r="E116" s="1504"/>
      <c r="F116" s="1504"/>
      <c r="G116" s="1504"/>
      <c r="H116" s="1505"/>
      <c r="I116" s="1506">
        <f>Skemaoplysninger!G101</f>
        <v>0</v>
      </c>
      <c r="J116" s="1505"/>
      <c r="K116" s="401">
        <f>Skemaoplysninger!I101</f>
        <v>0</v>
      </c>
      <c r="L116" s="226"/>
      <c r="M116" s="213"/>
      <c r="N116" s="213"/>
      <c r="O116" s="213"/>
      <c r="P116" s="213"/>
      <c r="Q116" s="213"/>
      <c r="R116" s="213"/>
      <c r="S116" s="213"/>
      <c r="T116" s="213"/>
      <c r="U116" s="213"/>
      <c r="V116" s="213"/>
      <c r="W116" s="213"/>
      <c r="X116" s="213"/>
      <c r="Y116" s="213"/>
      <c r="Z116" s="213"/>
      <c r="AA116" s="213"/>
      <c r="AB116" s="212"/>
      <c r="AC116" s="212"/>
      <c r="AD116" s="212"/>
      <c r="AE116" s="212"/>
      <c r="AG116" s="213"/>
      <c r="AH116" s="214"/>
      <c r="AI116" s="215"/>
      <c r="AJ116" s="215"/>
      <c r="AK116" s="212"/>
      <c r="AL116" s="212"/>
      <c r="AM116" s="212"/>
      <c r="AN116" s="212"/>
      <c r="AO116" s="212"/>
    </row>
    <row r="117" spans="1:41" s="4" customFormat="1" ht="20" customHeight="1">
      <c r="A117" s="1525"/>
      <c r="B117" s="1503">
        <f>Skemaoplysninger!A102</f>
        <v>0</v>
      </c>
      <c r="C117" s="1504"/>
      <c r="D117" s="1504"/>
      <c r="E117" s="1504"/>
      <c r="F117" s="1504"/>
      <c r="G117" s="1504"/>
      <c r="H117" s="1505"/>
      <c r="I117" s="1506">
        <f>Skemaoplysninger!G102</f>
        <v>0</v>
      </c>
      <c r="J117" s="1505"/>
      <c r="K117" s="401">
        <f>Skemaoplysninger!I102</f>
        <v>0</v>
      </c>
      <c r="L117" s="226"/>
      <c r="M117" s="213"/>
      <c r="N117" s="213"/>
      <c r="O117" s="213"/>
      <c r="P117" s="213"/>
      <c r="Q117" s="213"/>
      <c r="R117" s="213"/>
      <c r="S117" s="213"/>
      <c r="T117" s="213"/>
      <c r="U117" s="213"/>
      <c r="V117" s="213"/>
      <c r="W117" s="213"/>
      <c r="X117" s="213"/>
      <c r="Y117" s="213"/>
      <c r="Z117" s="213"/>
      <c r="AA117" s="213"/>
      <c r="AB117" s="212"/>
      <c r="AC117" s="212"/>
      <c r="AD117" s="212"/>
      <c r="AE117" s="212"/>
      <c r="AG117" s="213"/>
      <c r="AH117" s="214"/>
      <c r="AI117" s="215"/>
      <c r="AJ117" s="215"/>
      <c r="AK117" s="212"/>
      <c r="AL117" s="212"/>
      <c r="AM117" s="212"/>
      <c r="AN117" s="212"/>
      <c r="AO117" s="212"/>
    </row>
    <row r="118" spans="1:41" s="4" customFormat="1" ht="20" customHeight="1">
      <c r="A118" s="1525"/>
      <c r="B118" s="1503">
        <f>Skemaoplysninger!A103</f>
        <v>0</v>
      </c>
      <c r="C118" s="1504"/>
      <c r="D118" s="1504"/>
      <c r="E118" s="1504"/>
      <c r="F118" s="1504"/>
      <c r="G118" s="1504"/>
      <c r="H118" s="1505"/>
      <c r="I118" s="1506">
        <f>Skemaoplysninger!G103</f>
        <v>0</v>
      </c>
      <c r="J118" s="1505"/>
      <c r="K118" s="401">
        <f>Skemaoplysninger!I103</f>
        <v>0</v>
      </c>
      <c r="L118" s="226"/>
      <c r="M118" s="213"/>
      <c r="N118" s="213"/>
      <c r="O118" s="213"/>
      <c r="P118" s="213"/>
      <c r="Q118" s="213"/>
      <c r="R118" s="213"/>
      <c r="S118" s="213"/>
      <c r="T118" s="213"/>
      <c r="U118" s="213"/>
      <c r="V118" s="213"/>
      <c r="W118" s="213"/>
      <c r="X118" s="213"/>
      <c r="Y118" s="213"/>
      <c r="Z118" s="213"/>
      <c r="AA118" s="213"/>
      <c r="AB118" s="212"/>
      <c r="AC118" s="212"/>
      <c r="AD118" s="212"/>
      <c r="AE118" s="212"/>
      <c r="AG118" s="213"/>
      <c r="AH118" s="214"/>
      <c r="AI118" s="215"/>
      <c r="AJ118" s="215"/>
      <c r="AK118" s="212"/>
      <c r="AL118" s="212"/>
      <c r="AM118" s="212"/>
      <c r="AN118" s="212"/>
      <c r="AO118" s="212"/>
    </row>
    <row r="119" spans="1:41" s="4" customFormat="1" ht="20" customHeight="1">
      <c r="A119" s="1525"/>
      <c r="B119" s="1503">
        <f>Skemaoplysninger!A104</f>
        <v>0</v>
      </c>
      <c r="C119" s="1504"/>
      <c r="D119" s="1504"/>
      <c r="E119" s="1504"/>
      <c r="F119" s="1504"/>
      <c r="G119" s="1504"/>
      <c r="H119" s="1505"/>
      <c r="I119" s="1506">
        <f>Skemaoplysninger!G104</f>
        <v>0</v>
      </c>
      <c r="J119" s="1505"/>
      <c r="K119" s="401">
        <f>Skemaoplysninger!I104</f>
        <v>0</v>
      </c>
      <c r="L119" s="226"/>
      <c r="M119" s="213"/>
      <c r="N119" s="213"/>
      <c r="O119" s="213"/>
      <c r="P119" s="213"/>
      <c r="Q119" s="213"/>
      <c r="R119" s="213"/>
      <c r="S119" s="213"/>
      <c r="T119" s="213"/>
      <c r="U119" s="213"/>
      <c r="V119" s="213"/>
      <c r="W119" s="213"/>
      <c r="X119" s="213"/>
      <c r="Y119" s="213"/>
      <c r="Z119" s="213"/>
      <c r="AA119" s="213"/>
      <c r="AB119" s="212"/>
      <c r="AC119" s="212"/>
      <c r="AD119" s="212"/>
      <c r="AE119" s="212"/>
      <c r="AG119" s="213"/>
      <c r="AH119" s="214"/>
      <c r="AI119" s="215"/>
      <c r="AJ119" s="215"/>
      <c r="AK119" s="212"/>
      <c r="AL119" s="212"/>
      <c r="AM119" s="212"/>
      <c r="AN119" s="212"/>
      <c r="AO119" s="212"/>
    </row>
    <row r="120" spans="1:41" s="4" customFormat="1" ht="20" customHeight="1">
      <c r="A120" s="1525"/>
      <c r="B120" s="1503">
        <f>Skemaoplysninger!A105</f>
        <v>0</v>
      </c>
      <c r="C120" s="1504"/>
      <c r="D120" s="1504"/>
      <c r="E120" s="1504"/>
      <c r="F120" s="1504"/>
      <c r="G120" s="1504"/>
      <c r="H120" s="1505"/>
      <c r="I120" s="1506">
        <f>Skemaoplysninger!G105</f>
        <v>0</v>
      </c>
      <c r="J120" s="1505"/>
      <c r="K120" s="401">
        <f>Skemaoplysninger!I105</f>
        <v>0</v>
      </c>
      <c r="L120" s="226"/>
      <c r="M120" s="213"/>
      <c r="N120" s="213"/>
      <c r="O120" s="213"/>
      <c r="P120" s="213"/>
      <c r="Q120" s="213"/>
      <c r="R120" s="213"/>
      <c r="S120" s="213"/>
      <c r="T120" s="213"/>
      <c r="U120" s="213"/>
      <c r="V120" s="213"/>
      <c r="W120" s="213"/>
      <c r="X120" s="213"/>
      <c r="Y120" s="213"/>
      <c r="Z120" s="213"/>
      <c r="AA120" s="213"/>
      <c r="AB120" s="212"/>
      <c r="AC120" s="212"/>
      <c r="AD120" s="212"/>
      <c r="AE120" s="212"/>
      <c r="AG120" s="213"/>
      <c r="AH120" s="214"/>
      <c r="AI120" s="215"/>
      <c r="AJ120" s="215"/>
      <c r="AK120" s="212"/>
      <c r="AL120" s="212"/>
      <c r="AM120" s="212"/>
      <c r="AN120" s="212"/>
      <c r="AO120" s="212"/>
    </row>
    <row r="121" spans="1:41" s="4" customFormat="1" ht="20" customHeight="1" thickBot="1">
      <c r="A121" s="1525"/>
      <c r="B121" s="1503">
        <f>Skemaoplysninger!A106</f>
        <v>0</v>
      </c>
      <c r="C121" s="1504"/>
      <c r="D121" s="1504"/>
      <c r="E121" s="1504"/>
      <c r="F121" s="1504"/>
      <c r="G121" s="1504"/>
      <c r="H121" s="1505"/>
      <c r="I121" s="1506">
        <f>Skemaoplysninger!G106</f>
        <v>0</v>
      </c>
      <c r="J121" s="1505"/>
      <c r="K121" s="401">
        <f>Skemaoplysninger!I106</f>
        <v>0</v>
      </c>
      <c r="L121" s="226"/>
      <c r="M121" s="213"/>
      <c r="N121" s="213"/>
      <c r="O121" s="213"/>
      <c r="P121" s="213"/>
      <c r="Q121" s="213"/>
      <c r="R121" s="213"/>
      <c r="S121" s="213"/>
      <c r="T121" s="213"/>
      <c r="U121" s="213"/>
      <c r="V121" s="213"/>
      <c r="W121" s="213"/>
      <c r="X121" s="213"/>
      <c r="Y121" s="213"/>
      <c r="Z121" s="213"/>
      <c r="AA121" s="213"/>
      <c r="AB121" s="212"/>
      <c r="AC121" s="212"/>
      <c r="AD121" s="212"/>
      <c r="AE121" s="212"/>
      <c r="AG121" s="213"/>
      <c r="AH121" s="214"/>
      <c r="AI121" s="215"/>
      <c r="AJ121" s="215"/>
      <c r="AK121" s="212"/>
      <c r="AL121" s="212"/>
      <c r="AM121" s="212"/>
      <c r="AN121" s="212"/>
      <c r="AO121" s="212"/>
    </row>
    <row r="122" spans="1:41" s="4" customFormat="1" ht="30" customHeight="1" thickBot="1">
      <c r="A122" s="1526"/>
      <c r="B122" s="1521" t="s">
        <v>237</v>
      </c>
      <c r="C122" s="1522"/>
      <c r="D122" s="1522"/>
      <c r="E122" s="1522"/>
      <c r="F122" s="1522"/>
      <c r="G122" s="1522"/>
      <c r="H122" s="1522"/>
      <c r="I122" s="1522"/>
      <c r="J122" s="1523"/>
      <c r="K122" s="402">
        <f>SUM(K77:K121)</f>
        <v>10</v>
      </c>
      <c r="L122" s="226"/>
      <c r="M122" s="213"/>
      <c r="N122" s="213"/>
      <c r="O122" s="213"/>
      <c r="P122" s="213"/>
      <c r="Q122" s="213"/>
      <c r="R122" s="213"/>
      <c r="S122" s="213"/>
      <c r="T122" s="213"/>
      <c r="U122" s="213"/>
      <c r="V122" s="213"/>
      <c r="W122" s="213"/>
      <c r="X122" s="213"/>
      <c r="Y122" s="213"/>
      <c r="Z122" s="213"/>
      <c r="AA122" s="213"/>
      <c r="AB122" s="212"/>
      <c r="AC122" s="212"/>
      <c r="AD122" s="212"/>
      <c r="AE122" s="212"/>
      <c r="AG122" s="213"/>
      <c r="AH122" s="214"/>
      <c r="AI122" s="215"/>
      <c r="AJ122" s="215"/>
      <c r="AK122" s="212"/>
      <c r="AL122" s="212"/>
      <c r="AM122" s="212"/>
      <c r="AN122" s="212"/>
      <c r="AO122" s="212"/>
    </row>
    <row r="124" spans="1:41" ht="19">
      <c r="A124" s="837"/>
      <c r="B124" s="837"/>
      <c r="C124" s="359" t="s">
        <v>340</v>
      </c>
    </row>
    <row r="125" spans="1:41" ht="19">
      <c r="A125" s="837"/>
      <c r="B125" s="837"/>
      <c r="C125" s="346" t="s">
        <v>433</v>
      </c>
    </row>
    <row r="126" spans="1:41" ht="19">
      <c r="A126" s="837"/>
      <c r="B126" s="837"/>
      <c r="C126" s="346" t="s">
        <v>344</v>
      </c>
    </row>
    <row r="127" spans="1:41" ht="19">
      <c r="A127" s="837"/>
      <c r="B127" s="837"/>
      <c r="C127" s="346" t="s">
        <v>341</v>
      </c>
    </row>
    <row r="128" spans="1:41" ht="19">
      <c r="A128" s="837"/>
      <c r="B128" s="837"/>
      <c r="C128" s="346"/>
    </row>
    <row r="129" spans="1:3" ht="19">
      <c r="A129" s="837"/>
      <c r="B129" s="837"/>
      <c r="C129" s="359" t="s">
        <v>342</v>
      </c>
    </row>
    <row r="130" spans="1:3" ht="19">
      <c r="A130" s="837"/>
      <c r="B130" s="837"/>
      <c r="C130" s="346" t="s">
        <v>345</v>
      </c>
    </row>
    <row r="131" spans="1:3" ht="19">
      <c r="A131" s="837"/>
      <c r="B131" s="837"/>
      <c r="C131" s="346"/>
    </row>
    <row r="132" spans="1:3" ht="19">
      <c r="A132" s="837"/>
      <c r="B132" s="837"/>
      <c r="C132" s="359" t="s">
        <v>343</v>
      </c>
    </row>
  </sheetData>
  <sheetProtection sheet="1" objects="1" scenarios="1"/>
  <mergeCells count="186">
    <mergeCell ref="G7:H7"/>
    <mergeCell ref="A8:B8"/>
    <mergeCell ref="C8:D8"/>
    <mergeCell ref="E8:F8"/>
    <mergeCell ref="G8:H8"/>
    <mergeCell ref="I102:J102"/>
    <mergeCell ref="B58:K58"/>
    <mergeCell ref="B99:H99"/>
    <mergeCell ref="B100:H100"/>
    <mergeCell ref="B101:H101"/>
    <mergeCell ref="B102:H102"/>
    <mergeCell ref="I82:J82"/>
    <mergeCell ref="I83:J83"/>
    <mergeCell ref="I84:J84"/>
    <mergeCell ref="I85:J85"/>
    <mergeCell ref="I86:J86"/>
    <mergeCell ref="I87:J87"/>
    <mergeCell ref="I88:J88"/>
    <mergeCell ref="I89:J89"/>
    <mergeCell ref="I90:J90"/>
    <mergeCell ref="I91:J91"/>
    <mergeCell ref="I92:J92"/>
    <mergeCell ref="B75:J75"/>
    <mergeCell ref="B59:K59"/>
    <mergeCell ref="A124:B132"/>
    <mergeCell ref="B110:H110"/>
    <mergeCell ref="I110:J110"/>
    <mergeCell ref="B111:H111"/>
    <mergeCell ref="I111:J111"/>
    <mergeCell ref="B112:H112"/>
    <mergeCell ref="I112:J112"/>
    <mergeCell ref="B113:H113"/>
    <mergeCell ref="I113:J113"/>
    <mergeCell ref="B114:H114"/>
    <mergeCell ref="I114:J114"/>
    <mergeCell ref="B115:H115"/>
    <mergeCell ref="I115:J115"/>
    <mergeCell ref="B116:H116"/>
    <mergeCell ref="B122:J122"/>
    <mergeCell ref="A28:A122"/>
    <mergeCell ref="B109:H109"/>
    <mergeCell ref="I100:J100"/>
    <mergeCell ref="I101:J101"/>
    <mergeCell ref="B90:H90"/>
    <mergeCell ref="B91:H91"/>
    <mergeCell ref="B92:H92"/>
    <mergeCell ref="B93:H93"/>
    <mergeCell ref="B94:H94"/>
    <mergeCell ref="B73:K73"/>
    <mergeCell ref="B74:K74"/>
    <mergeCell ref="I93:J93"/>
    <mergeCell ref="I94:J94"/>
    <mergeCell ref="I95:J95"/>
    <mergeCell ref="I96:J96"/>
    <mergeCell ref="I97:J97"/>
    <mergeCell ref="B97:H97"/>
    <mergeCell ref="B89:H89"/>
    <mergeCell ref="B57:H57"/>
    <mergeCell ref="I57:J57"/>
    <mergeCell ref="B53:I53"/>
    <mergeCell ref="B54:I54"/>
    <mergeCell ref="B55:I55"/>
    <mergeCell ref="K28:K29"/>
    <mergeCell ref="C2:K2"/>
    <mergeCell ref="A2:B3"/>
    <mergeCell ref="B72:K72"/>
    <mergeCell ref="B67:K67"/>
    <mergeCell ref="B68:K68"/>
    <mergeCell ref="B69:K69"/>
    <mergeCell ref="B70:K70"/>
    <mergeCell ref="B71:K71"/>
    <mergeCell ref="B64:K64"/>
    <mergeCell ref="B65:K65"/>
    <mergeCell ref="B66:K66"/>
    <mergeCell ref="B56:J56"/>
    <mergeCell ref="B60:K60"/>
    <mergeCell ref="B61:K61"/>
    <mergeCell ref="B62:K62"/>
    <mergeCell ref="B63:K63"/>
    <mergeCell ref="C7:D7"/>
    <mergeCell ref="E7:F7"/>
    <mergeCell ref="I116:J116"/>
    <mergeCell ref="B117:H117"/>
    <mergeCell ref="I117:J117"/>
    <mergeCell ref="B118:H118"/>
    <mergeCell ref="I118:J118"/>
    <mergeCell ref="B76:H76"/>
    <mergeCell ref="I76:J76"/>
    <mergeCell ref="B77:H77"/>
    <mergeCell ref="I77:J77"/>
    <mergeCell ref="B78:H78"/>
    <mergeCell ref="I78:J78"/>
    <mergeCell ref="B79:H79"/>
    <mergeCell ref="I79:J79"/>
    <mergeCell ref="B80:H80"/>
    <mergeCell ref="I80:J80"/>
    <mergeCell ref="B107:H107"/>
    <mergeCell ref="I107:J107"/>
    <mergeCell ref="B108:H108"/>
    <mergeCell ref="I108:J108"/>
    <mergeCell ref="I109:J109"/>
    <mergeCell ref="B95:H95"/>
    <mergeCell ref="B96:H96"/>
    <mergeCell ref="I98:J98"/>
    <mergeCell ref="I99:J99"/>
    <mergeCell ref="B98:H98"/>
    <mergeCell ref="B121:H121"/>
    <mergeCell ref="I121:J121"/>
    <mergeCell ref="B81:H81"/>
    <mergeCell ref="I81:J81"/>
    <mergeCell ref="B103:H103"/>
    <mergeCell ref="I103:J103"/>
    <mergeCell ref="B104:H104"/>
    <mergeCell ref="I104:J104"/>
    <mergeCell ref="B105:H105"/>
    <mergeCell ref="I105:J105"/>
    <mergeCell ref="B106:H106"/>
    <mergeCell ref="I106:J106"/>
    <mergeCell ref="B119:H119"/>
    <mergeCell ref="I119:J119"/>
    <mergeCell ref="B120:H120"/>
    <mergeCell ref="I120:J120"/>
    <mergeCell ref="B82:H82"/>
    <mergeCell ref="B83:H83"/>
    <mergeCell ref="B84:H84"/>
    <mergeCell ref="B85:H85"/>
    <mergeCell ref="B86:H86"/>
    <mergeCell ref="B87:H87"/>
    <mergeCell ref="B88:H88"/>
    <mergeCell ref="L28:L32"/>
    <mergeCell ref="B28:I28"/>
    <mergeCell ref="B29:I29"/>
    <mergeCell ref="B30:I30"/>
    <mergeCell ref="B32:I32"/>
    <mergeCell ref="B33:I33"/>
    <mergeCell ref="B34:I34"/>
    <mergeCell ref="K30:K32"/>
    <mergeCell ref="J28:J32"/>
    <mergeCell ref="B31:I31"/>
    <mergeCell ref="B46:I46"/>
    <mergeCell ref="B47:I47"/>
    <mergeCell ref="B48:I48"/>
    <mergeCell ref="B49:I49"/>
    <mergeCell ref="B50:I50"/>
    <mergeCell ref="B51:I51"/>
    <mergeCell ref="B52:I52"/>
    <mergeCell ref="B22:I22"/>
    <mergeCell ref="B23:I23"/>
    <mergeCell ref="B24:I24"/>
    <mergeCell ref="B25:I25"/>
    <mergeCell ref="B26:I26"/>
    <mergeCell ref="B37:I37"/>
    <mergeCell ref="B38:I38"/>
    <mergeCell ref="B39:I39"/>
    <mergeCell ref="B40:I40"/>
    <mergeCell ref="B41:I41"/>
    <mergeCell ref="B42:I42"/>
    <mergeCell ref="B43:I43"/>
    <mergeCell ref="B44:I44"/>
    <mergeCell ref="B45:I45"/>
    <mergeCell ref="B35:I35"/>
    <mergeCell ref="B36:I36"/>
    <mergeCell ref="A9:A26"/>
    <mergeCell ref="C1:K1"/>
    <mergeCell ref="B9:J9"/>
    <mergeCell ref="B10:J10"/>
    <mergeCell ref="B12:I12"/>
    <mergeCell ref="B13:I13"/>
    <mergeCell ref="B14:I14"/>
    <mergeCell ref="B15:I15"/>
    <mergeCell ref="B17:I17"/>
    <mergeCell ref="B18:I18"/>
    <mergeCell ref="B19:I19"/>
    <mergeCell ref="B20:I20"/>
    <mergeCell ref="B21:I21"/>
    <mergeCell ref="C3:K3"/>
    <mergeCell ref="A4:H4"/>
    <mergeCell ref="A5:B5"/>
    <mergeCell ref="C5:D5"/>
    <mergeCell ref="E5:F5"/>
    <mergeCell ref="G5:H5"/>
    <mergeCell ref="A6:B6"/>
    <mergeCell ref="C6:D6"/>
    <mergeCell ref="E6:F6"/>
    <mergeCell ref="G6:H6"/>
    <mergeCell ref="A7:B7"/>
  </mergeCells>
  <phoneticPr fontId="5" type="noConversion"/>
  <conditionalFormatting sqref="J33:J55">
    <cfRule type="expression" dxfId="381" priority="5" stopIfTrue="1">
      <formula>OR($B33&gt;0,)</formula>
    </cfRule>
  </conditionalFormatting>
  <conditionalFormatting sqref="K33:K55">
    <cfRule type="expression" dxfId="380" priority="1">
      <formula>OR($B33&gt;0,)</formula>
    </cfRule>
  </conditionalFormatting>
  <dataValidations count="1">
    <dataValidation type="list" allowBlank="1" showInputMessage="1" showErrorMessage="1" sqref="J33:J55" xr:uid="{9B0B7AB1-DE44-CF47-BD1F-E8E46542A039}">
      <formula1>$M$28:$M$29</formula1>
    </dataValidation>
  </dataValidations>
  <hyperlinks>
    <hyperlink ref="G5:H5" location="Opgørelse!B12" display="Opgørelse" xr:uid="{3087D9E2-5C8E-694E-ABFF-2AA63659D579}"/>
    <hyperlink ref="A6:B6" location="August!A12" display="August" xr:uid="{B8B0B6F6-BC14-A145-94DA-CA3114BADF76}"/>
    <hyperlink ref="C6:D6" location="September!A8" display="September" xr:uid="{7FCE5481-3037-CB46-BD9C-D025D1471C04}"/>
    <hyperlink ref="E6:F6" location="Oktober!A8" display="Oktober" xr:uid="{26E18855-28ED-524B-A087-76CAF4FA8CA5}"/>
    <hyperlink ref="G6:H6" location="November!A8" display="November" xr:uid="{0D282027-9449-F44B-A31E-F193220A276A}"/>
    <hyperlink ref="A7:B7" location="December!A8" display="December" xr:uid="{1EC3C6B5-78B2-C94A-BCA5-0723AAC2CC7D}"/>
    <hyperlink ref="C7:D7" location="Januar!A8" display="Januar" xr:uid="{67AFFFAD-409A-2C45-8066-AD7448C6C068}"/>
    <hyperlink ref="E7:F7" location="Februar!A8" display="Februar" xr:uid="{DA9C81A2-6924-8843-8598-A8A3B4BBEEE9}"/>
    <hyperlink ref="A8:B8" location="April!A8" display="April" xr:uid="{B27A1B0C-856B-C44A-B2C3-800C25E073BB}"/>
    <hyperlink ref="C8:D8" location="Maj!A8" display="Maj" xr:uid="{9A79E13B-A496-CF4F-8829-223323F405BC}"/>
    <hyperlink ref="E8:F8" location="Juni!A8" display="Juni" xr:uid="{BC124AA3-8429-F14F-AC31-5971E8F89459}"/>
    <hyperlink ref="G8:H8" location="Juli!A8" display="Juli" xr:uid="{39683B27-EFB6-734D-A79B-124E54AAD2CD}"/>
    <hyperlink ref="G7:H7" location="Marts!A8" display="Marts" xr:uid="{A3722E49-BCB4-274E-ABF4-CFF7DCE1065D}"/>
    <hyperlink ref="E5:F5" location="Stamoplysninger!E18" display="Stamoplysninger" xr:uid="{EA7362BA-B1ED-EB4D-9487-EE8914FDFDEE}"/>
    <hyperlink ref="C5:D5" location="Skemaoplysninger!A20" display="Skemaoplysninger" xr:uid="{CF135B79-6EBE-124C-81ED-B4CCE845FA8D}"/>
    <hyperlink ref="A5:B5" location="Arbejdstidsoversigt!A19" display="Arbejdstids-oversigt" xr:uid="{65545913-492A-A54F-BD6E-765E666FCD15}"/>
  </hyperlinks>
  <pageMargins left="0.25" right="0.25" top="0" bottom="0" header="0.3" footer="0.3"/>
  <pageSetup paperSize="9" scale="40" orientation="portrait" horizontalDpi="0" verticalDpi="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05FC7-39CA-D54F-A443-02BC3A155C44}">
  <sheetPr>
    <tabColor rgb="FF7030A0"/>
  </sheetPr>
  <dimension ref="A1:H41"/>
  <sheetViews>
    <sheetView topLeftCell="A3" zoomScale="190" zoomScaleNormal="190" workbookViewId="0">
      <selection activeCell="A12" sqref="A12:H12"/>
    </sheetView>
  </sheetViews>
  <sheetFormatPr baseColWidth="10" defaultColWidth="10.6640625" defaultRowHeight="16"/>
  <cols>
    <col min="1" max="1" width="9.6640625" customWidth="1"/>
    <col min="2" max="2" width="14.1640625" customWidth="1"/>
    <col min="3" max="3" width="7.6640625" customWidth="1"/>
    <col min="4" max="4" width="14.1640625" customWidth="1"/>
    <col min="5" max="5" width="5.5" customWidth="1"/>
    <col min="6" max="6" width="5.1640625" customWidth="1"/>
  </cols>
  <sheetData>
    <row r="1" spans="1:8">
      <c r="A1" s="1542" t="str">
        <f>"Kære "&amp;Stamoplysninger!E13&amp;""</f>
        <v>Kære Beate Simonsen</v>
      </c>
      <c r="B1" s="1542"/>
      <c r="C1" s="1542"/>
      <c r="D1" s="1542"/>
      <c r="E1" s="1542"/>
      <c r="F1" s="1542"/>
      <c r="G1" s="1542"/>
      <c r="H1" s="1542"/>
    </row>
    <row r="2" spans="1:8">
      <c r="A2" s="837"/>
      <c r="B2" s="837"/>
      <c r="C2" s="837"/>
      <c r="D2" s="837"/>
      <c r="E2" s="837"/>
      <c r="F2" s="837"/>
      <c r="G2" s="837"/>
      <c r="H2" s="837"/>
    </row>
    <row r="3" spans="1:8" ht="51" customHeight="1">
      <c r="A3" s="881" t="str">
        <f>"I denne nomrperiode der vedrører skoleåret "&amp;Vejledning!B2&amp;" er din arbejdstid planlagt ud fra din beskæftigelsesgrad som er "&amp;Stamoplysninger!L18&amp;"%, hvilket betyder at du i normperioden skal arbejde "&amp;Arbejdstidsoversigt!I20&amp;" timer."</f>
        <v>I denne nomrperiode der vedrører skoleåret 2026-2027 er din arbejdstid planlagt ud fra din beskæftigelsesgrad som er 100%, hvilket betyder at du i normperioden skal arbejde 1687,2 timer.</v>
      </c>
      <c r="B3" s="881"/>
      <c r="C3" s="881"/>
      <c r="D3" s="881"/>
      <c r="E3" s="881"/>
      <c r="F3" s="881"/>
      <c r="G3" s="881"/>
      <c r="H3" s="881"/>
    </row>
    <row r="4" spans="1:8" s="837" customFormat="1"/>
    <row r="5" spans="1:8" s="293" customFormat="1">
      <c r="A5" s="1543" t="s">
        <v>729</v>
      </c>
      <c r="B5" s="1543"/>
      <c r="C5" s="1543"/>
      <c r="D5" s="1543"/>
      <c r="E5" s="1543"/>
      <c r="F5" s="1543"/>
      <c r="G5" s="1543"/>
      <c r="H5" s="1543"/>
    </row>
    <row r="6" spans="1:8" s="293" customFormat="1" ht="20" customHeight="1">
      <c r="A6" s="881" t="str">
        <f>"Almindelige skemadage der i alt tæller "&amp;Aar!G37&amp;" dage, samt:"</f>
        <v>Almindelige skemadage der i alt tæller 172 dage, samt:</v>
      </c>
      <c r="B6" s="881"/>
      <c r="C6" s="881"/>
      <c r="D6" s="881"/>
      <c r="E6" s="881"/>
      <c r="F6" s="881"/>
      <c r="G6" s="881"/>
      <c r="H6" s="881"/>
    </row>
    <row r="7" spans="1:8" s="293" customFormat="1">
      <c r="A7" s="885" t="s">
        <v>723</v>
      </c>
      <c r="B7" s="885"/>
      <c r="C7" s="713">
        <f>IF(Aar!AE37&gt;0,Aar!AE37,"0")</f>
        <v>6</v>
      </c>
      <c r="D7" s="885" t="s">
        <v>726</v>
      </c>
      <c r="E7" s="885"/>
      <c r="F7" s="885"/>
      <c r="G7" s="885"/>
      <c r="H7" s="885"/>
    </row>
    <row r="8" spans="1:8" s="293" customFormat="1">
      <c r="A8" s="806" t="s">
        <v>724</v>
      </c>
      <c r="C8" s="713">
        <f>IF(Aar!O37&gt;0,Aar!O37,"0")</f>
        <v>22</v>
      </c>
      <c r="D8" s="885" t="s">
        <v>726</v>
      </c>
      <c r="E8" s="885"/>
      <c r="F8" s="885"/>
      <c r="G8" s="885"/>
      <c r="H8" s="885"/>
    </row>
    <row r="9" spans="1:8" s="293" customFormat="1">
      <c r="A9" s="806" t="s">
        <v>725</v>
      </c>
      <c r="C9" s="713">
        <f>IF(Aar!W37&gt;0,Aar!W37,"0")</f>
        <v>5</v>
      </c>
      <c r="D9" s="885" t="s">
        <v>726</v>
      </c>
      <c r="E9" s="885"/>
      <c r="F9" s="885"/>
      <c r="G9" s="885"/>
      <c r="H9" s="885"/>
    </row>
    <row r="10" spans="1:8" s="293" customFormat="1">
      <c r="A10" s="885" t="str">
        <f>IF(Arbejdstidsoversigt!J37&gt;0,"Herudover opgaver efter kl. 17:00","")</f>
        <v>Herudover opgaver efter kl. 17:00</v>
      </c>
      <c r="B10" s="885"/>
      <c r="C10" s="885"/>
      <c r="D10" s="885"/>
      <c r="E10" s="885"/>
      <c r="F10" s="885"/>
      <c r="G10" s="885"/>
      <c r="H10" s="885"/>
    </row>
    <row r="11" spans="1:8" s="293" customFormat="1" ht="46" customHeight="1">
      <c r="A11" s="1545" t="s">
        <v>732</v>
      </c>
      <c r="B11" s="1545"/>
      <c r="C11" s="1545"/>
      <c r="D11" s="1545"/>
      <c r="E11" s="1545"/>
      <c r="F11" s="1545"/>
      <c r="G11" s="1545"/>
      <c r="H11" s="1545"/>
    </row>
    <row r="12" spans="1:8" s="293" customFormat="1" ht="17" customHeight="1">
      <c r="A12" s="881"/>
      <c r="B12" s="881"/>
      <c r="C12" s="881"/>
      <c r="D12" s="881"/>
      <c r="E12" s="881"/>
      <c r="F12" s="881"/>
      <c r="G12" s="881"/>
      <c r="H12" s="881"/>
    </row>
    <row r="13" spans="1:8" s="293" customFormat="1" ht="17" customHeight="1">
      <c r="A13" s="1544" t="s">
        <v>730</v>
      </c>
      <c r="B13" s="1544"/>
      <c r="C13" s="1544"/>
      <c r="D13" s="1544"/>
      <c r="E13" s="1544"/>
      <c r="F13" s="1544"/>
      <c r="G13" s="1544"/>
      <c r="H13" s="1544"/>
    </row>
    <row r="14" spans="1:8">
      <c r="A14" s="885" t="str">
        <f>"Dine undervisningstimer for perioden tæller i alt "&amp;Undervisningstillæg!J22&amp;" timer."</f>
        <v>Dine undervisningstimer for perioden tæller i alt 773,5 timer.</v>
      </c>
      <c r="B14" s="885"/>
      <c r="C14" s="885"/>
      <c r="D14" s="885"/>
      <c r="E14" s="885"/>
      <c r="F14" s="885"/>
      <c r="G14" s="885"/>
      <c r="H14" s="885"/>
    </row>
    <row r="15" spans="1:8">
      <c r="A15" s="885" t="str">
        <f>"Til forberedelse tildeles du "&amp;Opgaver!K33&amp;" timer."</f>
        <v>Til forberedelse tildeles du 350 timer.</v>
      </c>
      <c r="B15" s="885"/>
      <c r="C15" s="885"/>
      <c r="D15" s="885"/>
      <c r="E15" s="885"/>
      <c r="F15" s="885"/>
      <c r="G15" s="885"/>
      <c r="H15" s="885"/>
    </row>
    <row r="16" spans="1:8">
      <c r="A16" s="885" t="str">
        <f>"Din elevpausetid tæller i alt "&amp;Opgaver!K75&amp;" timer."</f>
        <v>Din elevpausetid tæller i alt 268,42 timer.</v>
      </c>
      <c r="B16" s="885"/>
      <c r="C16" s="885"/>
      <c r="D16" s="885"/>
      <c r="E16" s="885"/>
      <c r="F16" s="885"/>
      <c r="G16" s="885"/>
      <c r="H16" s="885"/>
    </row>
    <row r="17" spans="1:8" ht="7" customHeight="1">
      <c r="A17" s="885"/>
      <c r="B17" s="885"/>
      <c r="C17" s="885"/>
      <c r="D17" s="885"/>
      <c r="E17" s="885"/>
      <c r="F17" s="885"/>
      <c r="G17" s="885"/>
      <c r="H17" s="885"/>
    </row>
    <row r="18" spans="1:8">
      <c r="A18" t="s">
        <v>733</v>
      </c>
    </row>
    <row r="19" spans="1:8" s="293" customFormat="1" ht="33" customHeight="1">
      <c r="A19" s="881" t="str">
        <f>IF(Skemaoplysninger!$I$107&gt;0,"Herudover er der placeret øvrige opgaver der forventes udført i særlige måneder. Disse opgaver fremgår ligeledes af opgavelisten","")</f>
        <v>Herudover er der placeret øvrige opgaver der forventes udført i særlige måneder. Disse opgaver fremgår ligeledes af opgavelisten</v>
      </c>
      <c r="B19" s="881"/>
      <c r="C19" s="881"/>
      <c r="D19" s="881"/>
      <c r="E19" s="881"/>
      <c r="F19" s="881"/>
      <c r="G19" s="881"/>
      <c r="H19" s="881"/>
    </row>
    <row r="20" spans="1:8" s="293" customFormat="1">
      <c r="A20" s="885"/>
      <c r="B20" s="885"/>
      <c r="C20" s="885"/>
      <c r="D20" s="885"/>
      <c r="E20" s="885"/>
      <c r="F20" s="885"/>
      <c r="G20" s="885"/>
      <c r="H20" s="885"/>
    </row>
    <row r="21" spans="1:8">
      <c r="A21" s="1540" t="s">
        <v>728</v>
      </c>
      <c r="B21" s="1540"/>
      <c r="C21" s="1540"/>
      <c r="D21" s="1540"/>
      <c r="E21" s="1540"/>
      <c r="F21" s="1540"/>
      <c r="G21" s="1540"/>
      <c r="H21" s="1540"/>
    </row>
    <row r="22" spans="1:8" s="294" customFormat="1" ht="32" customHeight="1">
      <c r="A22" s="1541" t="s">
        <v>771</v>
      </c>
      <c r="B22" s="1541"/>
      <c r="C22" s="1541"/>
      <c r="D22" s="1541"/>
      <c r="E22" s="1541"/>
      <c r="F22" s="1541"/>
      <c r="G22" s="1541"/>
      <c r="H22" s="1541"/>
    </row>
    <row r="23" spans="1:8" ht="31" customHeight="1">
      <c r="A23" s="1541" t="s">
        <v>772</v>
      </c>
      <c r="B23" s="1541"/>
      <c r="C23" s="1541"/>
      <c r="D23" s="1541"/>
      <c r="E23" s="1541"/>
      <c r="F23" s="1541"/>
      <c r="G23" s="1541"/>
      <c r="H23" s="1541"/>
    </row>
    <row r="24" spans="1:8">
      <c r="A24" s="1539"/>
      <c r="B24" s="1539"/>
      <c r="C24" s="1539"/>
      <c r="D24" s="1539"/>
      <c r="E24" s="1539"/>
      <c r="F24" s="1539"/>
      <c r="G24" s="1539"/>
      <c r="H24" s="1539"/>
    </row>
    <row r="25" spans="1:8">
      <c r="A25" s="1539" t="s">
        <v>718</v>
      </c>
      <c r="B25" s="1539"/>
      <c r="C25" s="1539"/>
      <c r="D25" s="1539"/>
      <c r="E25" s="1539"/>
      <c r="F25" s="1539"/>
      <c r="G25" s="1539"/>
      <c r="H25" s="1539"/>
    </row>
    <row r="26" spans="1:8">
      <c r="A26" s="1539" t="s">
        <v>773</v>
      </c>
      <c r="B26" s="1539"/>
      <c r="C26" s="1539"/>
      <c r="D26" s="1539"/>
      <c r="E26" s="1539"/>
      <c r="F26" s="1539"/>
      <c r="G26" s="1539"/>
      <c r="H26" s="1539"/>
    </row>
    <row r="27" spans="1:8">
      <c r="A27" s="1539" t="s">
        <v>774</v>
      </c>
      <c r="B27" s="1539"/>
      <c r="C27" s="1539"/>
      <c r="D27" s="1539"/>
      <c r="E27" s="1539"/>
      <c r="F27" s="1539"/>
      <c r="G27" s="1539"/>
      <c r="H27" s="1539"/>
    </row>
    <row r="28" spans="1:8">
      <c r="A28" s="1539" t="s">
        <v>775</v>
      </c>
      <c r="B28" s="1539"/>
      <c r="C28" s="1539"/>
      <c r="D28" s="1539"/>
      <c r="E28" s="1539"/>
      <c r="F28" s="1539"/>
      <c r="G28" s="1539"/>
      <c r="H28" s="1539"/>
    </row>
    <row r="29" spans="1:8">
      <c r="A29" s="1539" t="s">
        <v>776</v>
      </c>
      <c r="B29" s="1539"/>
      <c r="C29" s="1539"/>
      <c r="D29" s="1539"/>
      <c r="E29" s="1539"/>
      <c r="F29" s="1539"/>
      <c r="G29" s="1539"/>
      <c r="H29" s="1539"/>
    </row>
    <row r="30" spans="1:8">
      <c r="A30" s="1535"/>
      <c r="B30" s="1535"/>
      <c r="C30" s="1535"/>
      <c r="D30" s="1535"/>
      <c r="E30" s="1535"/>
      <c r="F30" s="1535"/>
      <c r="G30" s="1535"/>
      <c r="H30" s="1535"/>
    </row>
    <row r="31" spans="1:8">
      <c r="A31" s="1537" t="s">
        <v>731</v>
      </c>
      <c r="B31" s="1537"/>
      <c r="C31" s="1537"/>
      <c r="D31" s="1537"/>
      <c r="E31" s="1537"/>
      <c r="F31" s="1537"/>
      <c r="G31" s="1537"/>
      <c r="H31" s="1537"/>
    </row>
    <row r="32" spans="1:8">
      <c r="A32" s="1538" t="s">
        <v>736</v>
      </c>
      <c r="B32" s="1538"/>
      <c r="C32" s="1538"/>
      <c r="D32" s="1538"/>
      <c r="E32" s="1538"/>
      <c r="F32" s="1538"/>
      <c r="G32" s="1538"/>
      <c r="H32" s="1538"/>
    </row>
    <row r="33" spans="1:8">
      <c r="A33" s="1538" t="s">
        <v>737</v>
      </c>
      <c r="B33" s="1538"/>
      <c r="C33" s="1538"/>
      <c r="D33" s="1538"/>
      <c r="E33" s="1538"/>
      <c r="F33" s="1538"/>
      <c r="G33" s="1538"/>
      <c r="H33" s="1538"/>
    </row>
    <row r="34" spans="1:8">
      <c r="A34" s="1538" t="s">
        <v>738</v>
      </c>
      <c r="B34" s="1538"/>
      <c r="C34" s="1538"/>
      <c r="D34" s="1538"/>
      <c r="E34" s="1538"/>
      <c r="F34" s="1538"/>
      <c r="G34" s="1538"/>
      <c r="H34" s="1538"/>
    </row>
    <row r="35" spans="1:8">
      <c r="A35" s="1538" t="s">
        <v>739</v>
      </c>
      <c r="B35" s="1538"/>
      <c r="C35" s="1538"/>
      <c r="D35" s="1538"/>
      <c r="E35" s="1538"/>
      <c r="F35" s="1538"/>
      <c r="G35" s="1538"/>
      <c r="H35" s="1538"/>
    </row>
    <row r="36" spans="1:8">
      <c r="A36" s="1536"/>
      <c r="B36" s="1536"/>
      <c r="C36" s="1536"/>
      <c r="D36" s="1536"/>
      <c r="E36" s="1536"/>
      <c r="F36" s="1536"/>
      <c r="G36" s="1536"/>
      <c r="H36" s="1536"/>
    </row>
    <row r="37" spans="1:8">
      <c r="A37" s="1535" t="s">
        <v>734</v>
      </c>
      <c r="B37" s="1535"/>
      <c r="C37" s="1535"/>
      <c r="D37" s="1535"/>
      <c r="E37" s="1535"/>
      <c r="F37" s="1535"/>
      <c r="G37" s="1535"/>
      <c r="H37" s="1535"/>
    </row>
    <row r="38" spans="1:8">
      <c r="A38" s="1535" t="s">
        <v>735</v>
      </c>
      <c r="B38" s="1535"/>
      <c r="C38" s="1535"/>
      <c r="D38" s="1535"/>
      <c r="E38" s="1535"/>
      <c r="F38" s="1535"/>
      <c r="G38" s="1535"/>
      <c r="H38" s="1535"/>
    </row>
    <row r="39" spans="1:8">
      <c r="A39" s="1535"/>
      <c r="B39" s="1535"/>
      <c r="C39" s="1535"/>
      <c r="D39" s="1535"/>
      <c r="E39" s="1535"/>
      <c r="F39" s="1535"/>
      <c r="G39" s="1535"/>
      <c r="H39" s="1535"/>
    </row>
    <row r="40" spans="1:8">
      <c r="A40" s="1535" t="s">
        <v>719</v>
      </c>
      <c r="B40" s="1535"/>
      <c r="C40" s="1535"/>
      <c r="D40" s="1535"/>
      <c r="E40" s="1535"/>
      <c r="F40" s="1535"/>
      <c r="G40" s="1535"/>
      <c r="H40" s="1535"/>
    </row>
    <row r="41" spans="1:8">
      <c r="A41" s="1535" t="s">
        <v>777</v>
      </c>
      <c r="B41" s="1535"/>
      <c r="C41" s="1535"/>
      <c r="D41" s="1535"/>
      <c r="E41" s="1535"/>
      <c r="F41" s="1535"/>
      <c r="G41" s="1535"/>
      <c r="H41" s="1535"/>
    </row>
  </sheetData>
  <sheetProtection sheet="1" objects="1" scenarios="1"/>
  <mergeCells count="41">
    <mergeCell ref="A1:H1"/>
    <mergeCell ref="A2:H2"/>
    <mergeCell ref="A5:H5"/>
    <mergeCell ref="A15:H15"/>
    <mergeCell ref="A16:H16"/>
    <mergeCell ref="A13:H13"/>
    <mergeCell ref="A10:H10"/>
    <mergeCell ref="A4:XFD4"/>
    <mergeCell ref="A3:H3"/>
    <mergeCell ref="A14:H14"/>
    <mergeCell ref="A6:H6"/>
    <mergeCell ref="A7:B7"/>
    <mergeCell ref="A11:H11"/>
    <mergeCell ref="A12:H12"/>
    <mergeCell ref="D7:H7"/>
    <mergeCell ref="D8:H8"/>
    <mergeCell ref="D9:H9"/>
    <mergeCell ref="A30:H30"/>
    <mergeCell ref="A24:H24"/>
    <mergeCell ref="A25:H25"/>
    <mergeCell ref="A26:H26"/>
    <mergeCell ref="A27:H27"/>
    <mergeCell ref="A29:H29"/>
    <mergeCell ref="A28:H28"/>
    <mergeCell ref="A17:H17"/>
    <mergeCell ref="A19:H19"/>
    <mergeCell ref="A20:H20"/>
    <mergeCell ref="A21:H21"/>
    <mergeCell ref="A22:H22"/>
    <mergeCell ref="A23:H23"/>
    <mergeCell ref="A31:H31"/>
    <mergeCell ref="A32:H32"/>
    <mergeCell ref="A33:H33"/>
    <mergeCell ref="A34:H34"/>
    <mergeCell ref="A35:H35"/>
    <mergeCell ref="A37:H37"/>
    <mergeCell ref="A38:H38"/>
    <mergeCell ref="A40:H40"/>
    <mergeCell ref="A41:H41"/>
    <mergeCell ref="A36:H36"/>
    <mergeCell ref="A39:H39"/>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7EBFD-5646-4F4C-B89B-FA1756B0F904}">
  <sheetPr>
    <tabColor theme="4" tint="-0.249977111117893"/>
    <pageSetUpPr fitToPage="1"/>
  </sheetPr>
  <dimension ref="A1:K64"/>
  <sheetViews>
    <sheetView zoomScale="150" zoomScaleNormal="100" workbookViewId="0">
      <selection activeCell="B14" sqref="B14"/>
    </sheetView>
  </sheetViews>
  <sheetFormatPr baseColWidth="10" defaultRowHeight="16"/>
  <cols>
    <col min="2" max="2" width="43.6640625" customWidth="1"/>
    <col min="3" max="4" width="16.83203125" customWidth="1"/>
    <col min="5" max="5" width="23.6640625" customWidth="1"/>
    <col min="6" max="8" width="16.83203125" customWidth="1"/>
    <col min="9" max="11" width="15" customWidth="1"/>
  </cols>
  <sheetData>
    <row r="1" spans="1:11" ht="22" thickBot="1">
      <c r="A1" s="864" t="s">
        <v>689</v>
      </c>
      <c r="B1" s="864"/>
      <c r="C1" s="864"/>
      <c r="D1" s="864"/>
      <c r="E1" s="864"/>
      <c r="F1" s="864"/>
      <c r="G1" s="864"/>
      <c r="H1" s="864"/>
    </row>
    <row r="2" spans="1:11" ht="22" customHeight="1" thickBot="1">
      <c r="A2" s="865" t="s">
        <v>690</v>
      </c>
      <c r="B2" s="866"/>
      <c r="C2" s="867" t="s">
        <v>495</v>
      </c>
      <c r="D2" s="868"/>
      <c r="E2" s="869" t="s">
        <v>688</v>
      </c>
      <c r="F2" s="870"/>
      <c r="G2" s="871" t="s">
        <v>687</v>
      </c>
      <c r="H2" s="872"/>
    </row>
    <row r="3" spans="1:11" ht="22" customHeight="1" thickBot="1">
      <c r="A3" s="873" t="s">
        <v>231</v>
      </c>
      <c r="B3" s="873"/>
      <c r="C3" s="873" t="s">
        <v>233</v>
      </c>
      <c r="D3" s="873"/>
      <c r="E3" s="873" t="s">
        <v>234</v>
      </c>
      <c r="F3" s="873"/>
      <c r="G3" s="873" t="s">
        <v>235</v>
      </c>
      <c r="H3" s="873"/>
    </row>
    <row r="4" spans="1:11" ht="22" customHeight="1" thickBot="1">
      <c r="A4" s="873" t="s">
        <v>279</v>
      </c>
      <c r="B4" s="873"/>
      <c r="C4" s="873" t="s">
        <v>280</v>
      </c>
      <c r="D4" s="873"/>
      <c r="E4" s="873" t="s">
        <v>281</v>
      </c>
      <c r="F4" s="873"/>
      <c r="G4" s="873" t="s">
        <v>282</v>
      </c>
      <c r="H4" s="873"/>
    </row>
    <row r="5" spans="1:11" ht="22" customHeight="1" thickBot="1">
      <c r="A5" s="873" t="s">
        <v>283</v>
      </c>
      <c r="B5" s="873"/>
      <c r="C5" s="873" t="s">
        <v>284</v>
      </c>
      <c r="D5" s="873"/>
      <c r="E5" s="873" t="s">
        <v>285</v>
      </c>
      <c r="F5" s="873"/>
      <c r="G5" s="873" t="s">
        <v>286</v>
      </c>
      <c r="H5" s="873"/>
    </row>
    <row r="6" spans="1:11" ht="19" customHeight="1">
      <c r="A6" s="810" t="s">
        <v>367</v>
      </c>
      <c r="B6" s="843" t="s">
        <v>491</v>
      </c>
      <c r="C6" s="827"/>
      <c r="D6" s="827"/>
      <c r="E6" s="827"/>
      <c r="F6" s="827"/>
      <c r="G6" s="827"/>
      <c r="H6" s="827"/>
      <c r="I6" s="827"/>
      <c r="J6" s="827"/>
      <c r="K6" s="844"/>
    </row>
    <row r="7" spans="1:11" ht="20" customHeight="1" thickBot="1">
      <c r="A7" s="811"/>
      <c r="B7" s="845" t="str">
        <f>"Arbejdstidsopgørelse for "&amp;Stamoplysninger!E13&amp;" vedr. perioden: "&amp;Stamoplysninger!E16&amp;" - "&amp;Stamoplysninger!G16&amp;""</f>
        <v xml:space="preserve">Arbejdstidsopgørelse for Beate Simonsen vedr. perioden:  - </v>
      </c>
      <c r="C7" s="819"/>
      <c r="D7" s="819"/>
      <c r="E7" s="819"/>
      <c r="F7" s="819"/>
      <c r="G7" s="819"/>
      <c r="H7" s="819"/>
      <c r="I7" s="819"/>
      <c r="J7" s="819"/>
      <c r="K7" s="820"/>
    </row>
    <row r="8" spans="1:11" ht="20" customHeight="1" thickBot="1">
      <c r="A8" s="811"/>
      <c r="B8" s="480"/>
      <c r="C8" s="818" t="s">
        <v>484</v>
      </c>
      <c r="D8" s="818"/>
      <c r="E8" s="818"/>
      <c r="F8" s="819" t="s">
        <v>485</v>
      </c>
      <c r="G8" s="819"/>
      <c r="H8" s="820"/>
      <c r="I8" s="819" t="s">
        <v>486</v>
      </c>
      <c r="J8" s="819"/>
      <c r="K8" s="820"/>
    </row>
    <row r="9" spans="1:11" ht="35" customHeight="1">
      <c r="A9" s="811"/>
      <c r="B9" s="275"/>
      <c r="C9" s="276" t="s">
        <v>297</v>
      </c>
      <c r="D9" s="276" t="s">
        <v>211</v>
      </c>
      <c r="E9" s="276" t="s">
        <v>326</v>
      </c>
      <c r="F9" s="281" t="s">
        <v>310</v>
      </c>
      <c r="G9" s="282" t="s">
        <v>311</v>
      </c>
      <c r="H9" s="283" t="s">
        <v>327</v>
      </c>
      <c r="I9" s="281" t="s">
        <v>487</v>
      </c>
      <c r="J9" s="282" t="s">
        <v>488</v>
      </c>
      <c r="K9" s="283" t="s">
        <v>489</v>
      </c>
    </row>
    <row r="10" spans="1:11" ht="16" customHeight="1">
      <c r="A10" s="811"/>
      <c r="B10" s="277" t="s">
        <v>231</v>
      </c>
      <c r="C10" s="244">
        <f>August!I52</f>
        <v>140.6</v>
      </c>
      <c r="D10" s="279">
        <f>August!I53+August!I55+August!I54</f>
        <v>140.28999999999996</v>
      </c>
      <c r="E10" s="279">
        <f>August!I57</f>
        <v>140.28999999999996</v>
      </c>
      <c r="F10" s="284">
        <f>August!V52</f>
        <v>0</v>
      </c>
      <c r="G10" s="245">
        <f>SUM(August!V55:X58)</f>
        <v>0</v>
      </c>
      <c r="H10" s="247">
        <f>F10-G10</f>
        <v>0</v>
      </c>
      <c r="I10" s="284">
        <f>August!I60</f>
        <v>0</v>
      </c>
      <c r="J10" s="244">
        <f>SUM(August!I63:K66)</f>
        <v>0</v>
      </c>
      <c r="K10" s="247">
        <f>I10-J10</f>
        <v>0</v>
      </c>
    </row>
    <row r="11" spans="1:11" ht="16" customHeight="1">
      <c r="A11" s="811"/>
      <c r="B11" s="278" t="s">
        <v>233</v>
      </c>
      <c r="C11" s="246">
        <f>September!I50</f>
        <v>162.80000000000001</v>
      </c>
      <c r="D11" s="280">
        <f>September!I51+September!I53+September!I52</f>
        <v>224.16000000000003</v>
      </c>
      <c r="E11" s="280">
        <f>September!I55</f>
        <v>224.16000000000003</v>
      </c>
      <c r="F11" s="285">
        <f>September!V48</f>
        <v>0</v>
      </c>
      <c r="G11" s="2">
        <f>SUM(September!V53:X56)</f>
        <v>0</v>
      </c>
      <c r="H11" s="248">
        <f>H10+F11-G11</f>
        <v>0</v>
      </c>
      <c r="I11" s="285">
        <f>September!I58+September!I59</f>
        <v>0</v>
      </c>
      <c r="J11" s="246">
        <f>SUM(September!I62:K65)</f>
        <v>0</v>
      </c>
      <c r="K11" s="248">
        <f t="shared" ref="K11:K21" si="0">I11-J11</f>
        <v>0</v>
      </c>
    </row>
    <row r="12" spans="1:11" ht="16" customHeight="1">
      <c r="A12" s="811"/>
      <c r="B12" s="277" t="s">
        <v>234</v>
      </c>
      <c r="C12" s="244">
        <f>Oktober!I51</f>
        <v>125.80000000000001</v>
      </c>
      <c r="D12" s="279">
        <f>Oktober!I52+Oktober!I54+Oktober!I53</f>
        <v>126.96</v>
      </c>
      <c r="E12" s="279">
        <f>Oktober!I56</f>
        <v>126.96</v>
      </c>
      <c r="F12" s="284">
        <f>Oktober!V49</f>
        <v>0</v>
      </c>
      <c r="G12" s="245">
        <f>SUM(Oktober!V54:X57)</f>
        <v>0</v>
      </c>
      <c r="H12" s="329">
        <f t="shared" ref="H12:H21" si="1">H11+F12-G12</f>
        <v>0</v>
      </c>
      <c r="I12" s="284">
        <f>Oktober!I59+Oktober!I60</f>
        <v>0</v>
      </c>
      <c r="J12" s="244">
        <f>SUM(Oktober!I63:K66)</f>
        <v>0</v>
      </c>
      <c r="K12" s="247">
        <f>I12-J12</f>
        <v>0</v>
      </c>
    </row>
    <row r="13" spans="1:11" ht="16" customHeight="1">
      <c r="A13" s="811"/>
      <c r="B13" s="278" t="s">
        <v>235</v>
      </c>
      <c r="C13" s="246">
        <f>November!I50</f>
        <v>155.4</v>
      </c>
      <c r="D13" s="280">
        <f>November!I51+November!I53+November!I52</f>
        <v>167.71999999999997</v>
      </c>
      <c r="E13" s="280">
        <f>November!I55</f>
        <v>167.71999999999997</v>
      </c>
      <c r="F13" s="285">
        <f>November!V48</f>
        <v>0</v>
      </c>
      <c r="G13" s="2">
        <f>SUM(November!V53:X56)</f>
        <v>0</v>
      </c>
      <c r="H13" s="248">
        <f t="shared" si="1"/>
        <v>0</v>
      </c>
      <c r="I13" s="285">
        <f>November!I58+November!I59</f>
        <v>0</v>
      </c>
      <c r="J13" s="246">
        <f>SUM(November!I62:K65)</f>
        <v>0</v>
      </c>
      <c r="K13" s="248">
        <f t="shared" si="0"/>
        <v>0</v>
      </c>
    </row>
    <row r="14" spans="1:11" ht="16" customHeight="1">
      <c r="A14" s="811"/>
      <c r="B14" s="277" t="s">
        <v>279</v>
      </c>
      <c r="C14" s="244">
        <f>December!I51</f>
        <v>162.80000000000001</v>
      </c>
      <c r="D14" s="279">
        <f>December!I52+December!I54+December!I53</f>
        <v>122.97</v>
      </c>
      <c r="E14" s="279">
        <f>December!I56</f>
        <v>122.97</v>
      </c>
      <c r="F14" s="284">
        <f>December!V49</f>
        <v>0</v>
      </c>
      <c r="G14" s="245">
        <f>SUM(December!V54:X57)</f>
        <v>0</v>
      </c>
      <c r="H14" s="329">
        <f t="shared" si="1"/>
        <v>0</v>
      </c>
      <c r="I14" s="284">
        <f>December!I59+December!I60</f>
        <v>0</v>
      </c>
      <c r="J14" s="244">
        <f>SUM(December!I63:K66)</f>
        <v>0</v>
      </c>
      <c r="K14" s="247">
        <f t="shared" si="0"/>
        <v>0</v>
      </c>
    </row>
    <row r="15" spans="1:11" ht="16" customHeight="1">
      <c r="A15" s="811"/>
      <c r="B15" s="278" t="s">
        <v>280</v>
      </c>
      <c r="C15" s="246">
        <f>Januar!I51</f>
        <v>148</v>
      </c>
      <c r="D15" s="280">
        <f>Januar!I52+Januar!I54+Januar!I53</f>
        <v>153.18</v>
      </c>
      <c r="E15" s="280">
        <f>Januar!I56</f>
        <v>153.18</v>
      </c>
      <c r="F15" s="285">
        <f>Januar!V49</f>
        <v>0</v>
      </c>
      <c r="G15" s="2">
        <f>SUM(Januar!V54:X57)</f>
        <v>0</v>
      </c>
      <c r="H15" s="248">
        <f t="shared" si="1"/>
        <v>0</v>
      </c>
      <c r="I15" s="285">
        <f>Januar!I59+Januar!I60</f>
        <v>0</v>
      </c>
      <c r="J15" s="246">
        <f>SUM(Januar!I63:K66)</f>
        <v>0</v>
      </c>
      <c r="K15" s="248">
        <f t="shared" si="0"/>
        <v>0</v>
      </c>
    </row>
    <row r="16" spans="1:11" ht="16" customHeight="1">
      <c r="A16" s="811"/>
      <c r="B16" s="277" t="s">
        <v>281</v>
      </c>
      <c r="C16" s="244">
        <f>Februar!I49</f>
        <v>148</v>
      </c>
      <c r="D16" s="279">
        <f>Februar!I50+Februar!I52+Februar!I51</f>
        <v>120.18999999999998</v>
      </c>
      <c r="E16" s="279">
        <f>Februar!I54</f>
        <v>120.18999999999998</v>
      </c>
      <c r="F16" s="284">
        <f>Februar!V47</f>
        <v>0</v>
      </c>
      <c r="G16" s="245">
        <f>SUM(Februar!V52:X55)</f>
        <v>0</v>
      </c>
      <c r="H16" s="329">
        <f t="shared" si="1"/>
        <v>0</v>
      </c>
      <c r="I16" s="284">
        <f>Februar!I57+Februar!I58</f>
        <v>0</v>
      </c>
      <c r="J16" s="244">
        <f>SUM(Februar!I61:K64)</f>
        <v>0</v>
      </c>
      <c r="K16" s="247">
        <f t="shared" si="0"/>
        <v>0</v>
      </c>
    </row>
    <row r="17" spans="1:11" ht="16" customHeight="1">
      <c r="A17" s="811"/>
      <c r="B17" s="278" t="s">
        <v>282</v>
      </c>
      <c r="C17" s="246">
        <f>Marts!I51</f>
        <v>148</v>
      </c>
      <c r="D17" s="280">
        <f>Marts!I52+Marts!I54+Marts!I53</f>
        <v>145.30000000000001</v>
      </c>
      <c r="E17" s="280">
        <f>Marts!I56</f>
        <v>145.30000000000001</v>
      </c>
      <c r="F17" s="285">
        <f>Marts!V49</f>
        <v>7.5</v>
      </c>
      <c r="G17" s="2">
        <f>SUM(Marts!V54:X57)</f>
        <v>0</v>
      </c>
      <c r="H17" s="248">
        <f t="shared" si="1"/>
        <v>7.5</v>
      </c>
      <c r="I17" s="285">
        <f>Marts!I59+Marts!I60</f>
        <v>0</v>
      </c>
      <c r="J17" s="246">
        <f>SUM(Marts!I63:K66)</f>
        <v>0</v>
      </c>
      <c r="K17" s="248">
        <f t="shared" si="0"/>
        <v>0</v>
      </c>
    </row>
    <row r="18" spans="1:11" ht="16" customHeight="1">
      <c r="A18" s="811"/>
      <c r="B18" s="277" t="s">
        <v>283</v>
      </c>
      <c r="C18" s="244">
        <f>April!I50</f>
        <v>162.80000000000001</v>
      </c>
      <c r="D18" s="279">
        <f>April!I51+April!I53+April!I52</f>
        <v>167.39000000000001</v>
      </c>
      <c r="E18" s="279">
        <f>April!I55</f>
        <v>167.39000000000001</v>
      </c>
      <c r="F18" s="284">
        <f>April!V48</f>
        <v>0</v>
      </c>
      <c r="G18" s="245">
        <f>SUM(April!V53:X56)</f>
        <v>6</v>
      </c>
      <c r="H18" s="329">
        <f t="shared" si="1"/>
        <v>1.5</v>
      </c>
      <c r="I18" s="284">
        <f>April!I58+April!I59</f>
        <v>0</v>
      </c>
      <c r="J18" s="244">
        <f>SUM(April!I62:K65)</f>
        <v>0</v>
      </c>
      <c r="K18" s="247">
        <f t="shared" si="0"/>
        <v>0</v>
      </c>
    </row>
    <row r="19" spans="1:11" ht="16" customHeight="1">
      <c r="A19" s="811"/>
      <c r="B19" s="278" t="s">
        <v>284</v>
      </c>
      <c r="C19" s="246">
        <f>Maj!I51</f>
        <v>140.6</v>
      </c>
      <c r="D19" s="280">
        <f>Maj!I52+Maj!I54++Maj!I53</f>
        <v>145.61999999999995</v>
      </c>
      <c r="E19" s="280">
        <f>Maj!I56</f>
        <v>145.61999999999995</v>
      </c>
      <c r="F19" s="285">
        <f>Maj!V49</f>
        <v>0</v>
      </c>
      <c r="G19" s="2">
        <f>SUM(Maj!V54:X57)</f>
        <v>0</v>
      </c>
      <c r="H19" s="248">
        <f t="shared" si="1"/>
        <v>1.5</v>
      </c>
      <c r="I19" s="285">
        <f>Maj!I59+Maj!I60</f>
        <v>0</v>
      </c>
      <c r="J19" s="246">
        <f>SUM(Maj!I63:K66)</f>
        <v>0</v>
      </c>
      <c r="K19" s="248">
        <f t="shared" si="0"/>
        <v>0</v>
      </c>
    </row>
    <row r="20" spans="1:11" ht="16" customHeight="1">
      <c r="A20" s="811"/>
      <c r="B20" s="277" t="s">
        <v>285</v>
      </c>
      <c r="C20" s="244">
        <f>Juni!I50</f>
        <v>162.80000000000001</v>
      </c>
      <c r="D20" s="279">
        <f>Juni!I51+Juni!I53+Juni!I52</f>
        <v>172.51</v>
      </c>
      <c r="E20" s="279">
        <f>Juni!I55</f>
        <v>172.51</v>
      </c>
      <c r="F20" s="284">
        <f>Juni!V48</f>
        <v>0</v>
      </c>
      <c r="G20" s="245">
        <f>SUM(Juni!V53:X56)</f>
        <v>0</v>
      </c>
      <c r="H20" s="329">
        <f t="shared" si="1"/>
        <v>1.5</v>
      </c>
      <c r="I20" s="284">
        <f>Juni!I58+Juni!I59</f>
        <v>0</v>
      </c>
      <c r="J20" s="244">
        <f>SUM(Juni!I62:K65)</f>
        <v>0</v>
      </c>
      <c r="K20" s="247">
        <f t="shared" si="0"/>
        <v>0</v>
      </c>
    </row>
    <row r="21" spans="1:11" ht="17" customHeight="1" thickBot="1">
      <c r="A21" s="811"/>
      <c r="B21" s="286" t="s">
        <v>286</v>
      </c>
      <c r="C21" s="287">
        <f>Juli!I51</f>
        <v>29.599999999999994</v>
      </c>
      <c r="D21" s="288">
        <f>Juli!I52+Juli!I54+Juli!I53</f>
        <v>0</v>
      </c>
      <c r="E21" s="288">
        <f>Juli!I56</f>
        <v>0</v>
      </c>
      <c r="F21" s="289">
        <f>Juli!V49</f>
        <v>0</v>
      </c>
      <c r="G21" s="290">
        <f>SUM(Juli!V54:X57)</f>
        <v>0</v>
      </c>
      <c r="H21" s="327">
        <f t="shared" si="1"/>
        <v>1.5</v>
      </c>
      <c r="I21" s="289">
        <f>Juli!I59+Juli!I60</f>
        <v>0</v>
      </c>
      <c r="J21" s="287">
        <f>SUM(Juli!I63:K66)</f>
        <v>0</v>
      </c>
      <c r="K21" s="248">
        <f t="shared" si="0"/>
        <v>0</v>
      </c>
    </row>
    <row r="22" spans="1:11" ht="17" customHeight="1" thickBot="1">
      <c r="A22" s="811"/>
      <c r="B22" s="370" t="s">
        <v>159</v>
      </c>
      <c r="C22" s="371">
        <f>SUM(C10:C21)</f>
        <v>1687.1999999999998</v>
      </c>
      <c r="D22" s="371">
        <f>SUM(D10:D21)</f>
        <v>1686.29</v>
      </c>
      <c r="E22" s="372">
        <f>SUM(E10:E21)</f>
        <v>1686.29</v>
      </c>
      <c r="F22" s="373">
        <f>SUM(F10:F21)</f>
        <v>7.5</v>
      </c>
      <c r="G22" s="373">
        <f>SUM(G10:G21)</f>
        <v>6</v>
      </c>
      <c r="H22" s="374">
        <f>H21</f>
        <v>1.5</v>
      </c>
      <c r="I22" s="846" t="str">
        <f>"Særlige feriedage optjent "&amp;August!A12-1&amp;" skal afvikles 1. maj "&amp;August!A12&amp;" - 30. april "&amp;August!A12+1&amp;". Ledelsen må pr. 1. januar "&amp;August!A12+1&amp;" varsle de særlige feriedage der ikke er afholdt eller planlagt til afholdelse inden d. 30. april "&amp;August!A12+1&amp;" med 30 dages varsel. "</f>
        <v xml:space="preserve">Særlige feriedage optjent 2025 skal afvikles 1. maj 2026 - 30. april 2027. Ledelsen må pr. 1. januar 2027 varsle de særlige feriedage der ikke er afholdt eller planlagt til afholdelse inden d. 30. april 2027 med 30 dages varsel. </v>
      </c>
      <c r="J22" s="847"/>
      <c r="K22" s="848"/>
    </row>
    <row r="23" spans="1:11">
      <c r="A23" s="811"/>
      <c r="B23" s="814" t="s">
        <v>349</v>
      </c>
      <c r="C23" s="815"/>
      <c r="D23" s="815"/>
      <c r="E23" s="366">
        <f>IF(C22&gt;E22,(E22-C22),0)</f>
        <v>-0.90999999999985448</v>
      </c>
      <c r="F23" s="816"/>
      <c r="G23" s="816"/>
      <c r="H23" s="817"/>
      <c r="I23" s="849"/>
      <c r="J23" s="850"/>
      <c r="K23" s="851"/>
    </row>
    <row r="24" spans="1:11">
      <c r="A24" s="811"/>
      <c r="B24" s="860" t="s">
        <v>351</v>
      </c>
      <c r="C24" s="813"/>
      <c r="D24" s="813"/>
      <c r="E24" s="244">
        <f>IF(E22&gt;C22,(E22-C22),0)</f>
        <v>0</v>
      </c>
      <c r="F24" s="813"/>
      <c r="G24" s="813"/>
      <c r="H24" s="861"/>
      <c r="I24" s="849"/>
      <c r="J24" s="850"/>
      <c r="K24" s="851"/>
    </row>
    <row r="25" spans="1:11" ht="17" thickBot="1">
      <c r="A25" s="812"/>
      <c r="B25" s="862" t="s">
        <v>350</v>
      </c>
      <c r="C25" s="863"/>
      <c r="D25" s="863"/>
      <c r="E25" s="863"/>
      <c r="F25" s="863"/>
      <c r="G25" s="863"/>
      <c r="H25" s="367">
        <f>IF(H22&gt;0,H22,0)</f>
        <v>1.5</v>
      </c>
      <c r="I25" s="852"/>
      <c r="J25" s="853"/>
      <c r="K25" s="854"/>
    </row>
    <row r="26" spans="1:11" ht="17" thickBot="1">
      <c r="E26" s="1"/>
    </row>
    <row r="27" spans="1:11" ht="21">
      <c r="A27" s="822" t="s">
        <v>384</v>
      </c>
      <c r="B27" s="826" t="s">
        <v>389</v>
      </c>
      <c r="C27" s="827"/>
      <c r="D27" s="827"/>
      <c r="E27" s="827"/>
      <c r="F27" s="833" t="s">
        <v>390</v>
      </c>
      <c r="G27" s="829"/>
      <c r="H27" s="830"/>
      <c r="I27" s="833" t="s">
        <v>490</v>
      </c>
      <c r="J27" s="829"/>
      <c r="K27" s="830"/>
    </row>
    <row r="28" spans="1:11" ht="52">
      <c r="A28" s="823"/>
      <c r="B28" s="409"/>
      <c r="C28" s="410" t="str">
        <f t="shared" ref="C28:K28" si="2">C9</f>
        <v>Nettoarbejdstid</v>
      </c>
      <c r="D28" s="410" t="str">
        <f t="shared" si="2"/>
        <v>Planlagt arbejdstid</v>
      </c>
      <c r="E28" s="410" t="str">
        <f t="shared" si="2"/>
        <v>Faktisk arbejdstid(uden afspadsering)</v>
      </c>
      <c r="F28" s="412" t="str">
        <f t="shared" si="2"/>
        <v>Afspadseringstimer optjent</v>
      </c>
      <c r="G28" s="413" t="str">
        <f t="shared" si="2"/>
        <v>Afspadseringstimer afholdt</v>
      </c>
      <c r="H28" s="414" t="str">
        <f t="shared" si="2"/>
        <v>Afspadseringstimer saldo</v>
      </c>
      <c r="I28" s="412" t="str">
        <f t="shared" si="2"/>
        <v>Særlige feriedage primo</v>
      </c>
      <c r="J28" s="413" t="str">
        <f t="shared" si="2"/>
        <v>Særlige feriedage afholdt</v>
      </c>
      <c r="K28" s="414" t="str">
        <f t="shared" si="2"/>
        <v>Særlige feriedage rest</v>
      </c>
    </row>
    <row r="29" spans="1:11">
      <c r="A29" s="824"/>
      <c r="B29" s="245" t="s">
        <v>231</v>
      </c>
      <c r="C29" s="244">
        <f t="shared" ref="C29:K29" si="3">C10</f>
        <v>140.6</v>
      </c>
      <c r="D29" s="244">
        <f t="shared" si="3"/>
        <v>140.28999999999996</v>
      </c>
      <c r="E29" s="279">
        <f t="shared" si="3"/>
        <v>140.28999999999996</v>
      </c>
      <c r="F29" s="415">
        <f t="shared" si="3"/>
        <v>0</v>
      </c>
      <c r="G29" s="247">
        <f t="shared" si="3"/>
        <v>0</v>
      </c>
      <c r="H29" s="247">
        <f t="shared" si="3"/>
        <v>0</v>
      </c>
      <c r="I29" s="415">
        <f t="shared" si="3"/>
        <v>0</v>
      </c>
      <c r="J29" s="247">
        <f t="shared" si="3"/>
        <v>0</v>
      </c>
      <c r="K29" s="247">
        <f t="shared" si="3"/>
        <v>0</v>
      </c>
    </row>
    <row r="30" spans="1:11">
      <c r="A30" s="824"/>
      <c r="B30" s="2" t="s">
        <v>233</v>
      </c>
      <c r="C30" s="246">
        <f t="shared" ref="C30:E31" si="4">C11</f>
        <v>162.80000000000001</v>
      </c>
      <c r="D30" s="246">
        <f t="shared" si="4"/>
        <v>224.16000000000003</v>
      </c>
      <c r="E30" s="280">
        <f t="shared" si="4"/>
        <v>224.16000000000003</v>
      </c>
      <c r="F30" s="416">
        <f t="shared" ref="F30:K31" si="5">F11</f>
        <v>0</v>
      </c>
      <c r="G30" s="248">
        <f t="shared" si="5"/>
        <v>0</v>
      </c>
      <c r="H30" s="248">
        <f t="shared" si="5"/>
        <v>0</v>
      </c>
      <c r="I30" s="416">
        <f t="shared" si="5"/>
        <v>0</v>
      </c>
      <c r="J30" s="248">
        <f t="shared" si="5"/>
        <v>0</v>
      </c>
      <c r="K30" s="248">
        <f t="shared" si="5"/>
        <v>0</v>
      </c>
    </row>
    <row r="31" spans="1:11">
      <c r="A31" s="824"/>
      <c r="B31" s="245" t="s">
        <v>234</v>
      </c>
      <c r="C31" s="244">
        <f t="shared" si="4"/>
        <v>125.80000000000001</v>
      </c>
      <c r="D31" s="244">
        <f t="shared" si="4"/>
        <v>126.96</v>
      </c>
      <c r="E31" s="279">
        <f t="shared" si="4"/>
        <v>126.96</v>
      </c>
      <c r="F31" s="415">
        <f t="shared" si="5"/>
        <v>0</v>
      </c>
      <c r="G31" s="247">
        <f t="shared" si="5"/>
        <v>0</v>
      </c>
      <c r="H31" s="247">
        <f t="shared" si="5"/>
        <v>0</v>
      </c>
      <c r="I31" s="415">
        <f t="shared" si="5"/>
        <v>0</v>
      </c>
      <c r="J31" s="247">
        <f t="shared" si="5"/>
        <v>0</v>
      </c>
      <c r="K31" s="247">
        <f t="shared" si="5"/>
        <v>0</v>
      </c>
    </row>
    <row r="32" spans="1:11" ht="17" thickBot="1">
      <c r="A32" s="824"/>
      <c r="B32" s="405" t="s">
        <v>382</v>
      </c>
      <c r="C32" s="406">
        <f>SUM(C29:C31)</f>
        <v>429.2</v>
      </c>
      <c r="D32" s="406">
        <f>SUM(D29:D31)</f>
        <v>491.40999999999997</v>
      </c>
      <c r="E32" s="411">
        <f>SUM(E29:E31)</f>
        <v>491.40999999999997</v>
      </c>
      <c r="F32" s="417">
        <f>SUM(F29:F31)</f>
        <v>0</v>
      </c>
      <c r="G32" s="418">
        <f>SUM(G29:G31)</f>
        <v>0</v>
      </c>
      <c r="H32" s="418">
        <f>F32-G32</f>
        <v>0</v>
      </c>
      <c r="I32" s="857"/>
      <c r="J32" s="858"/>
      <c r="K32" s="859"/>
    </row>
    <row r="33" spans="1:11">
      <c r="A33" s="824"/>
      <c r="B33" s="813" t="s">
        <v>349</v>
      </c>
      <c r="C33" s="813"/>
      <c r="D33" s="813"/>
      <c r="E33" s="247">
        <f>IF(C32&gt;E32,E32-C32,0)</f>
        <v>0</v>
      </c>
      <c r="F33" s="834"/>
      <c r="G33" s="835"/>
      <c r="H33" s="835"/>
    </row>
    <row r="34" spans="1:11" ht="17" thickBot="1">
      <c r="A34" s="825"/>
      <c r="B34" s="821" t="s">
        <v>383</v>
      </c>
      <c r="C34" s="821"/>
      <c r="D34" s="821"/>
      <c r="E34" s="367">
        <f>IF(E32&gt;C32,E32-C32,0)</f>
        <v>62.20999999999998</v>
      </c>
      <c r="F34" s="836"/>
      <c r="G34" s="837"/>
      <c r="H34" s="837"/>
    </row>
    <row r="35" spans="1:11" ht="17" thickBot="1"/>
    <row r="36" spans="1:11" ht="21">
      <c r="A36" s="822" t="s">
        <v>385</v>
      </c>
      <c r="B36" s="828" t="s">
        <v>388</v>
      </c>
      <c r="C36" s="829"/>
      <c r="D36" s="829"/>
      <c r="E36" s="830"/>
      <c r="F36" s="833" t="s">
        <v>390</v>
      </c>
      <c r="G36" s="829"/>
      <c r="H36" s="830"/>
      <c r="I36" s="833" t="str">
        <f>I27</f>
        <v xml:space="preserve">Særlige feriedage  </v>
      </c>
      <c r="J36" s="829"/>
      <c r="K36" s="830"/>
    </row>
    <row r="37" spans="1:11" ht="52">
      <c r="A37" s="823"/>
      <c r="B37" s="409"/>
      <c r="C37" s="410" t="str">
        <f t="shared" ref="C37:H37" si="6">C28</f>
        <v>Nettoarbejdstid</v>
      </c>
      <c r="D37" s="410" t="str">
        <f t="shared" si="6"/>
        <v>Planlagt arbejdstid</v>
      </c>
      <c r="E37" s="410" t="str">
        <f t="shared" si="6"/>
        <v>Faktisk arbejdstid(uden afspadsering)</v>
      </c>
      <c r="F37" s="410" t="str">
        <f t="shared" si="6"/>
        <v>Afspadseringstimer optjent</v>
      </c>
      <c r="G37" s="410" t="str">
        <f t="shared" si="6"/>
        <v>Afspadseringstimer afholdt</v>
      </c>
      <c r="H37" s="410" t="str">
        <f t="shared" si="6"/>
        <v>Afspadseringstimer saldo</v>
      </c>
      <c r="I37" s="410" t="str">
        <f>I28</f>
        <v>Særlige feriedage primo</v>
      </c>
      <c r="J37" s="410" t="str">
        <f>J28</f>
        <v>Særlige feriedage afholdt</v>
      </c>
      <c r="K37" s="410" t="str">
        <f>K28</f>
        <v>Særlige feriedage rest</v>
      </c>
    </row>
    <row r="38" spans="1:11" ht="20" customHeight="1">
      <c r="A38" s="824"/>
      <c r="B38" s="245" t="s">
        <v>235</v>
      </c>
      <c r="C38" s="244">
        <f t="shared" ref="C38:K38" si="7">C13</f>
        <v>155.4</v>
      </c>
      <c r="D38" s="244">
        <f t="shared" si="7"/>
        <v>167.71999999999997</v>
      </c>
      <c r="E38" s="244">
        <f t="shared" si="7"/>
        <v>167.71999999999997</v>
      </c>
      <c r="F38" s="244">
        <f t="shared" si="7"/>
        <v>0</v>
      </c>
      <c r="G38" s="244">
        <f t="shared" si="7"/>
        <v>0</v>
      </c>
      <c r="H38" s="244">
        <f t="shared" si="7"/>
        <v>0</v>
      </c>
      <c r="I38" s="244">
        <f t="shared" si="7"/>
        <v>0</v>
      </c>
      <c r="J38" s="244">
        <f t="shared" si="7"/>
        <v>0</v>
      </c>
      <c r="K38" s="244">
        <f t="shared" si="7"/>
        <v>0</v>
      </c>
    </row>
    <row r="39" spans="1:11">
      <c r="A39" s="824"/>
      <c r="B39" s="2" t="s">
        <v>279</v>
      </c>
      <c r="C39" s="246">
        <f t="shared" ref="C39:E40" si="8">C14</f>
        <v>162.80000000000001</v>
      </c>
      <c r="D39" s="246">
        <f t="shared" si="8"/>
        <v>122.97</v>
      </c>
      <c r="E39" s="246">
        <f t="shared" si="8"/>
        <v>122.97</v>
      </c>
      <c r="F39" s="246">
        <f t="shared" ref="F39:K40" si="9">F14</f>
        <v>0</v>
      </c>
      <c r="G39" s="246">
        <f t="shared" si="9"/>
        <v>0</v>
      </c>
      <c r="H39" s="246">
        <f t="shared" si="9"/>
        <v>0</v>
      </c>
      <c r="I39" s="246">
        <f t="shared" si="9"/>
        <v>0</v>
      </c>
      <c r="J39" s="246">
        <f t="shared" si="9"/>
        <v>0</v>
      </c>
      <c r="K39" s="246">
        <f t="shared" si="9"/>
        <v>0</v>
      </c>
    </row>
    <row r="40" spans="1:11">
      <c r="A40" s="824"/>
      <c r="B40" s="245" t="s">
        <v>280</v>
      </c>
      <c r="C40" s="244">
        <f t="shared" si="8"/>
        <v>148</v>
      </c>
      <c r="D40" s="244">
        <f t="shared" si="8"/>
        <v>153.18</v>
      </c>
      <c r="E40" s="244">
        <f t="shared" si="8"/>
        <v>153.18</v>
      </c>
      <c r="F40" s="244">
        <f t="shared" si="9"/>
        <v>0</v>
      </c>
      <c r="G40" s="244">
        <f t="shared" si="9"/>
        <v>0</v>
      </c>
      <c r="H40" s="244">
        <f t="shared" si="9"/>
        <v>0</v>
      </c>
      <c r="I40" s="244">
        <f t="shared" si="9"/>
        <v>0</v>
      </c>
      <c r="J40" s="244">
        <f t="shared" si="9"/>
        <v>0</v>
      </c>
      <c r="K40" s="244">
        <f t="shared" si="9"/>
        <v>0</v>
      </c>
    </row>
    <row r="41" spans="1:11">
      <c r="A41" s="824"/>
      <c r="B41" s="405" t="s">
        <v>382</v>
      </c>
      <c r="C41" s="406">
        <f>SUM(C38:C40)</f>
        <v>466.20000000000005</v>
      </c>
      <c r="D41" s="406">
        <f>SUM(D38:D40)</f>
        <v>443.86999999999995</v>
      </c>
      <c r="E41" s="407">
        <f>SUM(E38:E40)</f>
        <v>443.86999999999995</v>
      </c>
      <c r="F41" s="407">
        <f>SUM(F38:F40)</f>
        <v>0</v>
      </c>
      <c r="G41" s="407">
        <f>SUM(G38:G40)</f>
        <v>0</v>
      </c>
      <c r="H41" s="407">
        <f>H40</f>
        <v>0</v>
      </c>
      <c r="I41" s="840"/>
      <c r="J41" s="841"/>
      <c r="K41" s="842"/>
    </row>
    <row r="42" spans="1:11">
      <c r="A42" s="824"/>
      <c r="B42" s="813" t="s">
        <v>349</v>
      </c>
      <c r="C42" s="813"/>
      <c r="D42" s="813"/>
      <c r="E42" s="247">
        <f>IF(C41&gt;E41,E41-C41,0)</f>
        <v>-22.330000000000098</v>
      </c>
      <c r="F42" s="838"/>
      <c r="G42" s="839"/>
      <c r="H42" s="839"/>
    </row>
    <row r="43" spans="1:11" ht="17" thickBot="1">
      <c r="A43" s="825"/>
      <c r="B43" s="821" t="s">
        <v>383</v>
      </c>
      <c r="C43" s="821"/>
      <c r="D43" s="821"/>
      <c r="E43" s="367">
        <f>IF(E41&gt;C41,E41-C41,0)</f>
        <v>0</v>
      </c>
      <c r="F43" s="836"/>
      <c r="G43" s="837"/>
      <c r="H43" s="837"/>
    </row>
    <row r="44" spans="1:11" ht="17" thickBot="1"/>
    <row r="45" spans="1:11" ht="21">
      <c r="A45" s="822" t="s">
        <v>387</v>
      </c>
      <c r="B45" s="828" t="s">
        <v>413</v>
      </c>
      <c r="C45" s="829"/>
      <c r="D45" s="829"/>
      <c r="E45" s="830"/>
      <c r="F45" s="833" t="s">
        <v>390</v>
      </c>
      <c r="G45" s="829"/>
      <c r="H45" s="830"/>
      <c r="I45" s="833" t="str">
        <f>I36</f>
        <v xml:space="preserve">Særlige feriedage  </v>
      </c>
      <c r="J45" s="829"/>
      <c r="K45" s="830"/>
    </row>
    <row r="46" spans="1:11" ht="52">
      <c r="A46" s="823"/>
      <c r="B46" s="409"/>
      <c r="C46" s="410" t="str">
        <f t="shared" ref="C46:H46" si="10">C37</f>
        <v>Nettoarbejdstid</v>
      </c>
      <c r="D46" s="410" t="str">
        <f t="shared" si="10"/>
        <v>Planlagt arbejdstid</v>
      </c>
      <c r="E46" s="410" t="str">
        <f t="shared" si="10"/>
        <v>Faktisk arbejdstid(uden afspadsering)</v>
      </c>
      <c r="F46" s="410" t="str">
        <f t="shared" si="10"/>
        <v>Afspadseringstimer optjent</v>
      </c>
      <c r="G46" s="410" t="str">
        <f t="shared" si="10"/>
        <v>Afspadseringstimer afholdt</v>
      </c>
      <c r="H46" s="410" t="str">
        <f t="shared" si="10"/>
        <v>Afspadseringstimer saldo</v>
      </c>
      <c r="I46" s="410" t="str">
        <f>I37</f>
        <v>Særlige feriedage primo</v>
      </c>
      <c r="J46" s="410" t="str">
        <f>J37</f>
        <v>Særlige feriedage afholdt</v>
      </c>
      <c r="K46" s="410" t="str">
        <f>K37</f>
        <v>Særlige feriedage rest</v>
      </c>
    </row>
    <row r="47" spans="1:11" ht="23" customHeight="1">
      <c r="A47" s="824"/>
      <c r="B47" s="245" t="s">
        <v>281</v>
      </c>
      <c r="C47" s="244">
        <f t="shared" ref="C47:K47" si="11">C16</f>
        <v>148</v>
      </c>
      <c r="D47" s="244">
        <f t="shared" si="11"/>
        <v>120.18999999999998</v>
      </c>
      <c r="E47" s="244">
        <f t="shared" si="11"/>
        <v>120.18999999999998</v>
      </c>
      <c r="F47" s="244">
        <f t="shared" si="11"/>
        <v>0</v>
      </c>
      <c r="G47" s="244">
        <f t="shared" si="11"/>
        <v>0</v>
      </c>
      <c r="H47" s="244">
        <f t="shared" si="11"/>
        <v>0</v>
      </c>
      <c r="I47" s="244">
        <f t="shared" si="11"/>
        <v>0</v>
      </c>
      <c r="J47" s="244">
        <f t="shared" si="11"/>
        <v>0</v>
      </c>
      <c r="K47" s="244">
        <f t="shared" si="11"/>
        <v>0</v>
      </c>
    </row>
    <row r="48" spans="1:11">
      <c r="A48" s="824"/>
      <c r="B48" s="2" t="s">
        <v>282</v>
      </c>
      <c r="C48" s="246">
        <f t="shared" ref="C48:E49" si="12">C17</f>
        <v>148</v>
      </c>
      <c r="D48" s="246">
        <f t="shared" si="12"/>
        <v>145.30000000000001</v>
      </c>
      <c r="E48" s="246">
        <f t="shared" si="12"/>
        <v>145.30000000000001</v>
      </c>
      <c r="F48" s="246">
        <f t="shared" ref="F48:K49" si="13">F17</f>
        <v>7.5</v>
      </c>
      <c r="G48" s="246">
        <f t="shared" si="13"/>
        <v>0</v>
      </c>
      <c r="H48" s="246">
        <f t="shared" si="13"/>
        <v>7.5</v>
      </c>
      <c r="I48" s="246">
        <f t="shared" si="13"/>
        <v>0</v>
      </c>
      <c r="J48" s="246">
        <f t="shared" si="13"/>
        <v>0</v>
      </c>
      <c r="K48" s="246">
        <f t="shared" si="13"/>
        <v>0</v>
      </c>
    </row>
    <row r="49" spans="1:11">
      <c r="A49" s="824"/>
      <c r="B49" s="245" t="s">
        <v>283</v>
      </c>
      <c r="C49" s="244">
        <f t="shared" si="12"/>
        <v>162.80000000000001</v>
      </c>
      <c r="D49" s="244">
        <f t="shared" si="12"/>
        <v>167.39000000000001</v>
      </c>
      <c r="E49" s="244">
        <f t="shared" si="12"/>
        <v>167.39000000000001</v>
      </c>
      <c r="F49" s="244">
        <f t="shared" si="13"/>
        <v>0</v>
      </c>
      <c r="G49" s="244">
        <f t="shared" si="13"/>
        <v>6</v>
      </c>
      <c r="H49" s="244">
        <f t="shared" si="13"/>
        <v>1.5</v>
      </c>
      <c r="I49" s="244">
        <f t="shared" si="13"/>
        <v>0</v>
      </c>
      <c r="J49" s="244">
        <f t="shared" si="13"/>
        <v>0</v>
      </c>
      <c r="K49" s="244">
        <f t="shared" si="13"/>
        <v>0</v>
      </c>
    </row>
    <row r="50" spans="1:11">
      <c r="A50" s="824"/>
      <c r="B50" s="405" t="s">
        <v>382</v>
      </c>
      <c r="C50" s="406">
        <f>SUM(C47:C49)</f>
        <v>458.8</v>
      </c>
      <c r="D50" s="406">
        <f>SUM(D47:D49)</f>
        <v>432.88</v>
      </c>
      <c r="E50" s="407">
        <f>SUM(E47:E49)</f>
        <v>432.88</v>
      </c>
      <c r="F50" s="407">
        <f>SUM(F47:F49)</f>
        <v>7.5</v>
      </c>
      <c r="G50" s="407">
        <f>SUM(G47:G49)</f>
        <v>6</v>
      </c>
      <c r="H50" s="407">
        <f>H49</f>
        <v>1.5</v>
      </c>
      <c r="I50" s="840"/>
      <c r="J50" s="841"/>
      <c r="K50" s="842"/>
    </row>
    <row r="51" spans="1:11">
      <c r="A51" s="824"/>
      <c r="B51" s="813" t="s">
        <v>349</v>
      </c>
      <c r="C51" s="813"/>
      <c r="D51" s="813"/>
      <c r="E51" s="247">
        <f>IF(C50&gt;E50,E50-C50,0)</f>
        <v>-25.920000000000016</v>
      </c>
      <c r="F51" s="838"/>
      <c r="G51" s="839"/>
      <c r="H51" s="839"/>
      <c r="I51" s="855" t="s">
        <v>494</v>
      </c>
      <c r="J51" s="855"/>
      <c r="K51" s="855"/>
    </row>
    <row r="52" spans="1:11" ht="17" thickBot="1">
      <c r="A52" s="825"/>
      <c r="B52" s="821" t="s">
        <v>383</v>
      </c>
      <c r="C52" s="821"/>
      <c r="D52" s="821"/>
      <c r="E52" s="367">
        <f>IF(E50&gt;C50,E50-C50,0)</f>
        <v>0</v>
      </c>
      <c r="F52" s="836"/>
      <c r="G52" s="837"/>
      <c r="H52" s="837"/>
      <c r="I52" s="856"/>
      <c r="J52" s="856"/>
      <c r="K52" s="856"/>
    </row>
    <row r="53" spans="1:11" ht="17" thickBot="1"/>
    <row r="54" spans="1:11" ht="21">
      <c r="A54" s="822" t="s">
        <v>386</v>
      </c>
      <c r="B54" s="828" t="s">
        <v>414</v>
      </c>
      <c r="C54" s="829"/>
      <c r="D54" s="829"/>
      <c r="E54" s="830"/>
      <c r="F54" s="833" t="s">
        <v>390</v>
      </c>
      <c r="G54" s="829"/>
      <c r="H54" s="830"/>
      <c r="I54" s="833" t="str">
        <f>I45</f>
        <v xml:space="preserve">Særlige feriedage  </v>
      </c>
      <c r="J54" s="829"/>
      <c r="K54" s="830"/>
    </row>
    <row r="55" spans="1:11" ht="52">
      <c r="A55" s="823"/>
      <c r="B55" s="409"/>
      <c r="C55" s="410" t="str">
        <f t="shared" ref="C55:H55" si="14">C46</f>
        <v>Nettoarbejdstid</v>
      </c>
      <c r="D55" s="410" t="str">
        <f t="shared" si="14"/>
        <v>Planlagt arbejdstid</v>
      </c>
      <c r="E55" s="410" t="str">
        <f t="shared" si="14"/>
        <v>Faktisk arbejdstid(uden afspadsering)</v>
      </c>
      <c r="F55" s="410" t="str">
        <f t="shared" si="14"/>
        <v>Afspadseringstimer optjent</v>
      </c>
      <c r="G55" s="410" t="str">
        <f t="shared" si="14"/>
        <v>Afspadseringstimer afholdt</v>
      </c>
      <c r="H55" s="410" t="str">
        <f t="shared" si="14"/>
        <v>Afspadseringstimer saldo</v>
      </c>
      <c r="I55" s="410" t="str">
        <f>I46</f>
        <v>Særlige feriedage primo</v>
      </c>
      <c r="J55" s="410" t="str">
        <f>J46</f>
        <v>Særlige feriedage afholdt</v>
      </c>
      <c r="K55" s="410" t="str">
        <f>K46</f>
        <v>Særlige feriedage rest</v>
      </c>
    </row>
    <row r="56" spans="1:11">
      <c r="A56" s="824"/>
      <c r="B56" s="245" t="s">
        <v>284</v>
      </c>
      <c r="C56" s="244">
        <f t="shared" ref="C56:K56" si="15">C19</f>
        <v>140.6</v>
      </c>
      <c r="D56" s="244">
        <f t="shared" si="15"/>
        <v>145.61999999999995</v>
      </c>
      <c r="E56" s="244">
        <f t="shared" si="15"/>
        <v>145.61999999999995</v>
      </c>
      <c r="F56" s="244">
        <f t="shared" si="15"/>
        <v>0</v>
      </c>
      <c r="G56" s="244">
        <f t="shared" si="15"/>
        <v>0</v>
      </c>
      <c r="H56" s="244">
        <f t="shared" si="15"/>
        <v>1.5</v>
      </c>
      <c r="I56" s="244">
        <f t="shared" si="15"/>
        <v>0</v>
      </c>
      <c r="J56" s="244">
        <f t="shared" si="15"/>
        <v>0</v>
      </c>
      <c r="K56" s="244">
        <f t="shared" si="15"/>
        <v>0</v>
      </c>
    </row>
    <row r="57" spans="1:11">
      <c r="A57" s="824"/>
      <c r="B57" s="2" t="s">
        <v>285</v>
      </c>
      <c r="C57" s="246">
        <f t="shared" ref="C57:E58" si="16">C20</f>
        <v>162.80000000000001</v>
      </c>
      <c r="D57" s="246">
        <f t="shared" si="16"/>
        <v>172.51</v>
      </c>
      <c r="E57" s="246">
        <f t="shared" si="16"/>
        <v>172.51</v>
      </c>
      <c r="F57" s="246">
        <f t="shared" ref="F57:K58" si="17">F20</f>
        <v>0</v>
      </c>
      <c r="G57" s="246">
        <f t="shared" si="17"/>
        <v>0</v>
      </c>
      <c r="H57" s="246">
        <f t="shared" si="17"/>
        <v>1.5</v>
      </c>
      <c r="I57" s="246">
        <f t="shared" si="17"/>
        <v>0</v>
      </c>
      <c r="J57" s="246">
        <f t="shared" si="17"/>
        <v>0</v>
      </c>
      <c r="K57" s="246">
        <f t="shared" si="17"/>
        <v>0</v>
      </c>
    </row>
    <row r="58" spans="1:11">
      <c r="A58" s="824"/>
      <c r="B58" s="245" t="s">
        <v>286</v>
      </c>
      <c r="C58" s="244">
        <f t="shared" si="16"/>
        <v>29.599999999999994</v>
      </c>
      <c r="D58" s="244">
        <f t="shared" si="16"/>
        <v>0</v>
      </c>
      <c r="E58" s="244">
        <f t="shared" si="16"/>
        <v>0</v>
      </c>
      <c r="F58" s="244">
        <f t="shared" si="17"/>
        <v>0</v>
      </c>
      <c r="G58" s="244">
        <f t="shared" si="17"/>
        <v>0</v>
      </c>
      <c r="H58" s="244">
        <f t="shared" si="17"/>
        <v>1.5</v>
      </c>
      <c r="I58" s="244">
        <f t="shared" si="17"/>
        <v>0</v>
      </c>
      <c r="J58" s="244">
        <f t="shared" si="17"/>
        <v>0</v>
      </c>
      <c r="K58" s="244">
        <f t="shared" si="17"/>
        <v>0</v>
      </c>
    </row>
    <row r="59" spans="1:11">
      <c r="A59" s="824"/>
      <c r="B59" s="405" t="s">
        <v>382</v>
      </c>
      <c r="C59" s="406">
        <f>SUM(C56:C58)</f>
        <v>333</v>
      </c>
      <c r="D59" s="406">
        <f>SUM(D56:D58)</f>
        <v>318.12999999999994</v>
      </c>
      <c r="E59" s="407">
        <f>SUM(E56:E58)</f>
        <v>318.12999999999994</v>
      </c>
      <c r="F59" s="407">
        <f>SUM(F56:F58)</f>
        <v>0</v>
      </c>
      <c r="G59" s="407">
        <f>SUM(G56:G58)</f>
        <v>0</v>
      </c>
      <c r="H59" s="407">
        <f>H58</f>
        <v>1.5</v>
      </c>
      <c r="I59" s="840"/>
      <c r="J59" s="841"/>
      <c r="K59" s="842"/>
    </row>
    <row r="60" spans="1:11">
      <c r="A60" s="824"/>
      <c r="B60" s="813" t="s">
        <v>349</v>
      </c>
      <c r="C60" s="813"/>
      <c r="D60" s="813"/>
      <c r="E60" s="247">
        <f>IF(C59&gt;E59,E59-C59,0)</f>
        <v>-14.870000000000061</v>
      </c>
      <c r="F60" s="838"/>
      <c r="G60" s="839"/>
      <c r="H60" s="839"/>
    </row>
    <row r="61" spans="1:11" ht="17" thickBot="1">
      <c r="A61" s="825"/>
      <c r="B61" s="821" t="s">
        <v>383</v>
      </c>
      <c r="C61" s="821"/>
      <c r="D61" s="821"/>
      <c r="E61" s="367">
        <f>IF(E59&gt;C59,E59-C59,0)</f>
        <v>0</v>
      </c>
      <c r="F61" s="836"/>
      <c r="G61" s="837"/>
      <c r="H61" s="837"/>
    </row>
    <row r="63" spans="1:11" ht="21">
      <c r="A63" s="832" t="s">
        <v>394</v>
      </c>
      <c r="B63" s="832"/>
      <c r="C63" s="832"/>
      <c r="D63" s="832"/>
      <c r="E63" s="436">
        <f>E33+E34+E42+E43+E51+E52+E60+E61</f>
        <v>-0.91000000000019554</v>
      </c>
    </row>
    <row r="64" spans="1:11" ht="21">
      <c r="A64" s="831" t="s">
        <v>395</v>
      </c>
      <c r="B64" s="831"/>
      <c r="C64" s="831"/>
      <c r="D64" s="831"/>
      <c r="E64" s="408">
        <f>H22</f>
        <v>1.5</v>
      </c>
    </row>
  </sheetData>
  <sheetProtection sheet="1" objects="1" scenarios="1"/>
  <mergeCells count="64">
    <mergeCell ref="A5:B5"/>
    <mergeCell ref="C5:D5"/>
    <mergeCell ref="E5:F5"/>
    <mergeCell ref="G5:H5"/>
    <mergeCell ref="A3:B3"/>
    <mergeCell ref="C3:D3"/>
    <mergeCell ref="E3:F3"/>
    <mergeCell ref="G3:H3"/>
    <mergeCell ref="A4:B4"/>
    <mergeCell ref="C4:D4"/>
    <mergeCell ref="E4:F4"/>
    <mergeCell ref="G4:H4"/>
    <mergeCell ref="A1:H1"/>
    <mergeCell ref="A2:B2"/>
    <mergeCell ref="C2:D2"/>
    <mergeCell ref="E2:F2"/>
    <mergeCell ref="G2:H2"/>
    <mergeCell ref="I59:K59"/>
    <mergeCell ref="B6:K6"/>
    <mergeCell ref="B7:K7"/>
    <mergeCell ref="I22:K25"/>
    <mergeCell ref="I51:K52"/>
    <mergeCell ref="I8:K8"/>
    <mergeCell ref="I27:K27"/>
    <mergeCell ref="I36:K36"/>
    <mergeCell ref="I45:K45"/>
    <mergeCell ref="I54:K54"/>
    <mergeCell ref="I32:K32"/>
    <mergeCell ref="I41:K41"/>
    <mergeCell ref="I50:K50"/>
    <mergeCell ref="B24:D24"/>
    <mergeCell ref="F24:H24"/>
    <mergeCell ref="B25:G25"/>
    <mergeCell ref="A64:D64"/>
    <mergeCell ref="A63:D63"/>
    <mergeCell ref="F27:H27"/>
    <mergeCell ref="F36:H36"/>
    <mergeCell ref="F45:H45"/>
    <mergeCell ref="F54:H54"/>
    <mergeCell ref="F33:H34"/>
    <mergeCell ref="F42:H43"/>
    <mergeCell ref="F51:H52"/>
    <mergeCell ref="F60:H61"/>
    <mergeCell ref="A45:A52"/>
    <mergeCell ref="B45:E45"/>
    <mergeCell ref="B51:D51"/>
    <mergeCell ref="B52:D52"/>
    <mergeCell ref="A54:A61"/>
    <mergeCell ref="B54:E54"/>
    <mergeCell ref="B60:D60"/>
    <mergeCell ref="B61:D61"/>
    <mergeCell ref="B34:D34"/>
    <mergeCell ref="A27:A34"/>
    <mergeCell ref="B27:E27"/>
    <mergeCell ref="A36:A43"/>
    <mergeCell ref="B36:E36"/>
    <mergeCell ref="B42:D42"/>
    <mergeCell ref="B43:D43"/>
    <mergeCell ref="A6:A25"/>
    <mergeCell ref="B33:D33"/>
    <mergeCell ref="B23:D23"/>
    <mergeCell ref="F23:H23"/>
    <mergeCell ref="C8:E8"/>
    <mergeCell ref="F8:H8"/>
  </mergeCells>
  <phoneticPr fontId="5" type="noConversion"/>
  <conditionalFormatting sqref="B23 E23:F23">
    <cfRule type="expression" dxfId="379" priority="11">
      <formula>OR($E$22&gt;$C$22,)</formula>
    </cfRule>
    <cfRule type="expression" dxfId="378" priority="12">
      <formula>"ELLER($E$16&gt;$$16;)"</formula>
    </cfRule>
  </conditionalFormatting>
  <conditionalFormatting sqref="B24 E24:F24">
    <cfRule type="expression" dxfId="377" priority="10">
      <formula>OR($C$22&gt;$E$22,)</formula>
    </cfRule>
  </conditionalFormatting>
  <conditionalFormatting sqref="B25 H25">
    <cfRule type="expression" dxfId="376" priority="9">
      <formula>OR($H$22&lt;0,)</formula>
    </cfRule>
  </conditionalFormatting>
  <conditionalFormatting sqref="B33 E33">
    <cfRule type="expression" dxfId="375" priority="8">
      <formula>OR($C$32&lt;$E$32,)</formula>
    </cfRule>
  </conditionalFormatting>
  <conditionalFormatting sqref="B34 E34">
    <cfRule type="expression" dxfId="374" priority="7">
      <formula>OR($E$32&lt;$C$32,)</formula>
    </cfRule>
  </conditionalFormatting>
  <conditionalFormatting sqref="B42 E42">
    <cfRule type="expression" dxfId="373" priority="6">
      <formula>OR($E$41&gt;$C$41,)</formula>
    </cfRule>
  </conditionalFormatting>
  <conditionalFormatting sqref="B43 E43">
    <cfRule type="expression" dxfId="372" priority="5">
      <formula>OR($C$41&gt;$E$41,)</formula>
    </cfRule>
  </conditionalFormatting>
  <conditionalFormatting sqref="B51 E51">
    <cfRule type="expression" dxfId="371" priority="4">
      <formula>OR($E$50&gt;$C$50,)</formula>
    </cfRule>
  </conditionalFormatting>
  <conditionalFormatting sqref="B52 E52">
    <cfRule type="expression" dxfId="370" priority="3">
      <formula>OR($C$50&gt;$E$50,)</formula>
    </cfRule>
  </conditionalFormatting>
  <conditionalFormatting sqref="B60 E60">
    <cfRule type="expression" dxfId="369" priority="2">
      <formula>OR($E$59&gt;$C$59,)</formula>
    </cfRule>
  </conditionalFormatting>
  <conditionalFormatting sqref="B61 E61">
    <cfRule type="expression" dxfId="368" priority="1">
      <formula>OR($C$59&gt;$E$59,)</formula>
    </cfRule>
  </conditionalFormatting>
  <hyperlinks>
    <hyperlink ref="E2:F2" location="Arbejdstidsoversigt!A19" display="Arbejdstids-oversigt" xr:uid="{5B6316E9-5B25-0946-97C6-2C8AF4B9045F}"/>
    <hyperlink ref="A3:B3" location="August!A12" display="August" xr:uid="{49E68D6C-AF23-7E46-AA20-1E4CCAF1E563}"/>
    <hyperlink ref="C3:D3" location="September!A8" display="September" xr:uid="{C70275BA-73CD-A544-AAE0-94CB39D0AC18}"/>
    <hyperlink ref="E3:F3" location="Oktober!A8" display="Oktober" xr:uid="{7702E737-2D83-E644-9B55-1DFD06C46590}"/>
    <hyperlink ref="G3:H3" location="November!A8" display="November" xr:uid="{F02D6B0A-088E-EC47-AFEC-07D42AD055B1}"/>
    <hyperlink ref="A4:B4" location="December!A8" display="December" xr:uid="{77B1CDE4-E4A0-8C4B-ACC3-70B78B8B4D51}"/>
    <hyperlink ref="C4:D4" location="Januar!A8" display="Januar" xr:uid="{7CB26B12-8B4C-0445-8285-F42727281EA5}"/>
    <hyperlink ref="E4:F4" location="Februar!A8" display="Februar" xr:uid="{A1D5B2C7-0854-D04D-8B2E-4AD072FD3590}"/>
    <hyperlink ref="A5:B5" location="April!A8" display="April" xr:uid="{BD7B7ECA-F142-744C-AB75-493A044FDF12}"/>
    <hyperlink ref="C5:D5" location="Maj!A8" display="Maj" xr:uid="{CE8471C6-EA44-1344-916C-69F85F90704B}"/>
    <hyperlink ref="E5:F5" location="Juni!A8" display="Juni" xr:uid="{B5E41D34-A37A-3640-9576-ADB8A6E14709}"/>
    <hyperlink ref="G5:H5" location="Juli!A8" display="Juli" xr:uid="{AF83ED79-726E-FE44-85FF-BDE14A668216}"/>
    <hyperlink ref="G4:H4" location="Marts!A8" display="Marts" xr:uid="{BD83BB5E-0A73-0044-95E0-358E2D7BDE06}"/>
    <hyperlink ref="G2:H2" location="Stamoplysninger!E18" display="Stamoplysninger" xr:uid="{B555FA0B-B5DD-5247-8CA0-4812481BBC00}"/>
    <hyperlink ref="A2:B2" location="Skemaoplysninger!A20" display="Skemaoplysninger" xr:uid="{AEF03BD8-6942-3C4A-AEFF-3D4ACA11D11C}"/>
    <hyperlink ref="C2:D2" location="Opgaver!A8" display="Opgaver" xr:uid="{EE67830A-1D32-BA41-B4E1-2AFB05DFA84C}"/>
  </hyperlinks>
  <pageMargins left="0.25" right="0.25" top="0.75" bottom="0.75" header="0.3" footer="0.3"/>
  <pageSetup paperSize="9" scale="57" orientation="portrait" horizontalDpi="0" verticalDpi="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3EA83-498D-4C42-B081-21F51B845765}">
  <sheetPr>
    <tabColor theme="6" tint="0.39997558519241921"/>
    <pageSetUpPr fitToPage="1"/>
  </sheetPr>
  <dimension ref="A1:AO39"/>
  <sheetViews>
    <sheetView showZeros="0" zoomScale="159" zoomScaleNormal="100" workbookViewId="0">
      <selection activeCell="B7" sqref="B7:I7"/>
    </sheetView>
  </sheetViews>
  <sheetFormatPr baseColWidth="10" defaultRowHeight="16"/>
  <sheetData>
    <row r="1" spans="1:41" ht="39" customHeight="1">
      <c r="A1" s="1566"/>
      <c r="B1" s="1548" t="s">
        <v>521</v>
      </c>
      <c r="C1" s="1549"/>
      <c r="D1" s="1549"/>
      <c r="E1" s="1549"/>
      <c r="F1" s="1549"/>
      <c r="G1" s="1549"/>
      <c r="H1" s="1549"/>
      <c r="I1" s="1549"/>
      <c r="J1" s="1550"/>
      <c r="AO1" s="1" t="e">
        <f>SUM(#REF!)</f>
        <v>#REF!</v>
      </c>
    </row>
    <row r="2" spans="1:41" ht="39" customHeight="1">
      <c r="A2" s="1567"/>
      <c r="B2" s="1557" t="str">
        <f>Stamoplysninger!E13</f>
        <v>Beate Simonsen</v>
      </c>
      <c r="C2" s="1558"/>
      <c r="D2" s="1558"/>
      <c r="E2" s="1558"/>
      <c r="F2" s="1558"/>
      <c r="G2" s="1558"/>
      <c r="H2" s="1558"/>
      <c r="I2" s="1558"/>
      <c r="J2" s="1559"/>
      <c r="AO2" s="1"/>
    </row>
    <row r="3" spans="1:41">
      <c r="A3" s="1567"/>
      <c r="B3" s="1551" t="s">
        <v>217</v>
      </c>
      <c r="C3" s="905"/>
      <c r="D3" s="905"/>
      <c r="E3" s="905"/>
      <c r="F3" s="905"/>
      <c r="G3" s="905"/>
      <c r="H3" s="905"/>
      <c r="I3" s="905"/>
      <c r="J3" s="265">
        <f>Skemaoplysninger!BD53</f>
        <v>658.25</v>
      </c>
    </row>
    <row r="4" spans="1:41">
      <c r="A4" s="1567"/>
      <c r="B4" s="1552" t="s">
        <v>325</v>
      </c>
      <c r="C4" s="1553"/>
      <c r="D4" s="1553"/>
      <c r="E4" s="1553"/>
      <c r="F4" s="1553"/>
      <c r="G4" s="1553"/>
      <c r="H4" s="1553"/>
      <c r="I4" s="1553"/>
      <c r="J4" s="248">
        <f>SUM(August!BC46:BF46)+SUM(September!BC44:BF44)+SUM(Oktober!BC45:BF45)+SUM(November!BC44:BF44)+SUM(December!BC45:BF45)+SUM(Januar!BC45:BF45)+SUM(Februar!BC43:BF43)+SUM(Marts!BC45:BF45)+SUM(April!BC44:BF44)+SUM(Maj!BC45:BF45)+SUM(Juni!BC44:BF44)+SUM(Juli!BC45:BF45)</f>
        <v>110.25</v>
      </c>
    </row>
    <row r="5" spans="1:41" ht="34" customHeight="1">
      <c r="A5" s="1567"/>
      <c r="B5" s="1554" t="s">
        <v>296</v>
      </c>
      <c r="C5" s="1555"/>
      <c r="D5" s="1555"/>
      <c r="E5" s="1555"/>
      <c r="F5" s="1555"/>
      <c r="G5" s="1555"/>
      <c r="H5" s="1555"/>
      <c r="I5" s="1555"/>
      <c r="J5" s="1556"/>
    </row>
    <row r="6" spans="1:41">
      <c r="A6" s="1567"/>
      <c r="B6" s="1546" t="s">
        <v>791</v>
      </c>
      <c r="C6" s="1547"/>
      <c r="D6" s="1547"/>
      <c r="E6" s="1547"/>
      <c r="F6" s="1547"/>
      <c r="G6" s="1547"/>
      <c r="H6" s="1547"/>
      <c r="I6" s="1547"/>
      <c r="J6" s="19">
        <f>10*0.5</f>
        <v>5</v>
      </c>
    </row>
    <row r="7" spans="1:41">
      <c r="A7" s="1567"/>
      <c r="B7" s="1546"/>
      <c r="C7" s="1547"/>
      <c r="D7" s="1547"/>
      <c r="E7" s="1547"/>
      <c r="F7" s="1547"/>
      <c r="G7" s="1547"/>
      <c r="H7" s="1547"/>
      <c r="I7" s="1547"/>
      <c r="J7" s="19"/>
    </row>
    <row r="8" spans="1:41">
      <c r="A8" s="1567"/>
      <c r="B8" s="1546"/>
      <c r="C8" s="1547"/>
      <c r="D8" s="1547"/>
      <c r="E8" s="1547"/>
      <c r="F8" s="1547"/>
      <c r="G8" s="1547"/>
      <c r="H8" s="1547"/>
      <c r="I8" s="1547"/>
      <c r="J8" s="19"/>
    </row>
    <row r="9" spans="1:41">
      <c r="A9" s="1567"/>
      <c r="B9" s="1546"/>
      <c r="C9" s="1547"/>
      <c r="D9" s="1547"/>
      <c r="E9" s="1547"/>
      <c r="F9" s="1547"/>
      <c r="G9" s="1547"/>
      <c r="H9" s="1547"/>
      <c r="I9" s="1547"/>
      <c r="J9" s="19"/>
    </row>
    <row r="10" spans="1:41">
      <c r="A10" s="1567"/>
      <c r="B10" s="1546"/>
      <c r="C10" s="1547"/>
      <c r="D10" s="1547"/>
      <c r="E10" s="1547"/>
      <c r="F10" s="1547"/>
      <c r="G10" s="1547"/>
      <c r="H10" s="1547"/>
      <c r="I10" s="1547"/>
      <c r="J10" s="19"/>
    </row>
    <row r="11" spans="1:41">
      <c r="A11" s="1567"/>
      <c r="B11" s="1546"/>
      <c r="C11" s="1547"/>
      <c r="D11" s="1547"/>
      <c r="E11" s="1547"/>
      <c r="F11" s="1547"/>
      <c r="G11" s="1547"/>
      <c r="H11" s="1547"/>
      <c r="I11" s="1547"/>
      <c r="J11" s="19"/>
    </row>
    <row r="12" spans="1:41">
      <c r="A12" s="1567"/>
      <c r="B12" s="1546"/>
      <c r="C12" s="1547"/>
      <c r="D12" s="1547"/>
      <c r="E12" s="1547"/>
      <c r="F12" s="1547"/>
      <c r="G12" s="1547"/>
      <c r="H12" s="1547"/>
      <c r="I12" s="1547"/>
      <c r="J12" s="19"/>
    </row>
    <row r="13" spans="1:41">
      <c r="A13" s="1567"/>
      <c r="B13" s="1546"/>
      <c r="C13" s="1547"/>
      <c r="D13" s="1547"/>
      <c r="E13" s="1547"/>
      <c r="F13" s="1547"/>
      <c r="G13" s="1547"/>
      <c r="H13" s="1547"/>
      <c r="I13" s="1547"/>
      <c r="J13" s="19"/>
    </row>
    <row r="14" spans="1:41">
      <c r="A14" s="1567"/>
      <c r="B14" s="1546"/>
      <c r="C14" s="1547"/>
      <c r="D14" s="1547"/>
      <c r="E14" s="1547"/>
      <c r="F14" s="1547"/>
      <c r="G14" s="1547"/>
      <c r="H14" s="1547"/>
      <c r="I14" s="1547"/>
      <c r="J14" s="19"/>
    </row>
    <row r="15" spans="1:41">
      <c r="A15" s="1567"/>
      <c r="B15" s="1546"/>
      <c r="C15" s="1547"/>
      <c r="D15" s="1547"/>
      <c r="E15" s="1547"/>
      <c r="F15" s="1547"/>
      <c r="G15" s="1547"/>
      <c r="H15" s="1547"/>
      <c r="I15" s="1547"/>
      <c r="J15" s="19"/>
    </row>
    <row r="16" spans="1:41">
      <c r="A16" s="1567"/>
      <c r="B16" s="1546"/>
      <c r="C16" s="1547"/>
      <c r="D16" s="1547"/>
      <c r="E16" s="1547"/>
      <c r="F16" s="1547"/>
      <c r="G16" s="1547"/>
      <c r="H16" s="1547"/>
      <c r="I16" s="1547"/>
      <c r="J16" s="19"/>
    </row>
    <row r="17" spans="1:10">
      <c r="A17" s="1567"/>
      <c r="B17" s="1546"/>
      <c r="C17" s="1547"/>
      <c r="D17" s="1547"/>
      <c r="E17" s="1547"/>
      <c r="F17" s="1547"/>
      <c r="G17" s="1547"/>
      <c r="H17" s="1547"/>
      <c r="I17" s="1547"/>
      <c r="J17" s="19"/>
    </row>
    <row r="18" spans="1:10">
      <c r="A18" s="1567"/>
      <c r="B18" s="1546"/>
      <c r="C18" s="1547"/>
      <c r="D18" s="1547"/>
      <c r="E18" s="1547"/>
      <c r="F18" s="1547"/>
      <c r="G18" s="1547"/>
      <c r="H18" s="1547"/>
      <c r="I18" s="1547"/>
      <c r="J18" s="19"/>
    </row>
    <row r="19" spans="1:10">
      <c r="A19" s="1567"/>
      <c r="B19" s="1546"/>
      <c r="C19" s="1547"/>
      <c r="D19" s="1547"/>
      <c r="E19" s="1547"/>
      <c r="F19" s="1547"/>
      <c r="G19" s="1547"/>
      <c r="H19" s="1547"/>
      <c r="I19" s="1547"/>
      <c r="J19" s="19"/>
    </row>
    <row r="20" spans="1:10">
      <c r="A20" s="1567"/>
      <c r="B20" s="1546"/>
      <c r="C20" s="1547"/>
      <c r="D20" s="1547"/>
      <c r="E20" s="1547"/>
      <c r="F20" s="1547"/>
      <c r="G20" s="1547"/>
      <c r="H20" s="1547"/>
      <c r="I20" s="1547"/>
      <c r="J20" s="19"/>
    </row>
    <row r="21" spans="1:10" ht="17" thickBot="1">
      <c r="A21" s="1567"/>
      <c r="B21" s="1575"/>
      <c r="C21" s="1576"/>
      <c r="D21" s="1576"/>
      <c r="E21" s="1576"/>
      <c r="F21" s="1576"/>
      <c r="G21" s="1576"/>
      <c r="H21" s="1576"/>
      <c r="I21" s="1576"/>
      <c r="J21" s="603"/>
    </row>
    <row r="22" spans="1:10" ht="23" customHeight="1" thickBot="1">
      <c r="A22" s="1567"/>
      <c r="B22" s="1577" t="s">
        <v>522</v>
      </c>
      <c r="C22" s="1578"/>
      <c r="D22" s="1578"/>
      <c r="E22" s="1578"/>
      <c r="F22" s="1578"/>
      <c r="G22" s="1578"/>
      <c r="H22" s="1578"/>
      <c r="I22" s="1578"/>
      <c r="J22" s="604">
        <f>SUM(J3:J21)</f>
        <v>773.5</v>
      </c>
    </row>
    <row r="23" spans="1:10" ht="23" customHeight="1" thickBot="1">
      <c r="A23" s="1567"/>
      <c r="B23" s="1560" t="s">
        <v>523</v>
      </c>
      <c r="C23" s="1561"/>
      <c r="D23" s="1561"/>
      <c r="E23" s="1561"/>
      <c r="F23" s="1561"/>
      <c r="G23" s="1561"/>
      <c r="H23" s="1561"/>
      <c r="I23" s="1562"/>
      <c r="J23" s="682" t="str">
        <f>Stamoplysninger!E17</f>
        <v>Nej</v>
      </c>
    </row>
    <row r="24" spans="1:10" ht="81" customHeight="1" thickBot="1">
      <c r="A24" s="1567"/>
      <c r="B24" s="1563" t="s">
        <v>524</v>
      </c>
      <c r="C24" s="1564"/>
      <c r="D24" s="1564"/>
      <c r="E24" s="1564"/>
      <c r="F24" s="1564"/>
      <c r="G24" s="1564"/>
      <c r="H24" s="1564"/>
      <c r="I24" s="1565"/>
      <c r="J24" s="682">
        <f>IF(J23="Ja",J22,J22/(Arbejdstidsoversigt!G20-Arbejdstidsoversigt!I24)*228)</f>
        <v>773.5</v>
      </c>
    </row>
    <row r="25" spans="1:10" ht="19">
      <c r="A25" s="1567"/>
      <c r="B25" s="1579" t="s">
        <v>278</v>
      </c>
      <c r="C25" s="1580"/>
      <c r="D25" s="1580"/>
      <c r="E25" s="1580"/>
      <c r="F25" s="1580"/>
      <c r="G25" s="1580"/>
      <c r="H25" s="1580"/>
      <c r="I25" s="1580"/>
      <c r="J25" s="1581"/>
    </row>
    <row r="26" spans="1:10">
      <c r="A26" s="1567"/>
      <c r="B26" s="1552" t="s">
        <v>231</v>
      </c>
      <c r="C26" s="1553"/>
      <c r="D26" s="1553"/>
      <c r="E26" s="1553"/>
      <c r="F26" s="1553"/>
      <c r="G26" s="1553"/>
      <c r="H26" s="1553"/>
      <c r="I26" s="1553"/>
      <c r="J26" s="248">
        <f>August!W46-August!O68</f>
        <v>0</v>
      </c>
    </row>
    <row r="27" spans="1:10">
      <c r="A27" s="1567"/>
      <c r="B27" s="1552" t="s">
        <v>233</v>
      </c>
      <c r="C27" s="1553"/>
      <c r="D27" s="1553"/>
      <c r="E27" s="1553"/>
      <c r="F27" s="1553"/>
      <c r="G27" s="1553"/>
      <c r="H27" s="1553"/>
      <c r="I27" s="1553"/>
      <c r="J27" s="248">
        <f>September!W44-September!O70</f>
        <v>0</v>
      </c>
    </row>
    <row r="28" spans="1:10">
      <c r="A28" s="1567"/>
      <c r="B28" s="1552" t="s">
        <v>234</v>
      </c>
      <c r="C28" s="1553"/>
      <c r="D28" s="1553"/>
      <c r="E28" s="1553"/>
      <c r="F28" s="1553"/>
      <c r="G28" s="1553"/>
      <c r="H28" s="1553"/>
      <c r="I28" s="1553"/>
      <c r="J28" s="248">
        <f>Oktober!W45-Oktober!O71</f>
        <v>0</v>
      </c>
    </row>
    <row r="29" spans="1:10">
      <c r="A29" s="1567"/>
      <c r="B29" s="1552" t="s">
        <v>235</v>
      </c>
      <c r="C29" s="1553"/>
      <c r="D29" s="1553"/>
      <c r="E29" s="1553"/>
      <c r="F29" s="1553"/>
      <c r="G29" s="1553"/>
      <c r="H29" s="1553"/>
      <c r="I29" s="1553"/>
      <c r="J29" s="248">
        <f>November!W44-November!O70</f>
        <v>0</v>
      </c>
    </row>
    <row r="30" spans="1:10">
      <c r="A30" s="1567"/>
      <c r="B30" s="1552" t="s">
        <v>279</v>
      </c>
      <c r="C30" s="1553"/>
      <c r="D30" s="1553"/>
      <c r="E30" s="1553"/>
      <c r="F30" s="1553"/>
      <c r="G30" s="1553"/>
      <c r="H30" s="1553"/>
      <c r="I30" s="1553"/>
      <c r="J30" s="248">
        <f>December!W45-December!O71</f>
        <v>0</v>
      </c>
    </row>
    <row r="31" spans="1:10">
      <c r="A31" s="1567"/>
      <c r="B31" s="1552" t="s">
        <v>280</v>
      </c>
      <c r="C31" s="1553"/>
      <c r="D31" s="1553"/>
      <c r="E31" s="1553"/>
      <c r="F31" s="1553"/>
      <c r="G31" s="1553"/>
      <c r="H31" s="1553"/>
      <c r="I31" s="1553"/>
      <c r="J31" s="248">
        <f>Januar!W45-Januar!O71</f>
        <v>0</v>
      </c>
    </row>
    <row r="32" spans="1:10">
      <c r="A32" s="1567"/>
      <c r="B32" s="1552" t="s">
        <v>281</v>
      </c>
      <c r="C32" s="1553"/>
      <c r="D32" s="1553"/>
      <c r="E32" s="1553"/>
      <c r="F32" s="1553"/>
      <c r="G32" s="1553"/>
      <c r="H32" s="1553"/>
      <c r="I32" s="1553"/>
      <c r="J32" s="248">
        <f>Februar!W43-Februar!O69</f>
        <v>0</v>
      </c>
    </row>
    <row r="33" spans="1:10">
      <c r="A33" s="1567"/>
      <c r="B33" s="1552" t="s">
        <v>282</v>
      </c>
      <c r="C33" s="1553"/>
      <c r="D33" s="1553"/>
      <c r="E33" s="1553"/>
      <c r="F33" s="1553"/>
      <c r="G33" s="1553"/>
      <c r="H33" s="1553"/>
      <c r="I33" s="1553"/>
      <c r="J33" s="248">
        <f>Marts!W45-Marts!O71</f>
        <v>0</v>
      </c>
    </row>
    <row r="34" spans="1:10">
      <c r="A34" s="1567"/>
      <c r="B34" s="1552" t="s">
        <v>283</v>
      </c>
      <c r="C34" s="1553"/>
      <c r="D34" s="1553"/>
      <c r="E34" s="1553"/>
      <c r="F34" s="1553"/>
      <c r="G34" s="1553"/>
      <c r="H34" s="1553"/>
      <c r="I34" s="1553"/>
      <c r="J34" s="248">
        <f>April!W44-April!O70</f>
        <v>0</v>
      </c>
    </row>
    <row r="35" spans="1:10">
      <c r="A35" s="1567"/>
      <c r="B35" s="1552" t="s">
        <v>284</v>
      </c>
      <c r="C35" s="1553"/>
      <c r="D35" s="1553"/>
      <c r="E35" s="1553"/>
      <c r="F35" s="1553"/>
      <c r="G35" s="1553"/>
      <c r="H35" s="1553"/>
      <c r="I35" s="1553"/>
      <c r="J35" s="248">
        <f>Maj!W45-Maj!O71</f>
        <v>0</v>
      </c>
    </row>
    <row r="36" spans="1:10">
      <c r="A36" s="1567"/>
      <c r="B36" s="1552" t="s">
        <v>285</v>
      </c>
      <c r="C36" s="1553"/>
      <c r="D36" s="1553"/>
      <c r="E36" s="1553"/>
      <c r="F36" s="1553"/>
      <c r="G36" s="1553"/>
      <c r="H36" s="1553"/>
      <c r="I36" s="1553"/>
      <c r="J36" s="248">
        <f>Juni!W44-Juni!O70</f>
        <v>0</v>
      </c>
    </row>
    <row r="37" spans="1:10" ht="17" thickBot="1">
      <c r="A37" s="1567"/>
      <c r="B37" s="1571" t="s">
        <v>286</v>
      </c>
      <c r="C37" s="1572"/>
      <c r="D37" s="1572"/>
      <c r="E37" s="1572"/>
      <c r="F37" s="1572"/>
      <c r="G37" s="1572"/>
      <c r="H37" s="1572"/>
      <c r="I37" s="1572"/>
      <c r="J37" s="327">
        <f>Juli!W45-Juli!O71</f>
        <v>0</v>
      </c>
    </row>
    <row r="38" spans="1:10" ht="17" thickBot="1">
      <c r="A38" s="1567"/>
      <c r="B38" s="1573" t="s">
        <v>287</v>
      </c>
      <c r="C38" s="1574"/>
      <c r="D38" s="1574"/>
      <c r="E38" s="1574"/>
      <c r="F38" s="1574"/>
      <c r="G38" s="1574"/>
      <c r="H38" s="1574"/>
      <c r="I38" s="1574"/>
      <c r="J38" s="267">
        <f>SUM(J26:J37)</f>
        <v>0</v>
      </c>
    </row>
    <row r="39" spans="1:10" ht="51" customHeight="1" thickBot="1">
      <c r="A39" s="1568"/>
      <c r="B39" s="1569" t="s">
        <v>346</v>
      </c>
      <c r="C39" s="1570"/>
      <c r="D39" s="1570"/>
      <c r="E39" s="1570"/>
      <c r="F39" s="1570"/>
      <c r="G39" s="1570"/>
      <c r="H39" s="1570"/>
      <c r="I39" s="1570"/>
      <c r="J39" s="266">
        <f>J24+J38</f>
        <v>773.5</v>
      </c>
    </row>
  </sheetData>
  <sheetProtection sheet="1" objects="1" scenarios="1"/>
  <mergeCells count="40">
    <mergeCell ref="A1:A39"/>
    <mergeCell ref="B39:I39"/>
    <mergeCell ref="B33:I33"/>
    <mergeCell ref="B34:I34"/>
    <mergeCell ref="B35:I35"/>
    <mergeCell ref="B36:I36"/>
    <mergeCell ref="B37:I37"/>
    <mergeCell ref="B38:I38"/>
    <mergeCell ref="B32:I32"/>
    <mergeCell ref="B20:I20"/>
    <mergeCell ref="B21:I21"/>
    <mergeCell ref="B22:I22"/>
    <mergeCell ref="B25:J25"/>
    <mergeCell ref="B26:I26"/>
    <mergeCell ref="B27:I27"/>
    <mergeCell ref="B12:I12"/>
    <mergeCell ref="B28:I28"/>
    <mergeCell ref="B29:I29"/>
    <mergeCell ref="B30:I30"/>
    <mergeCell ref="B31:I31"/>
    <mergeCell ref="B19:I19"/>
    <mergeCell ref="B23:I23"/>
    <mergeCell ref="B24:I24"/>
    <mergeCell ref="B18:I18"/>
    <mergeCell ref="B13:I13"/>
    <mergeCell ref="B14:I14"/>
    <mergeCell ref="B15:I15"/>
    <mergeCell ref="B16:I16"/>
    <mergeCell ref="B17:I17"/>
    <mergeCell ref="B1:J1"/>
    <mergeCell ref="B3:I3"/>
    <mergeCell ref="B4:I4"/>
    <mergeCell ref="B5:J5"/>
    <mergeCell ref="B6:I6"/>
    <mergeCell ref="B2:J2"/>
    <mergeCell ref="B8:I8"/>
    <mergeCell ref="B9:I9"/>
    <mergeCell ref="B10:I10"/>
    <mergeCell ref="B11:I11"/>
    <mergeCell ref="B7:I7"/>
  </mergeCells>
  <conditionalFormatting sqref="J6:J21">
    <cfRule type="expression" dxfId="367" priority="1">
      <formula>OR($B6&gt;0,)</formula>
    </cfRule>
  </conditionalFormatting>
  <pageMargins left="0.7" right="0.7" top="0.75" bottom="0.75" header="0.3" footer="0.3"/>
  <pageSetup paperSize="9" scale="76" orientation="portrait" horizontalDpi="0" verticalDpi="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885B6-1FF8-934A-A24E-4A51782ACD68}">
  <sheetPr>
    <tabColor theme="6" tint="0.39997558519241921"/>
    <pageSetUpPr fitToPage="1"/>
  </sheetPr>
  <dimension ref="A1:D35"/>
  <sheetViews>
    <sheetView zoomScale="125" zoomScaleNormal="125" zoomScalePageLayoutView="125" workbookViewId="0">
      <selection activeCell="B12" sqref="B12"/>
    </sheetView>
  </sheetViews>
  <sheetFormatPr baseColWidth="10" defaultColWidth="11" defaultRowHeight="16"/>
  <cols>
    <col min="1" max="1" width="6" customWidth="1"/>
    <col min="2" max="2" width="6.1640625" customWidth="1"/>
    <col min="3" max="3" width="68.83203125" customWidth="1"/>
    <col min="4" max="4" width="15" customWidth="1"/>
  </cols>
  <sheetData>
    <row r="1" spans="1:4" ht="19">
      <c r="A1" s="44" t="s">
        <v>75</v>
      </c>
    </row>
    <row r="2" spans="1:4" ht="19">
      <c r="A2" s="44"/>
    </row>
    <row r="3" spans="1:4" ht="19">
      <c r="A3" s="44" t="s">
        <v>76</v>
      </c>
      <c r="C3" s="478" t="str">
        <f>IF(Stamoplysninger!E13&gt;0,Stamoplysninger!E13,"")</f>
        <v>Beate Simonsen</v>
      </c>
    </row>
    <row r="4" spans="1:4" ht="19">
      <c r="A4" s="44"/>
    </row>
    <row r="5" spans="1:4" ht="19">
      <c r="A5" s="44"/>
      <c r="C5" s="45" t="s">
        <v>26</v>
      </c>
      <c r="D5" s="479">
        <f>IF(Stamoplysninger!E20&gt;0,Stamoplysninger!E20,"")</f>
        <v>1</v>
      </c>
    </row>
    <row r="6" spans="1:4">
      <c r="A6" s="293" t="s">
        <v>77</v>
      </c>
      <c r="B6" s="46" t="s">
        <v>78</v>
      </c>
    </row>
    <row r="7" spans="1:4">
      <c r="A7" s="47">
        <v>1</v>
      </c>
      <c r="B7" s="48" t="s">
        <v>79</v>
      </c>
      <c r="C7" s="45"/>
      <c r="D7" s="49"/>
    </row>
    <row r="8" spans="1:4">
      <c r="A8" s="50">
        <v>2</v>
      </c>
      <c r="B8" s="51" t="s">
        <v>80</v>
      </c>
      <c r="C8" s="52"/>
      <c r="D8" s="49"/>
    </row>
    <row r="9" spans="1:4">
      <c r="A9" s="50">
        <v>3</v>
      </c>
      <c r="B9" s="51" t="s">
        <v>123</v>
      </c>
      <c r="C9" s="52"/>
      <c r="D9" s="49"/>
    </row>
    <row r="10" spans="1:4">
      <c r="A10" s="50">
        <v>4</v>
      </c>
      <c r="B10" s="51" t="s">
        <v>81</v>
      </c>
      <c r="C10" s="52"/>
      <c r="D10" s="49"/>
    </row>
    <row r="11" spans="1:4">
      <c r="A11" s="47">
        <v>5</v>
      </c>
      <c r="B11" s="51" t="s">
        <v>677</v>
      </c>
      <c r="C11" s="52"/>
      <c r="D11" s="49"/>
    </row>
    <row r="12" spans="1:4">
      <c r="A12" s="47">
        <v>6</v>
      </c>
      <c r="B12" s="51" t="s">
        <v>676</v>
      </c>
      <c r="C12" s="52"/>
      <c r="D12" s="49"/>
    </row>
    <row r="13" spans="1:4">
      <c r="A13" s="47">
        <v>7</v>
      </c>
      <c r="B13" s="51" t="s">
        <v>82</v>
      </c>
      <c r="C13" s="52"/>
      <c r="D13" s="49"/>
    </row>
    <row r="14" spans="1:4">
      <c r="A14" s="47">
        <v>8</v>
      </c>
      <c r="B14" s="1582" t="s">
        <v>525</v>
      </c>
      <c r="C14" s="1583"/>
      <c r="D14" s="49"/>
    </row>
    <row r="15" spans="1:4">
      <c r="A15" s="50">
        <v>9</v>
      </c>
      <c r="B15" s="51" t="s">
        <v>83</v>
      </c>
      <c r="C15" s="52"/>
      <c r="D15" s="49"/>
    </row>
    <row r="16" spans="1:4">
      <c r="A16" s="50">
        <v>10</v>
      </c>
      <c r="B16" s="51" t="s">
        <v>168</v>
      </c>
      <c r="C16" s="52"/>
      <c r="D16" s="49"/>
    </row>
    <row r="17" spans="1:4">
      <c r="A17" s="50">
        <v>11</v>
      </c>
      <c r="B17" s="51" t="s">
        <v>124</v>
      </c>
      <c r="C17" s="52"/>
      <c r="D17" s="49"/>
    </row>
    <row r="18" spans="1:4">
      <c r="A18" s="47">
        <v>12</v>
      </c>
      <c r="B18" s="51" t="s">
        <v>124</v>
      </c>
      <c r="C18" s="52"/>
      <c r="D18" s="49"/>
    </row>
    <row r="19" spans="1:4">
      <c r="A19" s="47">
        <v>13</v>
      </c>
      <c r="B19" s="51" t="s">
        <v>124</v>
      </c>
      <c r="C19" s="52"/>
      <c r="D19" s="49"/>
    </row>
    <row r="20" spans="1:4">
      <c r="A20" s="47">
        <v>14</v>
      </c>
      <c r="B20" s="51" t="s">
        <v>124</v>
      </c>
      <c r="C20" s="52"/>
      <c r="D20" s="49"/>
    </row>
    <row r="21" spans="1:4">
      <c r="A21" s="50">
        <v>15</v>
      </c>
      <c r="B21" s="51" t="s">
        <v>124</v>
      </c>
      <c r="C21" s="52"/>
      <c r="D21" s="49"/>
    </row>
    <row r="22" spans="1:4">
      <c r="A22" s="50">
        <v>16</v>
      </c>
      <c r="B22" t="s">
        <v>122</v>
      </c>
      <c r="D22" s="49"/>
    </row>
    <row r="23" spans="1:4">
      <c r="A23" s="50">
        <v>17</v>
      </c>
      <c r="B23" s="53" t="s">
        <v>120</v>
      </c>
      <c r="C23" s="53"/>
      <c r="D23" s="54">
        <f>SUM(D7:D22)</f>
        <v>0</v>
      </c>
    </row>
    <row r="25" spans="1:4">
      <c r="A25" s="47">
        <v>18</v>
      </c>
      <c r="B25" s="48" t="s">
        <v>84</v>
      </c>
      <c r="C25" s="45"/>
      <c r="D25" s="55">
        <f>IF(D5&gt;0,D23/D5,0)</f>
        <v>0</v>
      </c>
    </row>
    <row r="27" spans="1:4">
      <c r="A27" s="47">
        <v>19</v>
      </c>
      <c r="B27" s="48" t="s">
        <v>169</v>
      </c>
      <c r="C27" s="45"/>
      <c r="D27" s="54">
        <f>IF(D25&gt;0,D25/1924*12,0)</f>
        <v>0</v>
      </c>
    </row>
    <row r="28" spans="1:4">
      <c r="A28" s="293"/>
    </row>
    <row r="29" spans="1:4">
      <c r="A29" s="47">
        <v>20</v>
      </c>
      <c r="B29" s="48" t="s">
        <v>85</v>
      </c>
      <c r="C29" s="45"/>
      <c r="D29" s="55">
        <f>D$27*25%</f>
        <v>0</v>
      </c>
    </row>
    <row r="30" spans="1:4">
      <c r="A30" s="293"/>
      <c r="D30" s="56"/>
    </row>
    <row r="31" spans="1:4">
      <c r="A31" s="47">
        <v>21</v>
      </c>
      <c r="B31" s="48" t="s">
        <v>86</v>
      </c>
      <c r="C31" s="45"/>
      <c r="D31" s="55">
        <f>D$27*50%</f>
        <v>0</v>
      </c>
    </row>
    <row r="32" spans="1:4">
      <c r="A32" s="293"/>
      <c r="D32" s="56"/>
    </row>
    <row r="33" spans="1:4">
      <c r="A33" s="47">
        <v>22</v>
      </c>
      <c r="B33" s="48" t="s">
        <v>87</v>
      </c>
      <c r="C33" s="45"/>
      <c r="D33" s="55">
        <f>D$27</f>
        <v>0</v>
      </c>
    </row>
    <row r="35" spans="1:4">
      <c r="A35" s="47">
        <v>23</v>
      </c>
      <c r="B35" s="48" t="s">
        <v>88</v>
      </c>
      <c r="C35" s="45"/>
      <c r="D35" s="55">
        <f>SUM(D29:D33)</f>
        <v>0</v>
      </c>
    </row>
  </sheetData>
  <sheetProtection sheet="1" formatCells="0" formatColumns="0" formatRows="0"/>
  <mergeCells count="1">
    <mergeCell ref="B14:C14"/>
  </mergeCells>
  <pageMargins left="0.75" right="0.75" top="1" bottom="1" header="0.5" footer="0.5"/>
  <pageSetup paperSize="9" scale="84" orientation="portrait" horizontalDpi="4294967292" verticalDpi="429496729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I34" sqref="I34"/>
    </sheetView>
  </sheetViews>
  <sheetFormatPr baseColWidth="10" defaultRowHeight="16"/>
  <sheetData/>
  <sheetProtection sheet="1" objects="1" scenarios="1"/>
  <phoneticPr fontId="5" type="noConversion"/>
  <pageMargins left="0.7" right="0.7" top="0.75" bottom="0.75" header="0.3" footer="0.3"/>
  <pageSetup paperSize="9" orientation="portrait" horizontalDpi="0" verticalDpi="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H51"/>
  <sheetViews>
    <sheetView zoomScale="150" zoomScaleNormal="150" zoomScalePageLayoutView="150" workbookViewId="0">
      <selection activeCell="C18" sqref="C18"/>
    </sheetView>
  </sheetViews>
  <sheetFormatPr baseColWidth="10" defaultColWidth="11" defaultRowHeight="16"/>
  <cols>
    <col min="1" max="1" width="4.6640625" customWidth="1"/>
    <col min="2" max="2" width="34.33203125" customWidth="1"/>
    <col min="3" max="3" width="12.5" customWidth="1"/>
    <col min="4" max="4" width="14.6640625" bestFit="1" customWidth="1"/>
    <col min="5" max="5" width="11.1640625" customWidth="1"/>
  </cols>
  <sheetData>
    <row r="2" spans="2:8">
      <c r="B2" s="2" t="s">
        <v>1</v>
      </c>
      <c r="C2" s="1383" t="e">
        <f>_xlfn.SINGLE(Arbejdstidsoversigt!#REF!)</f>
        <v>#REF!</v>
      </c>
      <c r="D2" s="1384"/>
      <c r="E2" s="1385"/>
    </row>
    <row r="3" spans="2:8">
      <c r="B3" s="2" t="s">
        <v>2</v>
      </c>
      <c r="C3" s="1595" t="e">
        <f>_xlfn.SINGLE(Arbejdstidsoversigt!#REF!)</f>
        <v>#REF!</v>
      </c>
      <c r="D3" s="1595"/>
      <c r="E3" s="1595"/>
    </row>
    <row r="4" spans="2:8">
      <c r="B4" s="2" t="s">
        <v>3</v>
      </c>
      <c r="C4" s="1595" t="e">
        <f>Arbejdstidsoversigt!#REF!</f>
        <v>#REF!</v>
      </c>
      <c r="D4" s="1595"/>
      <c r="E4" s="1595"/>
    </row>
    <row r="5" spans="2:8" ht="34" customHeight="1">
      <c r="B5" s="1596" t="s">
        <v>23</v>
      </c>
      <c r="C5" s="1596"/>
      <c r="D5" s="1596"/>
      <c r="E5" s="1596"/>
    </row>
    <row r="6" spans="2:8" ht="15" customHeight="1">
      <c r="B6" s="3"/>
      <c r="C6" s="3"/>
      <c r="D6" s="3"/>
      <c r="E6" s="3"/>
    </row>
    <row r="7" spans="2:8" ht="21">
      <c r="B7" s="5" t="s">
        <v>0</v>
      </c>
    </row>
    <row r="8" spans="2:8" ht="31">
      <c r="B8" s="1599" t="s">
        <v>48</v>
      </c>
      <c r="C8" s="1600"/>
      <c r="D8" s="1600"/>
      <c r="E8" s="1600"/>
      <c r="F8" s="1600"/>
      <c r="G8" s="1600"/>
      <c r="H8" s="1601"/>
    </row>
    <row r="9" spans="2:8" ht="15" customHeight="1">
      <c r="B9" s="1602" t="s">
        <v>52</v>
      </c>
      <c r="C9" s="1603"/>
      <c r="D9" s="1603"/>
      <c r="E9" s="1603"/>
      <c r="F9" s="1603"/>
      <c r="G9" s="1603"/>
      <c r="H9" s="1604"/>
    </row>
    <row r="10" spans="2:8" ht="34">
      <c r="B10" s="25" t="s">
        <v>32</v>
      </c>
      <c r="C10" s="26" t="s">
        <v>33</v>
      </c>
      <c r="D10" s="27" t="s">
        <v>34</v>
      </c>
      <c r="E10" s="27" t="s">
        <v>35</v>
      </c>
      <c r="F10" s="27" t="s">
        <v>36</v>
      </c>
      <c r="G10" s="27" t="s">
        <v>37</v>
      </c>
      <c r="H10" s="27" t="s">
        <v>38</v>
      </c>
    </row>
    <row r="11" spans="2:8" ht="15" customHeight="1">
      <c r="B11" s="24">
        <v>1</v>
      </c>
      <c r="C11" s="28">
        <v>15</v>
      </c>
      <c r="D11" s="28" t="s">
        <v>43</v>
      </c>
      <c r="E11" s="30"/>
      <c r="F11" s="30" t="s">
        <v>43</v>
      </c>
      <c r="G11" s="30"/>
      <c r="H11" s="28" t="s">
        <v>43</v>
      </c>
    </row>
    <row r="12" spans="2:8" ht="15" customHeight="1">
      <c r="B12" s="24">
        <v>2</v>
      </c>
      <c r="C12" s="28">
        <v>60</v>
      </c>
      <c r="D12" s="28" t="s">
        <v>6</v>
      </c>
      <c r="E12" s="30" t="s">
        <v>5</v>
      </c>
      <c r="F12" s="30" t="s">
        <v>8</v>
      </c>
      <c r="G12" s="30" t="s">
        <v>41</v>
      </c>
      <c r="H12" s="30" t="s">
        <v>45</v>
      </c>
    </row>
    <row r="13" spans="2:8" ht="15" customHeight="1">
      <c r="B13" s="24">
        <v>3</v>
      </c>
      <c r="C13" s="28">
        <v>60</v>
      </c>
      <c r="D13" s="28" t="s">
        <v>39</v>
      </c>
      <c r="E13" s="30" t="s">
        <v>6</v>
      </c>
      <c r="F13" s="30" t="s">
        <v>5</v>
      </c>
      <c r="G13" s="30" t="s">
        <v>41</v>
      </c>
      <c r="H13" s="30" t="s">
        <v>7</v>
      </c>
    </row>
    <row r="14" spans="2:8" ht="15" customHeight="1">
      <c r="B14" s="24">
        <v>4</v>
      </c>
      <c r="C14" s="28">
        <v>60</v>
      </c>
      <c r="D14" s="28" t="s">
        <v>8</v>
      </c>
      <c r="E14" s="30" t="s">
        <v>6</v>
      </c>
      <c r="F14" s="30" t="s">
        <v>5</v>
      </c>
      <c r="G14" s="30" t="s">
        <v>5</v>
      </c>
      <c r="H14" s="30" t="s">
        <v>7</v>
      </c>
    </row>
    <row r="15" spans="2:8" ht="15" customHeight="1">
      <c r="B15" s="24">
        <v>5</v>
      </c>
      <c r="C15" s="28">
        <v>45</v>
      </c>
      <c r="D15" s="28"/>
      <c r="E15" s="30" t="s">
        <v>42</v>
      </c>
      <c r="F15" s="30" t="s">
        <v>44</v>
      </c>
      <c r="G15" s="30"/>
      <c r="H15" s="30" t="s">
        <v>5</v>
      </c>
    </row>
    <row r="16" spans="2:8" ht="15" customHeight="1">
      <c r="B16" s="31">
        <v>6</v>
      </c>
      <c r="C16" s="28">
        <v>45</v>
      </c>
      <c r="D16" s="30" t="s">
        <v>40</v>
      </c>
      <c r="E16" s="30" t="s">
        <v>42</v>
      </c>
      <c r="F16" s="30" t="s">
        <v>44</v>
      </c>
      <c r="G16" s="30"/>
      <c r="H16" s="28"/>
    </row>
    <row r="17" spans="1:8" ht="15" customHeight="1">
      <c r="B17" s="31">
        <v>7</v>
      </c>
      <c r="C17" s="28">
        <v>45</v>
      </c>
      <c r="D17" s="30" t="s">
        <v>40</v>
      </c>
      <c r="E17" s="30"/>
      <c r="F17" s="30"/>
      <c r="G17" s="30"/>
      <c r="H17" s="28"/>
    </row>
    <row r="18" spans="1:8" ht="15" customHeight="1">
      <c r="B18" s="31">
        <v>8</v>
      </c>
      <c r="C18" s="28">
        <v>45</v>
      </c>
      <c r="D18" s="30"/>
      <c r="E18" s="30"/>
      <c r="F18" s="30"/>
      <c r="G18" s="30"/>
      <c r="H18" s="29"/>
    </row>
    <row r="19" spans="1:8" ht="15" customHeight="1">
      <c r="B19" s="1605" t="s">
        <v>55</v>
      </c>
      <c r="C19" s="1606"/>
      <c r="D19" s="30">
        <v>38</v>
      </c>
      <c r="E19" s="30">
        <v>40</v>
      </c>
      <c r="F19" s="30">
        <v>39</v>
      </c>
      <c r="G19" s="30">
        <v>39</v>
      </c>
      <c r="H19" s="30">
        <v>38</v>
      </c>
    </row>
    <row r="20" spans="1:8" ht="15" customHeight="1">
      <c r="B20" s="955" t="s">
        <v>57</v>
      </c>
      <c r="C20" s="957"/>
      <c r="D20" s="27" t="e">
        <f>(IF(D11&lt;&gt;0,D19*$C$24)+IF(D12&lt;&gt;0,$C$25*D19)+IF(D13&lt;&gt;0,D19*$C$26)+IF(D14&lt;&gt;0,D19*$C$27)+IF(D15&lt;&gt;0,D19*$C$28)+IF(D16&lt;&gt;0,D19*$C$29)+IF(D17&lt;&gt;0,D19*$C$30)+IF(D18&lt;&gt;0,D19*$C$31))/60</f>
        <v>#VALUE!</v>
      </c>
      <c r="E20" s="27" t="e">
        <f>(IF(E11&lt;&gt;0,E19*$C$24)+IF(E12&lt;&gt;0,$C$25*E19)+IF(E13&lt;&gt;0,E19*$C$26)+IF(E14&lt;&gt;0,E19*$C$27)+IF(E15&lt;&gt;0,E19*$C$28)+IF(E16&lt;&gt;0,E19*$C$29)+IF(E17&lt;&gt;0,E19*$C$30)+IF(E18&lt;&gt;0,E19*$C$31))/60</f>
        <v>#VALUE!</v>
      </c>
      <c r="F20" s="27" t="e">
        <f>(IF(F11&lt;&gt;0,F19*$C$24)+IF(F12&lt;&gt;0,$C$25*F19)+IF(F13&lt;&gt;0,F19*$C$26)+IF(F14&lt;&gt;0,F19*$C$27)+IF(F15&lt;&gt;0,F19*$C$28)+IF(F16&lt;&gt;0,F19*$C$29)+IF(F17&lt;&gt;0,F19*$C$30)+IF(F18&lt;&gt;0,F19*$C$31))/60</f>
        <v>#VALUE!</v>
      </c>
      <c r="G20" s="27" t="e">
        <f>(IF(G11&lt;&gt;0,G19*$C$24)+IF(G12&lt;&gt;0,$C$25*G19)+IF(G13&lt;&gt;0,G19*$C$26)+IF(G14&lt;&gt;0,G19*$C$27)+IF(G15&lt;&gt;0,G19*$C$28)+IF(G16&lt;&gt;0,G19*$C$29)+IF(G17&lt;&gt;0,G19*$C$30)+IF(G18&lt;&gt;0,G19*$C$31))/60</f>
        <v>#VALUE!</v>
      </c>
      <c r="H20" s="27" t="e">
        <f>(IF(H11&lt;&gt;0,H19*$C$24)+IF(H12&lt;&gt;0,$C$25*H19)+IF(H13&lt;&gt;0,H19*$C$26)+IF(H14&lt;&gt;0,H19*$C$27)+IF(H15&lt;&gt;0,H19*$C$28)+IF(H16&lt;&gt;0,H19*$C$29)+IF(H17&lt;&gt;0,H19*$C$30)+IF(H18&lt;&gt;0,H19*$C$31))/60</f>
        <v>#VALUE!</v>
      </c>
    </row>
    <row r="21" spans="1:8" ht="15" customHeight="1">
      <c r="B21" s="1607" t="s">
        <v>54</v>
      </c>
      <c r="C21" s="971" t="s">
        <v>46</v>
      </c>
      <c r="D21" s="972"/>
      <c r="E21" s="972"/>
      <c r="F21" s="972"/>
      <c r="G21" s="1587"/>
      <c r="H21" s="27" t="e">
        <f>SUM(D20:H20)</f>
        <v>#VALUE!</v>
      </c>
    </row>
    <row r="22" spans="1:8" ht="15" customHeight="1">
      <c r="B22" s="1608"/>
      <c r="C22" s="1584" t="s">
        <v>49</v>
      </c>
      <c r="D22" s="1585"/>
      <c r="E22" s="1585"/>
      <c r="F22" s="1585"/>
      <c r="G22" s="1586"/>
      <c r="H22" s="30">
        <v>32</v>
      </c>
    </row>
    <row r="23" spans="1:8" ht="15" customHeight="1">
      <c r="B23" s="1608"/>
      <c r="C23" s="1584" t="s">
        <v>50</v>
      </c>
      <c r="D23" s="1585"/>
      <c r="E23" s="1585"/>
      <c r="F23" s="1585"/>
      <c r="G23" s="1586"/>
      <c r="H23" s="30">
        <v>12</v>
      </c>
    </row>
    <row r="24" spans="1:8" ht="15" customHeight="1">
      <c r="A24" s="1594"/>
      <c r="B24" s="1608"/>
      <c r="C24" s="1584" t="s">
        <v>51</v>
      </c>
      <c r="D24" s="1585"/>
      <c r="E24" s="1585"/>
      <c r="F24" s="1585"/>
      <c r="G24" s="1586"/>
      <c r="H24" s="30">
        <v>65</v>
      </c>
    </row>
    <row r="25" spans="1:8" ht="15" customHeight="1">
      <c r="A25" s="1594"/>
      <c r="B25" s="1609"/>
      <c r="C25" s="971" t="s">
        <v>47</v>
      </c>
      <c r="D25" s="972"/>
      <c r="E25" s="972"/>
      <c r="F25" s="972"/>
      <c r="G25" s="1587"/>
      <c r="H25" s="27" t="e">
        <f>SUM(H21:H24)</f>
        <v>#VALUE!</v>
      </c>
    </row>
    <row r="26" spans="1:8">
      <c r="A26" s="1594"/>
      <c r="B26" s="14" t="s">
        <v>12</v>
      </c>
      <c r="C26" s="15">
        <v>5</v>
      </c>
      <c r="D26" s="15">
        <v>8</v>
      </c>
      <c r="E26" s="18">
        <f>D26*C26</f>
        <v>40</v>
      </c>
    </row>
    <row r="27" spans="1:8" ht="17" thickBot="1">
      <c r="A27" s="1594"/>
      <c r="B27" s="20"/>
      <c r="C27" s="21"/>
      <c r="D27" s="21"/>
      <c r="E27" s="22"/>
    </row>
    <row r="28" spans="1:8" ht="17" thickBot="1">
      <c r="A28" s="1594"/>
    </row>
    <row r="29" spans="1:8" ht="17" thickBot="1">
      <c r="B29" s="10" t="s">
        <v>11</v>
      </c>
      <c r="C29" s="11" t="s">
        <v>10</v>
      </c>
      <c r="D29" s="11" t="s">
        <v>13</v>
      </c>
      <c r="E29" s="12" t="s">
        <v>14</v>
      </c>
    </row>
    <row r="30" spans="1:8">
      <c r="B30" s="14" t="s">
        <v>22</v>
      </c>
      <c r="C30" s="15">
        <v>1</v>
      </c>
      <c r="D30" s="15">
        <v>7</v>
      </c>
      <c r="E30" s="18">
        <f>D30*C30</f>
        <v>7</v>
      </c>
    </row>
    <row r="31" spans="1:8">
      <c r="B31" s="16" t="s">
        <v>17</v>
      </c>
      <c r="C31" s="17">
        <v>1</v>
      </c>
      <c r="D31" s="17">
        <v>8</v>
      </c>
      <c r="E31" s="18">
        <f>D31*C31</f>
        <v>8</v>
      </c>
    </row>
    <row r="32" spans="1:8" ht="17" thickBot="1">
      <c r="B32" s="20"/>
      <c r="C32" s="21"/>
      <c r="D32" s="21"/>
      <c r="E32" s="23">
        <f>D32*C32</f>
        <v>0</v>
      </c>
    </row>
    <row r="33" spans="1:5" ht="17" thickBot="1">
      <c r="B33" s="7" t="s">
        <v>20</v>
      </c>
      <c r="C33" s="8"/>
      <c r="D33" s="8"/>
      <c r="E33" s="9" t="e">
        <f>SUM(E10:E32)</f>
        <v>#VALUE!</v>
      </c>
    </row>
    <row r="35" spans="1:5" ht="22" thickBot="1">
      <c r="A35" s="1594"/>
      <c r="B35" s="6" t="s">
        <v>15</v>
      </c>
    </row>
    <row r="36" spans="1:5" ht="17" thickBot="1">
      <c r="A36" s="1594"/>
      <c r="B36" s="1592" t="s">
        <v>15</v>
      </c>
      <c r="C36" s="1593"/>
      <c r="D36" s="12" t="s">
        <v>19</v>
      </c>
    </row>
    <row r="37" spans="1:5">
      <c r="A37" s="1594"/>
      <c r="B37" s="1597" t="s">
        <v>16</v>
      </c>
      <c r="C37" s="1598"/>
      <c r="D37" s="18"/>
      <c r="E37" s="4"/>
    </row>
    <row r="38" spans="1:5">
      <c r="A38" s="1594"/>
      <c r="B38" s="1588" t="s">
        <v>18</v>
      </c>
      <c r="C38" s="1589"/>
      <c r="D38" s="19"/>
      <c r="E38" s="4"/>
    </row>
    <row r="39" spans="1:5">
      <c r="B39" s="1588" t="s">
        <v>21</v>
      </c>
      <c r="C39" s="1589"/>
      <c r="D39" s="19"/>
      <c r="E39" s="4"/>
    </row>
    <row r="40" spans="1:5">
      <c r="B40" s="1588"/>
      <c r="C40" s="1589"/>
      <c r="D40" s="19"/>
      <c r="E40" s="4"/>
    </row>
    <row r="41" spans="1:5">
      <c r="B41" s="1588"/>
      <c r="C41" s="1589"/>
      <c r="D41" s="19"/>
      <c r="E41" s="4"/>
    </row>
    <row r="42" spans="1:5">
      <c r="B42" s="1588"/>
      <c r="C42" s="1589"/>
      <c r="D42" s="19"/>
      <c r="E42" s="4"/>
    </row>
    <row r="43" spans="1:5">
      <c r="B43" s="1588"/>
      <c r="C43" s="1589"/>
      <c r="D43" s="19"/>
      <c r="E43" s="4"/>
    </row>
    <row r="44" spans="1:5">
      <c r="B44" s="1588"/>
      <c r="C44" s="1589"/>
      <c r="D44" s="19"/>
      <c r="E44" s="4"/>
    </row>
    <row r="45" spans="1:5">
      <c r="B45" s="1588"/>
      <c r="C45" s="1589"/>
      <c r="D45" s="19"/>
      <c r="E45" s="4"/>
    </row>
    <row r="46" spans="1:5">
      <c r="B46" s="1588"/>
      <c r="C46" s="1589"/>
      <c r="D46" s="19"/>
      <c r="E46" s="4"/>
    </row>
    <row r="47" spans="1:5">
      <c r="B47" s="1588"/>
      <c r="C47" s="1589"/>
      <c r="D47" s="19"/>
      <c r="E47" s="4"/>
    </row>
    <row r="48" spans="1:5">
      <c r="B48" s="1588"/>
      <c r="C48" s="1589"/>
      <c r="D48" s="19"/>
      <c r="E48" s="4"/>
    </row>
    <row r="49" spans="2:5">
      <c r="B49" s="1588"/>
      <c r="C49" s="1589"/>
      <c r="D49" s="19"/>
      <c r="E49" s="4"/>
    </row>
    <row r="50" spans="2:5">
      <c r="B50" s="1588"/>
      <c r="C50" s="1589"/>
      <c r="D50" s="19"/>
      <c r="E50" s="4"/>
    </row>
    <row r="51" spans="2:5" ht="17" thickBot="1">
      <c r="B51" s="1590"/>
      <c r="C51" s="1591"/>
      <c r="D51" s="22"/>
      <c r="E51" s="4"/>
    </row>
  </sheetData>
  <mergeCells count="32">
    <mergeCell ref="A24:A28"/>
    <mergeCell ref="A35:A38"/>
    <mergeCell ref="C2:E2"/>
    <mergeCell ref="C3:E3"/>
    <mergeCell ref="C4:E4"/>
    <mergeCell ref="B5:E5"/>
    <mergeCell ref="B37:C37"/>
    <mergeCell ref="B38:C38"/>
    <mergeCell ref="B8:H8"/>
    <mergeCell ref="B9:H9"/>
    <mergeCell ref="B19:C19"/>
    <mergeCell ref="B20:C20"/>
    <mergeCell ref="B21:B25"/>
    <mergeCell ref="C21:G21"/>
    <mergeCell ref="C22:G22"/>
    <mergeCell ref="C23:G23"/>
    <mergeCell ref="C24:G24"/>
    <mergeCell ref="C25:G25"/>
    <mergeCell ref="B49:C49"/>
    <mergeCell ref="B50:C50"/>
    <mergeCell ref="B51:C51"/>
    <mergeCell ref="B36:C36"/>
    <mergeCell ref="B44:C44"/>
    <mergeCell ref="B45:C45"/>
    <mergeCell ref="B46:C46"/>
    <mergeCell ref="B47:C47"/>
    <mergeCell ref="B48:C48"/>
    <mergeCell ref="B39:C39"/>
    <mergeCell ref="B40:C40"/>
    <mergeCell ref="B41:C41"/>
    <mergeCell ref="B42:C42"/>
    <mergeCell ref="B43:C43"/>
  </mergeCells>
  <phoneticPr fontId="5" type="noConversion"/>
  <pageMargins left="0.75" right="0.75" top="1" bottom="1" header="0.5" footer="0.5"/>
  <pageSetup paperSize="9" scale="85" orientation="portrait" horizontalDpi="4294967292" verticalDpi="4294967292"/>
  <rowBreaks count="2" manualBreakCount="2">
    <brk id="51" max="16383" man="1"/>
    <brk id="52" max="16383" man="1"/>
  </rowBreaks>
  <colBreaks count="1" manualBreakCount="1">
    <brk id="6"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baseColWidth="10" defaultColWidth="11" defaultRowHeight="16"/>
  <sheetData/>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pageSetUpPr fitToPage="1"/>
  </sheetPr>
  <dimension ref="A1:AV42"/>
  <sheetViews>
    <sheetView showZeros="0" view="pageLayout" zoomScale="125" zoomScalePageLayoutView="125" workbookViewId="0">
      <selection activeCell="G12" sqref="G12"/>
    </sheetView>
  </sheetViews>
  <sheetFormatPr baseColWidth="10" defaultRowHeight="12"/>
  <cols>
    <col min="1" max="1" width="3" style="60" customWidth="1"/>
    <col min="2" max="2" width="3.33203125" style="60" customWidth="1"/>
    <col min="3" max="3" width="12.1640625" style="60" customWidth="1"/>
    <col min="4" max="5" width="3" style="60" customWidth="1"/>
    <col min="6" max="6" width="3.33203125" style="60" customWidth="1"/>
    <col min="7" max="7" width="12.83203125" style="60" customWidth="1"/>
    <col min="8" max="8" width="2.5" style="60" customWidth="1"/>
    <col min="9" max="9" width="3" style="60" customWidth="1"/>
    <col min="10" max="10" width="3.33203125" style="60" customWidth="1"/>
    <col min="11" max="11" width="12.1640625" style="60" customWidth="1"/>
    <col min="12" max="12" width="2.5" style="60" customWidth="1"/>
    <col min="13" max="13" width="3" style="60" customWidth="1"/>
    <col min="14" max="14" width="3.33203125" style="60" customWidth="1"/>
    <col min="15" max="15" width="12.1640625" style="60" customWidth="1"/>
    <col min="16" max="16" width="2.5" style="60" customWidth="1"/>
    <col min="17" max="17" width="3" style="60" customWidth="1"/>
    <col min="18" max="18" width="3.33203125" style="60" customWidth="1"/>
    <col min="19" max="19" width="12.1640625" style="60" customWidth="1"/>
    <col min="20" max="20" width="2.5" style="60" customWidth="1"/>
    <col min="21" max="21" width="3" style="60" customWidth="1"/>
    <col min="22" max="22" width="3.33203125" style="60" customWidth="1"/>
    <col min="23" max="23" width="12.1640625" style="60" customWidth="1"/>
    <col min="24" max="24" width="2.5" style="60" customWidth="1"/>
    <col min="25" max="25" width="3" style="60" customWidth="1"/>
    <col min="26" max="26" width="3.33203125" style="60" customWidth="1"/>
    <col min="27" max="27" width="12.1640625" style="60" customWidth="1"/>
    <col min="28" max="28" width="2.5" style="60" customWidth="1"/>
    <col min="29" max="29" width="3" style="60" customWidth="1"/>
    <col min="30" max="30" width="3.33203125" style="60" customWidth="1"/>
    <col min="31" max="31" width="12.1640625" style="60" customWidth="1"/>
    <col min="32" max="32" width="2.5" style="60" customWidth="1"/>
    <col min="33" max="33" width="3" style="60" customWidth="1"/>
    <col min="34" max="34" width="3.33203125" style="60" customWidth="1"/>
    <col min="35" max="35" width="12.1640625" style="60" customWidth="1"/>
    <col min="36" max="36" width="2.5" style="60" customWidth="1"/>
    <col min="37" max="37" width="3" style="60" customWidth="1"/>
    <col min="38" max="38" width="3.33203125" style="60" customWidth="1"/>
    <col min="39" max="39" width="12.1640625" style="60" customWidth="1"/>
    <col min="40" max="40" width="2.5" style="60" customWidth="1"/>
    <col min="41" max="41" width="3" style="60" customWidth="1"/>
    <col min="42" max="42" width="3.33203125" style="60" customWidth="1"/>
    <col min="43" max="43" width="12.1640625" style="60" customWidth="1"/>
    <col min="44" max="44" width="2.5" style="60" customWidth="1"/>
    <col min="45" max="45" width="3" style="60" customWidth="1"/>
    <col min="46" max="46" width="3.6640625" style="60" customWidth="1"/>
    <col min="47" max="47" width="12.1640625" style="60" customWidth="1"/>
    <col min="48" max="48" width="4.33203125" style="60" customWidth="1"/>
    <col min="49" max="16384" width="10.83203125" style="60"/>
  </cols>
  <sheetData>
    <row r="1" spans="1:48" ht="30" customHeight="1" thickBot="1">
      <c r="A1" s="105" t="str">
        <f>"ÅRSKALENDER  for  "&amp;Stamoplysninger!E13&amp;" vedr. skoleåret "&amp;Stamoplysninger!F11&amp;""</f>
        <v>ÅRSKALENDER  for  Beate Simonsen vedr. skoleåret 2026-2027</v>
      </c>
      <c r="B1" s="103"/>
      <c r="C1" s="102"/>
      <c r="D1" s="104"/>
      <c r="E1" s="102"/>
      <c r="F1" s="103"/>
      <c r="G1" s="102"/>
      <c r="H1" s="104"/>
      <c r="I1" s="102"/>
      <c r="J1" s="103"/>
      <c r="K1" s="102"/>
      <c r="L1" s="104"/>
      <c r="M1" s="102"/>
      <c r="N1" s="103"/>
      <c r="O1" s="102"/>
      <c r="P1" s="104"/>
      <c r="Q1" s="102"/>
      <c r="R1" s="103"/>
      <c r="S1" s="102"/>
      <c r="T1" s="104"/>
      <c r="U1" s="102"/>
      <c r="V1" s="103"/>
      <c r="W1" s="102"/>
      <c r="X1" s="104"/>
      <c r="Y1" s="102"/>
      <c r="Z1" s="103"/>
      <c r="AA1" s="102"/>
      <c r="AB1" s="104"/>
      <c r="AC1" s="102"/>
      <c r="AD1" s="103"/>
      <c r="AE1" s="102"/>
      <c r="AF1" s="104"/>
      <c r="AG1" s="102"/>
      <c r="AH1" s="103"/>
      <c r="AI1" s="102"/>
      <c r="AJ1" s="104"/>
      <c r="AK1" s="102"/>
      <c r="AL1" s="103"/>
      <c r="AM1" s="102"/>
      <c r="AN1" s="104"/>
      <c r="AO1" s="102"/>
      <c r="AP1" s="103"/>
      <c r="AQ1" s="102"/>
      <c r="AR1" s="104"/>
      <c r="AS1" s="102"/>
      <c r="AT1" s="103"/>
      <c r="AU1" s="102"/>
      <c r="AV1" s="101"/>
    </row>
    <row r="2" spans="1:48" ht="24" customHeight="1">
      <c r="A2" s="542" t="s">
        <v>90</v>
      </c>
      <c r="B2" s="543"/>
      <c r="C2" s="544"/>
      <c r="D2" s="545"/>
      <c r="E2" s="541" t="s">
        <v>91</v>
      </c>
      <c r="F2" s="98"/>
      <c r="G2" s="97"/>
      <c r="H2" s="96"/>
      <c r="I2" s="100" t="s">
        <v>92</v>
      </c>
      <c r="J2" s="98"/>
      <c r="K2" s="97"/>
      <c r="L2" s="96"/>
      <c r="M2" s="99" t="s">
        <v>93</v>
      </c>
      <c r="N2" s="98"/>
      <c r="O2" s="97"/>
      <c r="P2" s="96"/>
      <c r="Q2" s="99" t="s">
        <v>94</v>
      </c>
      <c r="R2" s="98"/>
      <c r="S2" s="97"/>
      <c r="T2" s="96"/>
      <c r="U2" s="99" t="s">
        <v>95</v>
      </c>
      <c r="V2" s="98"/>
      <c r="W2" s="97"/>
      <c r="X2" s="96"/>
      <c r="Y2" s="100" t="s">
        <v>98</v>
      </c>
      <c r="Z2" s="98"/>
      <c r="AA2" s="97"/>
      <c r="AB2" s="96"/>
      <c r="AC2" s="99" t="s">
        <v>99</v>
      </c>
      <c r="AD2" s="98"/>
      <c r="AE2" s="97"/>
      <c r="AF2" s="96"/>
      <c r="AG2" s="99" t="s">
        <v>100</v>
      </c>
      <c r="AH2" s="98"/>
      <c r="AI2" s="97"/>
      <c r="AJ2" s="96"/>
      <c r="AK2" s="99" t="s">
        <v>101</v>
      </c>
      <c r="AL2" s="98"/>
      <c r="AM2" s="97"/>
      <c r="AN2" s="96"/>
      <c r="AO2" s="99" t="s">
        <v>102</v>
      </c>
      <c r="AP2" s="98"/>
      <c r="AQ2" s="97"/>
      <c r="AR2" s="96"/>
      <c r="AS2" s="99" t="s">
        <v>103</v>
      </c>
      <c r="AT2" s="98"/>
      <c r="AU2" s="97"/>
      <c r="AV2" s="96"/>
    </row>
    <row r="3" spans="1:48" ht="24" customHeight="1">
      <c r="A3" s="546">
        <f>August!A15</f>
        <v>1</v>
      </c>
      <c r="B3" s="547" t="str">
        <f>August!B15</f>
        <v>lø</v>
      </c>
      <c r="C3" s="121" t="str">
        <f>August!C15</f>
        <v>Weekend</v>
      </c>
      <c r="D3" s="124" t="str">
        <f>August!D15</f>
        <v/>
      </c>
      <c r="E3" s="546">
        <f>September!A14</f>
        <v>1</v>
      </c>
      <c r="F3" s="547" t="str">
        <f>September!B14</f>
        <v>ti</v>
      </c>
      <c r="G3" s="121" t="str">
        <f>September!C14</f>
        <v>Skema 1</v>
      </c>
      <c r="H3" s="124" t="str">
        <f>September!D14</f>
        <v/>
      </c>
      <c r="I3" s="546">
        <f>Oktober!A14</f>
        <v>1</v>
      </c>
      <c r="J3" s="547" t="str">
        <f>Oktober!B14</f>
        <v>to</v>
      </c>
      <c r="K3" s="121" t="str">
        <f>Oktober!C14</f>
        <v>Skema 1</v>
      </c>
      <c r="L3" s="124" t="str">
        <f>Oktober!D14</f>
        <v/>
      </c>
      <c r="M3" s="546">
        <f>November!A14</f>
        <v>1</v>
      </c>
      <c r="N3" s="547" t="str">
        <f>November!B14</f>
        <v>sø</v>
      </c>
      <c r="O3" s="121" t="str">
        <f>November!C14</f>
        <v>Weekend</v>
      </c>
      <c r="P3" s="124" t="str">
        <f>November!D14</f>
        <v/>
      </c>
      <c r="Q3" s="546">
        <f>December!A14</f>
        <v>1</v>
      </c>
      <c r="R3" s="547" t="str">
        <f>December!B14</f>
        <v>ti</v>
      </c>
      <c r="S3" s="121" t="str">
        <f>December!C14</f>
        <v>Emnedag</v>
      </c>
      <c r="T3" s="124" t="str">
        <f>December!D14</f>
        <v/>
      </c>
      <c r="U3" s="61">
        <f>Januar!A14</f>
        <v>1</v>
      </c>
      <c r="V3" s="61" t="str">
        <f>Januar!B14</f>
        <v>fr</v>
      </c>
      <c r="W3" s="121" t="str">
        <f>Januar!C14</f>
        <v>SH-dag</v>
      </c>
      <c r="X3" s="123" t="str">
        <f>Januar!D14</f>
        <v/>
      </c>
      <c r="Y3" s="546">
        <f>Februar!A14</f>
        <v>1</v>
      </c>
      <c r="Z3" s="547" t="str">
        <f>Februar!B14</f>
        <v>ma</v>
      </c>
      <c r="AA3" s="121" t="str">
        <f>Februar!C14</f>
        <v>Skema 1</v>
      </c>
      <c r="AB3" s="124">
        <f>Februar!D14</f>
        <v>5.4285714285714288</v>
      </c>
      <c r="AC3" s="61">
        <f>Marts!A14</f>
        <v>1</v>
      </c>
      <c r="AD3" s="61" t="str">
        <f>Marts!B14</f>
        <v>ma</v>
      </c>
      <c r="AE3" s="121" t="str">
        <f>Marts!C14</f>
        <v>Skema 1</v>
      </c>
      <c r="AF3" s="123">
        <f>Marts!D14</f>
        <v>9.4285714285714288</v>
      </c>
      <c r="AG3" s="546">
        <f>April!A14</f>
        <v>1</v>
      </c>
      <c r="AH3" s="547" t="str">
        <f>April!B14</f>
        <v>to</v>
      </c>
      <c r="AI3" s="121" t="str">
        <f>April!C14</f>
        <v>Skema 1</v>
      </c>
      <c r="AJ3" s="124" t="str">
        <f>April!D14</f>
        <v/>
      </c>
      <c r="AK3" s="554">
        <f>Maj!A14</f>
        <v>1</v>
      </c>
      <c r="AL3" s="459" t="str">
        <f>Maj!B14</f>
        <v>lø</v>
      </c>
      <c r="AM3" s="121" t="str">
        <f>Maj!C14</f>
        <v>Weekend</v>
      </c>
      <c r="AN3" s="555" t="str">
        <f>Maj!D14</f>
        <v/>
      </c>
      <c r="AO3" s="554">
        <f>Juni!A14</f>
        <v>1</v>
      </c>
      <c r="AP3" s="459" t="str">
        <f>Juni!B14</f>
        <v>ti</v>
      </c>
      <c r="AQ3" s="121" t="str">
        <f>Juni!C14</f>
        <v>Skema 1</v>
      </c>
      <c r="AR3" s="555" t="str">
        <f>Juni!D14</f>
        <v/>
      </c>
      <c r="AS3" s="554">
        <f>Juli!A14</f>
        <v>1</v>
      </c>
      <c r="AT3" s="459" t="str">
        <f>Juli!B14</f>
        <v>to</v>
      </c>
      <c r="AU3" s="121" t="str">
        <f>Juli!C14</f>
        <v>Nul-dag</v>
      </c>
      <c r="AV3" s="555" t="str">
        <f>Juli!D14</f>
        <v/>
      </c>
    </row>
    <row r="4" spans="1:48" ht="24" customHeight="1">
      <c r="A4" s="548">
        <f>August!A16</f>
        <v>2</v>
      </c>
      <c r="B4" s="61" t="str">
        <f>August!B16</f>
        <v>sø</v>
      </c>
      <c r="C4" s="122" t="str">
        <f>August!C16</f>
        <v>Weekend</v>
      </c>
      <c r="D4" s="549" t="str">
        <f>August!D16</f>
        <v/>
      </c>
      <c r="E4" s="548">
        <f>September!A15</f>
        <v>2</v>
      </c>
      <c r="F4" s="61" t="str">
        <f>September!B15</f>
        <v>on</v>
      </c>
      <c r="G4" s="122" t="str">
        <f>September!C15</f>
        <v>Skema 1</v>
      </c>
      <c r="H4" s="549" t="str">
        <f>September!D15</f>
        <v/>
      </c>
      <c r="I4" s="548">
        <f>Oktober!A15</f>
        <v>2</v>
      </c>
      <c r="J4" s="61" t="str">
        <f>Oktober!B15</f>
        <v>fr</v>
      </c>
      <c r="K4" s="122" t="str">
        <f>Oktober!C15</f>
        <v>Skema 1</v>
      </c>
      <c r="L4" s="549" t="str">
        <f>Oktober!D15</f>
        <v/>
      </c>
      <c r="M4" s="548">
        <f>November!A15</f>
        <v>2</v>
      </c>
      <c r="N4" s="61" t="str">
        <f>November!B15</f>
        <v>ma</v>
      </c>
      <c r="O4" s="122" t="str">
        <f>November!C15</f>
        <v>Skema 1</v>
      </c>
      <c r="P4" s="549">
        <f>November!D15</f>
        <v>44.571428571428569</v>
      </c>
      <c r="Q4" s="548">
        <f>December!A15</f>
        <v>2</v>
      </c>
      <c r="R4" s="61" t="str">
        <f>December!B15</f>
        <v>on</v>
      </c>
      <c r="S4" s="122" t="str">
        <f>December!C15</f>
        <v>Skema 1</v>
      </c>
      <c r="T4" s="549" t="str">
        <f>December!D15</f>
        <v/>
      </c>
      <c r="U4" s="61">
        <f>Januar!A15</f>
        <v>2</v>
      </c>
      <c r="V4" s="61" t="str">
        <f>Januar!B15</f>
        <v>lø</v>
      </c>
      <c r="W4" s="122" t="str">
        <f>Januar!C15</f>
        <v>Weekend</v>
      </c>
      <c r="X4" s="123" t="str">
        <f>Januar!D15</f>
        <v/>
      </c>
      <c r="Y4" s="548">
        <f>Februar!A15</f>
        <v>2</v>
      </c>
      <c r="Z4" s="61" t="str">
        <f>Februar!B15</f>
        <v>ti</v>
      </c>
      <c r="AA4" s="122" t="str">
        <f>Februar!C15</f>
        <v>Skema 1</v>
      </c>
      <c r="AB4" s="549" t="str">
        <f>Februar!D15</f>
        <v/>
      </c>
      <c r="AC4" s="61">
        <f>Marts!A15</f>
        <v>2</v>
      </c>
      <c r="AD4" s="61" t="str">
        <f>Marts!B15</f>
        <v>ti</v>
      </c>
      <c r="AE4" s="122" t="str">
        <f>Marts!C15</f>
        <v>Fagdag</v>
      </c>
      <c r="AF4" s="123" t="str">
        <f>Marts!D15</f>
        <v/>
      </c>
      <c r="AG4" s="548">
        <f>April!A15</f>
        <v>2</v>
      </c>
      <c r="AH4" s="61" t="str">
        <f>April!B15</f>
        <v>fr</v>
      </c>
      <c r="AI4" s="122" t="str">
        <f>April!C15</f>
        <v>Skema 1</v>
      </c>
      <c r="AJ4" s="549" t="str">
        <f>April!D15</f>
        <v/>
      </c>
      <c r="AK4" s="556">
        <f>Maj!A15</f>
        <v>2</v>
      </c>
      <c r="AL4" s="557" t="str">
        <f>Maj!B15</f>
        <v>sø</v>
      </c>
      <c r="AM4" s="122" t="str">
        <f>Maj!C15</f>
        <v>Weekend</v>
      </c>
      <c r="AN4" s="558" t="str">
        <f>Maj!D15</f>
        <v/>
      </c>
      <c r="AO4" s="556">
        <f>Juni!A15</f>
        <v>2</v>
      </c>
      <c r="AP4" s="557" t="str">
        <f>Juni!B15</f>
        <v>on</v>
      </c>
      <c r="AQ4" s="122" t="str">
        <f>Juni!C15</f>
        <v>Skema 1</v>
      </c>
      <c r="AR4" s="558" t="str">
        <f>Juni!D15</f>
        <v/>
      </c>
      <c r="AS4" s="556">
        <f>Juli!A15</f>
        <v>2</v>
      </c>
      <c r="AT4" s="557" t="str">
        <f>Juli!B15</f>
        <v>fr</v>
      </c>
      <c r="AU4" s="122" t="str">
        <f>Juli!C15</f>
        <v>Nul-dag</v>
      </c>
      <c r="AV4" s="558" t="str">
        <f>Juli!D15</f>
        <v/>
      </c>
    </row>
    <row r="5" spans="1:48" ht="24" customHeight="1">
      <c r="A5" s="548">
        <f>August!A17</f>
        <v>3</v>
      </c>
      <c r="B5" s="61" t="str">
        <f>August!B17</f>
        <v>ma</v>
      </c>
      <c r="C5" s="122" t="str">
        <f>August!C17</f>
        <v>Feriedag</v>
      </c>
      <c r="D5" s="549">
        <f>August!D17</f>
        <v>31.571428571428573</v>
      </c>
      <c r="E5" s="548">
        <f>September!A16</f>
        <v>3</v>
      </c>
      <c r="F5" s="61" t="str">
        <f>September!B16</f>
        <v>to</v>
      </c>
      <c r="G5" s="122" t="str">
        <f>September!C16</f>
        <v>Skema 1</v>
      </c>
      <c r="H5" s="549" t="str">
        <f>September!D16</f>
        <v/>
      </c>
      <c r="I5" s="548">
        <f>Oktober!A16</f>
        <v>3</v>
      </c>
      <c r="J5" s="61" t="str">
        <f>Oktober!B16</f>
        <v>lø</v>
      </c>
      <c r="K5" s="122" t="str">
        <f>Oktober!C16</f>
        <v>Weekend</v>
      </c>
      <c r="L5" s="549" t="str">
        <f>Oktober!D16</f>
        <v/>
      </c>
      <c r="M5" s="548">
        <f>November!A16</f>
        <v>3</v>
      </c>
      <c r="N5" s="61" t="str">
        <f>November!B16</f>
        <v>ti</v>
      </c>
      <c r="O5" s="122" t="str">
        <f>November!C16</f>
        <v>Fagdag</v>
      </c>
      <c r="P5" s="549" t="str">
        <f>November!D16</f>
        <v/>
      </c>
      <c r="Q5" s="548">
        <f>December!A16</f>
        <v>3</v>
      </c>
      <c r="R5" s="61" t="str">
        <f>December!B16</f>
        <v>to</v>
      </c>
      <c r="S5" s="122" t="str">
        <f>December!C16</f>
        <v>Skema 1</v>
      </c>
      <c r="T5" s="549" t="str">
        <f>December!D16</f>
        <v/>
      </c>
      <c r="U5" s="61">
        <f>Januar!A16</f>
        <v>3</v>
      </c>
      <c r="V5" s="61" t="str">
        <f>Januar!B16</f>
        <v>sø</v>
      </c>
      <c r="W5" s="122" t="str">
        <f>Januar!C16</f>
        <v>Weekend</v>
      </c>
      <c r="X5" s="123" t="str">
        <f>Januar!D16</f>
        <v/>
      </c>
      <c r="Y5" s="548">
        <f>Februar!A16</f>
        <v>3</v>
      </c>
      <c r="Z5" s="61" t="str">
        <f>Februar!B16</f>
        <v>on</v>
      </c>
      <c r="AA5" s="122" t="str">
        <f>Februar!C16</f>
        <v>Skema 1</v>
      </c>
      <c r="AB5" s="549" t="str">
        <f>Februar!D16</f>
        <v/>
      </c>
      <c r="AC5" s="61">
        <f>Marts!A16</f>
        <v>3</v>
      </c>
      <c r="AD5" s="61" t="str">
        <f>Marts!B16</f>
        <v>on</v>
      </c>
      <c r="AE5" s="122" t="str">
        <f>Marts!C16</f>
        <v>Skema 1</v>
      </c>
      <c r="AF5" s="123" t="str">
        <f>Marts!D16</f>
        <v/>
      </c>
      <c r="AG5" s="548">
        <f>April!A16</f>
        <v>3</v>
      </c>
      <c r="AH5" s="61" t="str">
        <f>April!B16</f>
        <v>lø</v>
      </c>
      <c r="AI5" s="122" t="str">
        <f>April!C16</f>
        <v>Weekend</v>
      </c>
      <c r="AJ5" s="549" t="str">
        <f>April!D16</f>
        <v/>
      </c>
      <c r="AK5" s="556">
        <f>Maj!A16</f>
        <v>3</v>
      </c>
      <c r="AL5" s="557" t="str">
        <f>Maj!B16</f>
        <v>ma</v>
      </c>
      <c r="AM5" s="122" t="str">
        <f>Maj!C16</f>
        <v>Skema 1</v>
      </c>
      <c r="AN5" s="558">
        <f>Maj!D16</f>
        <v>18.428571428571427</v>
      </c>
      <c r="AO5" s="556">
        <f>Juni!A16</f>
        <v>3</v>
      </c>
      <c r="AP5" s="557" t="str">
        <f>Juni!B16</f>
        <v>to</v>
      </c>
      <c r="AQ5" s="122" t="str">
        <f>Juni!C16</f>
        <v>Skema 1</v>
      </c>
      <c r="AR5" s="558" t="str">
        <f>Juni!D16</f>
        <v/>
      </c>
      <c r="AS5" s="556">
        <f>Juli!A16</f>
        <v>3</v>
      </c>
      <c r="AT5" s="557" t="str">
        <f>Juli!B16</f>
        <v>lø</v>
      </c>
      <c r="AU5" s="122" t="str">
        <f>Juli!C16</f>
        <v>Weekend</v>
      </c>
      <c r="AV5" s="558" t="str">
        <f>Juli!D16</f>
        <v/>
      </c>
    </row>
    <row r="6" spans="1:48" ht="24" customHeight="1">
      <c r="A6" s="548">
        <f>August!A18</f>
        <v>4</v>
      </c>
      <c r="B6" s="61" t="str">
        <f>August!B18</f>
        <v>ti</v>
      </c>
      <c r="C6" s="122" t="str">
        <f>August!C18</f>
        <v>Feriedag</v>
      </c>
      <c r="D6" s="549" t="str">
        <f>August!D18</f>
        <v/>
      </c>
      <c r="E6" s="548">
        <f>September!A17</f>
        <v>4</v>
      </c>
      <c r="F6" s="61" t="str">
        <f>September!B17</f>
        <v>fr</v>
      </c>
      <c r="G6" s="122" t="str">
        <f>September!C17</f>
        <v>Skema 1</v>
      </c>
      <c r="H6" s="549" t="str">
        <f>September!D17</f>
        <v/>
      </c>
      <c r="I6" s="548">
        <f>Oktober!A17</f>
        <v>4</v>
      </c>
      <c r="J6" s="61" t="str">
        <f>Oktober!B17</f>
        <v>sø</v>
      </c>
      <c r="K6" s="122" t="str">
        <f>Oktober!C17</f>
        <v>Weekend</v>
      </c>
      <c r="L6" s="549" t="str">
        <f>Oktober!D17</f>
        <v/>
      </c>
      <c r="M6" s="548">
        <f>November!A17</f>
        <v>4</v>
      </c>
      <c r="N6" s="61" t="str">
        <f>November!B17</f>
        <v>on</v>
      </c>
      <c r="O6" s="122" t="str">
        <f>November!C17</f>
        <v>Skema 1</v>
      </c>
      <c r="P6" s="549" t="str">
        <f>November!D17</f>
        <v/>
      </c>
      <c r="Q6" s="548">
        <f>December!A17</f>
        <v>4</v>
      </c>
      <c r="R6" s="61" t="str">
        <f>December!B17</f>
        <v>fr</v>
      </c>
      <c r="S6" s="122" t="str">
        <f>December!C17</f>
        <v>Skema 1</v>
      </c>
      <c r="T6" s="549" t="str">
        <f>December!D17</f>
        <v/>
      </c>
      <c r="U6" s="61">
        <f>Januar!A17</f>
        <v>4</v>
      </c>
      <c r="V6" s="61" t="str">
        <f>Januar!B17</f>
        <v>ma</v>
      </c>
      <c r="W6" s="122" t="str">
        <f>Januar!C17</f>
        <v>Nul-dag</v>
      </c>
      <c r="X6" s="123">
        <f>Januar!D17</f>
        <v>1.4285714285714286</v>
      </c>
      <c r="Y6" s="548">
        <f>Februar!A17</f>
        <v>4</v>
      </c>
      <c r="Z6" s="61" t="str">
        <f>Februar!B17</f>
        <v>to</v>
      </c>
      <c r="AA6" s="122" t="str">
        <f>Februar!C17</f>
        <v>Skema 1</v>
      </c>
      <c r="AB6" s="549" t="str">
        <f>Februar!D17</f>
        <v/>
      </c>
      <c r="AC6" s="61">
        <f>Marts!A17</f>
        <v>4</v>
      </c>
      <c r="AD6" s="61" t="str">
        <f>Marts!B17</f>
        <v>to</v>
      </c>
      <c r="AE6" s="122" t="str">
        <f>Marts!C17</f>
        <v>Skema 1</v>
      </c>
      <c r="AF6" s="123" t="str">
        <f>Marts!D17</f>
        <v/>
      </c>
      <c r="AG6" s="548">
        <f>April!A17</f>
        <v>4</v>
      </c>
      <c r="AH6" s="61" t="str">
        <f>April!B17</f>
        <v>sø</v>
      </c>
      <c r="AI6" s="122" t="str">
        <f>April!C17</f>
        <v>Weekend</v>
      </c>
      <c r="AJ6" s="549" t="str">
        <f>April!D17</f>
        <v/>
      </c>
      <c r="AK6" s="556">
        <f>Maj!A17</f>
        <v>4</v>
      </c>
      <c r="AL6" s="557" t="str">
        <f>Maj!B17</f>
        <v>ti</v>
      </c>
      <c r="AM6" s="122" t="str">
        <f>Maj!C17</f>
        <v>Skema 1</v>
      </c>
      <c r="AN6" s="558" t="str">
        <f>Maj!D17</f>
        <v/>
      </c>
      <c r="AO6" s="556">
        <f>Juni!A17</f>
        <v>4</v>
      </c>
      <c r="AP6" s="557" t="str">
        <f>Juni!B17</f>
        <v>fr</v>
      </c>
      <c r="AQ6" s="122" t="str">
        <f>Juni!C17</f>
        <v>Skema 1</v>
      </c>
      <c r="AR6" s="558" t="str">
        <f>Juni!D17</f>
        <v/>
      </c>
      <c r="AS6" s="556">
        <f>Juli!A17</f>
        <v>4</v>
      </c>
      <c r="AT6" s="557" t="str">
        <f>Juli!B17</f>
        <v>sø</v>
      </c>
      <c r="AU6" s="122" t="str">
        <f>Juli!C17</f>
        <v>Weekend</v>
      </c>
      <c r="AV6" s="558" t="str">
        <f>Juli!D17</f>
        <v/>
      </c>
    </row>
    <row r="7" spans="1:48" ht="24" customHeight="1">
      <c r="A7" s="548">
        <f>August!A19</f>
        <v>5</v>
      </c>
      <c r="B7" s="61" t="str">
        <f>August!B19</f>
        <v>on</v>
      </c>
      <c r="C7" s="122" t="str">
        <f>August!C19</f>
        <v>Nul-dag</v>
      </c>
      <c r="D7" s="549" t="str">
        <f>August!D19</f>
        <v/>
      </c>
      <c r="E7" s="548">
        <f>September!A18</f>
        <v>5</v>
      </c>
      <c r="F7" s="61" t="str">
        <f>September!B18</f>
        <v>lø</v>
      </c>
      <c r="G7" s="805" t="str">
        <f>September!C18</f>
        <v>Weekend</v>
      </c>
      <c r="H7" s="549" t="str">
        <f>September!D18</f>
        <v/>
      </c>
      <c r="I7" s="548">
        <f>Oktober!A18</f>
        <v>5</v>
      </c>
      <c r="J7" s="61" t="str">
        <f>Oktober!B18</f>
        <v>ma</v>
      </c>
      <c r="K7" s="122" t="str">
        <f>Oktober!C18</f>
        <v>Emnedag</v>
      </c>
      <c r="L7" s="549">
        <f>Oktober!D18</f>
        <v>40.571428571428569</v>
      </c>
      <c r="M7" s="548">
        <f>November!A18</f>
        <v>5</v>
      </c>
      <c r="N7" s="61" t="str">
        <f>November!B18</f>
        <v>to</v>
      </c>
      <c r="O7" s="122" t="str">
        <f>November!C18</f>
        <v>Skema 1</v>
      </c>
      <c r="P7" s="549" t="str">
        <f>November!D18</f>
        <v/>
      </c>
      <c r="Q7" s="548">
        <f>December!A18</f>
        <v>5</v>
      </c>
      <c r="R7" s="61" t="str">
        <f>December!B18</f>
        <v>lø</v>
      </c>
      <c r="S7" s="122" t="str">
        <f>December!C18</f>
        <v>Weekend</v>
      </c>
      <c r="T7" s="549" t="str">
        <f>December!D18</f>
        <v/>
      </c>
      <c r="U7" s="61">
        <f>Januar!A18</f>
        <v>5</v>
      </c>
      <c r="V7" s="61" t="str">
        <f>Januar!B18</f>
        <v>ti</v>
      </c>
      <c r="W7" s="122" t="str">
        <f>Januar!C18</f>
        <v>Skema 1</v>
      </c>
      <c r="X7" s="123" t="str">
        <f>Januar!D18</f>
        <v/>
      </c>
      <c r="Y7" s="548">
        <f>Februar!A18</f>
        <v>5</v>
      </c>
      <c r="Z7" s="61" t="str">
        <f>Februar!B18</f>
        <v>fr</v>
      </c>
      <c r="AA7" s="122" t="str">
        <f>Februar!C18</f>
        <v>Skema 1</v>
      </c>
      <c r="AB7" s="549" t="str">
        <f>Februar!D18</f>
        <v/>
      </c>
      <c r="AC7" s="61">
        <f>Marts!A18</f>
        <v>5</v>
      </c>
      <c r="AD7" s="61" t="str">
        <f>Marts!B18</f>
        <v>fr</v>
      </c>
      <c r="AE7" s="122" t="str">
        <f>Marts!C18</f>
        <v>Pæd.dag</v>
      </c>
      <c r="AF7" s="123" t="str">
        <f>Marts!D18</f>
        <v/>
      </c>
      <c r="AG7" s="548">
        <f>April!A18</f>
        <v>5</v>
      </c>
      <c r="AH7" s="61" t="str">
        <f>April!B18</f>
        <v>ma</v>
      </c>
      <c r="AI7" s="122" t="str">
        <f>April!C18</f>
        <v>Skema 1</v>
      </c>
      <c r="AJ7" s="549">
        <f>April!D18</f>
        <v>14.428571428571429</v>
      </c>
      <c r="AK7" s="556">
        <f>Maj!A18</f>
        <v>5</v>
      </c>
      <c r="AL7" s="557" t="str">
        <f>Maj!B18</f>
        <v>on</v>
      </c>
      <c r="AM7" s="122" t="str">
        <f>Maj!C18</f>
        <v>Skema 1</v>
      </c>
      <c r="AN7" s="558" t="str">
        <f>Maj!D18</f>
        <v/>
      </c>
      <c r="AO7" s="556">
        <f>Juni!A18</f>
        <v>5</v>
      </c>
      <c r="AP7" s="557" t="str">
        <f>Juni!B18</f>
        <v>lø</v>
      </c>
      <c r="AQ7" s="122" t="str">
        <f>Juni!C18</f>
        <v>Weekend</v>
      </c>
      <c r="AR7" s="558" t="str">
        <f>Juni!D18</f>
        <v/>
      </c>
      <c r="AS7" s="556">
        <f>Juli!A18</f>
        <v>5</v>
      </c>
      <c r="AT7" s="557" t="str">
        <f>Juli!B18</f>
        <v>ma</v>
      </c>
      <c r="AU7" s="122" t="str">
        <f>Juli!C18</f>
        <v>Nul-dag</v>
      </c>
      <c r="AV7" s="558">
        <f>Juli!D18</f>
        <v>27.428571428571427</v>
      </c>
    </row>
    <row r="8" spans="1:48" ht="24" customHeight="1">
      <c r="A8" s="548">
        <f>August!A20</f>
        <v>6</v>
      </c>
      <c r="B8" s="61" t="str">
        <f>August!B20</f>
        <v>to</v>
      </c>
      <c r="C8" s="122" t="str">
        <f>August!C20</f>
        <v>Pæd.dag</v>
      </c>
      <c r="D8" s="549" t="str">
        <f>August!D20</f>
        <v/>
      </c>
      <c r="E8" s="548">
        <f>September!A19</f>
        <v>6</v>
      </c>
      <c r="F8" s="61" t="str">
        <f>September!B19</f>
        <v>sø</v>
      </c>
      <c r="G8" s="122" t="str">
        <f>September!C19</f>
        <v>Weekend</v>
      </c>
      <c r="H8" s="549" t="str">
        <f>September!D19</f>
        <v/>
      </c>
      <c r="I8" s="548">
        <f>Oktober!A19</f>
        <v>6</v>
      </c>
      <c r="J8" s="61" t="str">
        <f>Oktober!B19</f>
        <v>ti</v>
      </c>
      <c r="K8" s="122" t="str">
        <f>Oktober!C19</f>
        <v>Emnedag</v>
      </c>
      <c r="L8" s="549" t="str">
        <f>Oktober!D19</f>
        <v/>
      </c>
      <c r="M8" s="548">
        <f>November!A19</f>
        <v>6</v>
      </c>
      <c r="N8" s="61" t="str">
        <f>November!B19</f>
        <v>fr</v>
      </c>
      <c r="O8" s="122" t="str">
        <f>November!C19</f>
        <v>Skema 1</v>
      </c>
      <c r="P8" s="549" t="str">
        <f>November!D19</f>
        <v/>
      </c>
      <c r="Q8" s="548">
        <f>December!A19</f>
        <v>6</v>
      </c>
      <c r="R8" s="61" t="str">
        <f>December!B19</f>
        <v>sø</v>
      </c>
      <c r="S8" s="122" t="str">
        <f>December!C19</f>
        <v>Weekend</v>
      </c>
      <c r="T8" s="549" t="str">
        <f>December!D19</f>
        <v/>
      </c>
      <c r="U8" s="61">
        <f>Januar!A19</f>
        <v>6</v>
      </c>
      <c r="V8" s="61" t="str">
        <f>Januar!B19</f>
        <v>on</v>
      </c>
      <c r="W8" s="122" t="str">
        <f>Januar!C19</f>
        <v>Skema 1</v>
      </c>
      <c r="X8" s="123" t="str">
        <f>Januar!D19</f>
        <v/>
      </c>
      <c r="Y8" s="548">
        <f>Februar!A19</f>
        <v>6</v>
      </c>
      <c r="Z8" s="61" t="str">
        <f>Februar!B19</f>
        <v>lø</v>
      </c>
      <c r="AA8" s="122" t="str">
        <f>Februar!C19</f>
        <v>Weekend</v>
      </c>
      <c r="AB8" s="549" t="str">
        <f>Februar!D19</f>
        <v/>
      </c>
      <c r="AC8" s="61">
        <f>Marts!A19</f>
        <v>6</v>
      </c>
      <c r="AD8" s="61" t="str">
        <f>Marts!B19</f>
        <v>lø</v>
      </c>
      <c r="AE8" s="122" t="str">
        <f>Marts!C19</f>
        <v>Pæd.dag</v>
      </c>
      <c r="AF8" s="123" t="str">
        <f>Marts!D19</f>
        <v/>
      </c>
      <c r="AG8" s="548">
        <f>April!A19</f>
        <v>6</v>
      </c>
      <c r="AH8" s="61" t="str">
        <f>April!B19</f>
        <v>ti</v>
      </c>
      <c r="AI8" s="122" t="str">
        <f>April!C19</f>
        <v>Skema 1</v>
      </c>
      <c r="AJ8" s="549" t="str">
        <f>April!D19</f>
        <v/>
      </c>
      <c r="AK8" s="556">
        <f>Maj!A19</f>
        <v>6</v>
      </c>
      <c r="AL8" s="557" t="str">
        <f>Maj!B19</f>
        <v>to</v>
      </c>
      <c r="AM8" s="122" t="str">
        <f>Maj!C19</f>
        <v>SH-dag</v>
      </c>
      <c r="AN8" s="558" t="str">
        <f>Maj!D19</f>
        <v/>
      </c>
      <c r="AO8" s="556">
        <f>Juni!A19</f>
        <v>6</v>
      </c>
      <c r="AP8" s="557" t="str">
        <f>Juni!B19</f>
        <v>sø</v>
      </c>
      <c r="AQ8" s="122" t="str">
        <f>Juni!C19</f>
        <v>Weekend</v>
      </c>
      <c r="AR8" s="558" t="str">
        <f>Juni!D19</f>
        <v/>
      </c>
      <c r="AS8" s="556">
        <f>Juli!A19</f>
        <v>6</v>
      </c>
      <c r="AT8" s="557" t="str">
        <f>Juli!B19</f>
        <v>ti</v>
      </c>
      <c r="AU8" s="122" t="str">
        <f>Juli!C19</f>
        <v>Nul-dag</v>
      </c>
      <c r="AV8" s="558" t="str">
        <f>Juli!D19</f>
        <v/>
      </c>
    </row>
    <row r="9" spans="1:48" ht="24" customHeight="1">
      <c r="A9" s="548">
        <f>August!A21</f>
        <v>7</v>
      </c>
      <c r="B9" s="61" t="str">
        <f>August!B21</f>
        <v>fr</v>
      </c>
      <c r="C9" s="122" t="str">
        <f>August!C21</f>
        <v>Pæd.dag</v>
      </c>
      <c r="D9" s="549" t="str">
        <f>August!D21</f>
        <v/>
      </c>
      <c r="E9" s="548">
        <f>September!A20</f>
        <v>7</v>
      </c>
      <c r="F9" s="61" t="str">
        <f>September!B20</f>
        <v>ma</v>
      </c>
      <c r="G9" s="122" t="str">
        <f>September!C20</f>
        <v>Lejrskole</v>
      </c>
      <c r="H9" s="549">
        <f>September!D20</f>
        <v>36.571428571428569</v>
      </c>
      <c r="I9" s="548">
        <f>Oktober!A20</f>
        <v>7</v>
      </c>
      <c r="J9" s="61" t="str">
        <f>Oktober!B20</f>
        <v>on</v>
      </c>
      <c r="K9" s="122" t="str">
        <f>Oktober!C20</f>
        <v>Emnedag</v>
      </c>
      <c r="L9" s="549" t="str">
        <f>Oktober!D20</f>
        <v/>
      </c>
      <c r="M9" s="548">
        <f>November!A20</f>
        <v>7</v>
      </c>
      <c r="N9" s="61" t="str">
        <f>November!B20</f>
        <v>lø</v>
      </c>
      <c r="O9" s="122" t="str">
        <f>November!C20</f>
        <v>Weekend</v>
      </c>
      <c r="P9" s="549" t="str">
        <f>November!D20</f>
        <v/>
      </c>
      <c r="Q9" s="548">
        <f>December!A20</f>
        <v>7</v>
      </c>
      <c r="R9" s="61" t="str">
        <f>December!B20</f>
        <v>ma</v>
      </c>
      <c r="S9" s="122" t="str">
        <f>December!C20</f>
        <v>Skema 1</v>
      </c>
      <c r="T9" s="549">
        <f>December!D20</f>
        <v>49.571428571428569</v>
      </c>
      <c r="U9" s="61">
        <f>Januar!A20</f>
        <v>7</v>
      </c>
      <c r="V9" s="61" t="str">
        <f>Januar!B20</f>
        <v>to</v>
      </c>
      <c r="W9" s="122" t="str">
        <f>Januar!C20</f>
        <v>Skema 1</v>
      </c>
      <c r="X9" s="123" t="str">
        <f>Januar!D20</f>
        <v/>
      </c>
      <c r="Y9" s="548">
        <f>Februar!A20</f>
        <v>7</v>
      </c>
      <c r="Z9" s="61" t="str">
        <f>Februar!B20</f>
        <v>sø</v>
      </c>
      <c r="AA9" s="122" t="str">
        <f>Februar!C20</f>
        <v>Weekend</v>
      </c>
      <c r="AB9" s="549" t="str">
        <f>Februar!D20</f>
        <v/>
      </c>
      <c r="AC9" s="61">
        <f>Marts!A20</f>
        <v>7</v>
      </c>
      <c r="AD9" s="61" t="str">
        <f>Marts!B20</f>
        <v>sø</v>
      </c>
      <c r="AE9" s="122" t="str">
        <f>Marts!C20</f>
        <v>Weekend</v>
      </c>
      <c r="AF9" s="123" t="str">
        <f>Marts!D20</f>
        <v/>
      </c>
      <c r="AG9" s="548">
        <f>April!A20</f>
        <v>7</v>
      </c>
      <c r="AH9" s="61" t="str">
        <f>April!B20</f>
        <v>on</v>
      </c>
      <c r="AI9" s="122" t="str">
        <f>April!C20</f>
        <v>Skema 1</v>
      </c>
      <c r="AJ9" s="549" t="str">
        <f>April!D20</f>
        <v/>
      </c>
      <c r="AK9" s="556">
        <f>Maj!A20</f>
        <v>7</v>
      </c>
      <c r="AL9" s="557" t="str">
        <f>Maj!B20</f>
        <v>fr</v>
      </c>
      <c r="AM9" s="122" t="str">
        <f>Maj!C20</f>
        <v>Nul-dag</v>
      </c>
      <c r="AN9" s="558" t="str">
        <f>Maj!D20</f>
        <v/>
      </c>
      <c r="AO9" s="556">
        <f>Juni!A20</f>
        <v>7</v>
      </c>
      <c r="AP9" s="557" t="str">
        <f>Juni!B20</f>
        <v>ma</v>
      </c>
      <c r="AQ9" s="122" t="str">
        <f>Juni!C20</f>
        <v>Skema 1</v>
      </c>
      <c r="AR9" s="558">
        <f>Juni!D20</f>
        <v>23.428571428571427</v>
      </c>
      <c r="AS9" s="556">
        <f>Juli!A20</f>
        <v>7</v>
      </c>
      <c r="AT9" s="557" t="str">
        <f>Juli!B20</f>
        <v>on</v>
      </c>
      <c r="AU9" s="122" t="str">
        <f>Juli!C20</f>
        <v>Feriedag</v>
      </c>
      <c r="AV9" s="558" t="str">
        <f>Juli!D20</f>
        <v/>
      </c>
    </row>
    <row r="10" spans="1:48" ht="24" customHeight="1">
      <c r="A10" s="548">
        <f>August!A22</f>
        <v>8</v>
      </c>
      <c r="B10" s="61" t="str">
        <f>August!B22</f>
        <v>lø</v>
      </c>
      <c r="C10" s="122" t="str">
        <f>August!C22</f>
        <v>Weekend</v>
      </c>
      <c r="D10" s="549" t="str">
        <f>August!D22</f>
        <v/>
      </c>
      <c r="E10" s="548">
        <f>September!A21</f>
        <v>8</v>
      </c>
      <c r="F10" s="61" t="str">
        <f>September!B21</f>
        <v>ti</v>
      </c>
      <c r="G10" s="122" t="str">
        <f>September!C21</f>
        <v>Lejrskole</v>
      </c>
      <c r="H10" s="549" t="str">
        <f>September!D21</f>
        <v/>
      </c>
      <c r="I10" s="548">
        <f>Oktober!A21</f>
        <v>8</v>
      </c>
      <c r="J10" s="61" t="str">
        <f>Oktober!B21</f>
        <v>to</v>
      </c>
      <c r="K10" s="122" t="str">
        <f>Oktober!C21</f>
        <v>Emnedag</v>
      </c>
      <c r="L10" s="549" t="str">
        <f>Oktober!D21</f>
        <v/>
      </c>
      <c r="M10" s="548">
        <f>November!A21</f>
        <v>8</v>
      </c>
      <c r="N10" s="61" t="str">
        <f>November!B21</f>
        <v>sø</v>
      </c>
      <c r="O10" s="122" t="str">
        <f>November!C21</f>
        <v>Weekend</v>
      </c>
      <c r="P10" s="549" t="str">
        <f>November!D21</f>
        <v/>
      </c>
      <c r="Q10" s="548">
        <f>December!A21</f>
        <v>8</v>
      </c>
      <c r="R10" s="61" t="str">
        <f>December!B21</f>
        <v>ti</v>
      </c>
      <c r="S10" s="122" t="str">
        <f>December!C21</f>
        <v>Skema 1</v>
      </c>
      <c r="T10" s="549" t="str">
        <f>December!D21</f>
        <v/>
      </c>
      <c r="U10" s="61">
        <f>Januar!A21</f>
        <v>8</v>
      </c>
      <c r="V10" s="61" t="str">
        <f>Januar!B21</f>
        <v>fr</v>
      </c>
      <c r="W10" s="122" t="str">
        <f>Januar!C21</f>
        <v>Skema 1</v>
      </c>
      <c r="X10" s="123" t="str">
        <f>Januar!D21</f>
        <v/>
      </c>
      <c r="Y10" s="548">
        <f>Februar!A21</f>
        <v>8</v>
      </c>
      <c r="Z10" s="61" t="str">
        <f>Februar!B21</f>
        <v>ma</v>
      </c>
      <c r="AA10" s="122" t="str">
        <f>Februar!C21</f>
        <v>Skema 1</v>
      </c>
      <c r="AB10" s="549">
        <f>Februar!D21</f>
        <v>6.4285714285714288</v>
      </c>
      <c r="AC10" s="61">
        <f>Marts!A21</f>
        <v>8</v>
      </c>
      <c r="AD10" s="61" t="str">
        <f>Marts!B21</f>
        <v>ma</v>
      </c>
      <c r="AE10" s="122" t="str">
        <f>Marts!C21</f>
        <v>Skema 1</v>
      </c>
      <c r="AF10" s="123">
        <f>Marts!D21</f>
        <v>10.428571428571429</v>
      </c>
      <c r="AG10" s="548">
        <f>April!A21</f>
        <v>8</v>
      </c>
      <c r="AH10" s="61" t="str">
        <f>April!B21</f>
        <v>to</v>
      </c>
      <c r="AI10" s="122" t="str">
        <f>April!C21</f>
        <v>Skema 1</v>
      </c>
      <c r="AJ10" s="549" t="str">
        <f>April!D21</f>
        <v/>
      </c>
      <c r="AK10" s="556">
        <f>Maj!A21</f>
        <v>8</v>
      </c>
      <c r="AL10" s="557" t="str">
        <f>Maj!B21</f>
        <v>lø</v>
      </c>
      <c r="AM10" s="122" t="str">
        <f>Maj!C21</f>
        <v>Weekend</v>
      </c>
      <c r="AN10" s="558" t="str">
        <f>Maj!D21</f>
        <v/>
      </c>
      <c r="AO10" s="556">
        <f>Juni!A21</f>
        <v>8</v>
      </c>
      <c r="AP10" s="557" t="str">
        <f>Juni!B21</f>
        <v>ti</v>
      </c>
      <c r="AQ10" s="122" t="str">
        <f>Juni!C21</f>
        <v>Skema 1</v>
      </c>
      <c r="AR10" s="558" t="str">
        <f>Juni!D21</f>
        <v/>
      </c>
      <c r="AS10" s="556">
        <f>Juli!A21</f>
        <v>8</v>
      </c>
      <c r="AT10" s="557" t="str">
        <f>Juli!B21</f>
        <v>to</v>
      </c>
      <c r="AU10" s="122" t="str">
        <f>Juli!C21</f>
        <v>Feriedag</v>
      </c>
      <c r="AV10" s="558" t="str">
        <f>Juli!D21</f>
        <v/>
      </c>
    </row>
    <row r="11" spans="1:48" ht="24" customHeight="1">
      <c r="A11" s="548">
        <f>August!A23</f>
        <v>9</v>
      </c>
      <c r="B11" s="61" t="str">
        <f>August!B23</f>
        <v>sø</v>
      </c>
      <c r="C11" s="122" t="str">
        <f>August!C23</f>
        <v>Weekend</v>
      </c>
      <c r="D11" s="549" t="str">
        <f>August!D23</f>
        <v/>
      </c>
      <c r="E11" s="548">
        <f>September!A22</f>
        <v>9</v>
      </c>
      <c r="F11" s="61" t="str">
        <f>September!B22</f>
        <v>on</v>
      </c>
      <c r="G11" s="122" t="str">
        <f>September!C22</f>
        <v>Lejrskole</v>
      </c>
      <c r="H11" s="549" t="str">
        <f>September!D22</f>
        <v/>
      </c>
      <c r="I11" s="548">
        <f>Oktober!A22</f>
        <v>9</v>
      </c>
      <c r="J11" s="61" t="str">
        <f>Oktober!B22</f>
        <v>fr</v>
      </c>
      <c r="K11" s="122" t="str">
        <f>Oktober!C22</f>
        <v>Emnedag</v>
      </c>
      <c r="L11" s="549" t="str">
        <f>Oktober!D22</f>
        <v/>
      </c>
      <c r="M11" s="548">
        <f>November!A22</f>
        <v>9</v>
      </c>
      <c r="N11" s="61" t="str">
        <f>November!B22</f>
        <v>ma</v>
      </c>
      <c r="O11" s="122" t="str">
        <f>November!C22</f>
        <v>Skema 1</v>
      </c>
      <c r="P11" s="549">
        <f>November!D22</f>
        <v>45.571428571428569</v>
      </c>
      <c r="Q11" s="548">
        <f>December!A22</f>
        <v>9</v>
      </c>
      <c r="R11" s="61" t="str">
        <f>December!B22</f>
        <v>on</v>
      </c>
      <c r="S11" s="122" t="str">
        <f>December!C22</f>
        <v>Skema 1</v>
      </c>
      <c r="T11" s="549" t="str">
        <f>December!D22</f>
        <v/>
      </c>
      <c r="U11" s="61">
        <f>Januar!A22</f>
        <v>9</v>
      </c>
      <c r="V11" s="61" t="str">
        <f>Januar!B22</f>
        <v>lø</v>
      </c>
      <c r="W11" s="122" t="str">
        <f>Januar!C22</f>
        <v>Weekend</v>
      </c>
      <c r="X11" s="123" t="str">
        <f>Januar!D22</f>
        <v/>
      </c>
      <c r="Y11" s="548">
        <f>Februar!A22</f>
        <v>9</v>
      </c>
      <c r="Z11" s="61" t="str">
        <f>Februar!B22</f>
        <v>ti</v>
      </c>
      <c r="AA11" s="122" t="str">
        <f>Februar!C22</f>
        <v>Skema 1</v>
      </c>
      <c r="AB11" s="549" t="str">
        <f>Februar!D22</f>
        <v/>
      </c>
      <c r="AC11" s="61">
        <f>Marts!A22</f>
        <v>9</v>
      </c>
      <c r="AD11" s="61" t="str">
        <f>Marts!B22</f>
        <v>ti</v>
      </c>
      <c r="AE11" s="122" t="str">
        <f>Marts!C22</f>
        <v>Skema 1</v>
      </c>
      <c r="AF11" s="123" t="str">
        <f>Marts!D22</f>
        <v/>
      </c>
      <c r="AG11" s="548">
        <f>April!A22</f>
        <v>9</v>
      </c>
      <c r="AH11" s="61" t="str">
        <f>April!B22</f>
        <v>fr</v>
      </c>
      <c r="AI11" s="122" t="str">
        <f>April!C22</f>
        <v>Skema 1</v>
      </c>
      <c r="AJ11" s="549" t="str">
        <f>April!D22</f>
        <v/>
      </c>
      <c r="AK11" s="556">
        <f>Maj!A22</f>
        <v>9</v>
      </c>
      <c r="AL11" s="557" t="str">
        <f>Maj!B22</f>
        <v>sø</v>
      </c>
      <c r="AM11" s="122" t="str">
        <f>Maj!C22</f>
        <v>Weekend</v>
      </c>
      <c r="AN11" s="558" t="str">
        <f>Maj!D22</f>
        <v/>
      </c>
      <c r="AO11" s="556">
        <f>Juni!A22</f>
        <v>9</v>
      </c>
      <c r="AP11" s="557" t="str">
        <f>Juni!B22</f>
        <v>on</v>
      </c>
      <c r="AQ11" s="122" t="str">
        <f>Juni!C22</f>
        <v>Skema 1</v>
      </c>
      <c r="AR11" s="558" t="str">
        <f>Juni!D22</f>
        <v/>
      </c>
      <c r="AS11" s="556">
        <f>Juli!A22</f>
        <v>9</v>
      </c>
      <c r="AT11" s="557" t="str">
        <f>Juli!B22</f>
        <v>fr</v>
      </c>
      <c r="AU11" s="122" t="str">
        <f>Juli!C22</f>
        <v>Feriedag</v>
      </c>
      <c r="AV11" s="558" t="str">
        <f>Juli!D22</f>
        <v/>
      </c>
    </row>
    <row r="12" spans="1:48" ht="24" customHeight="1">
      <c r="A12" s="548">
        <f>August!A24</f>
        <v>10</v>
      </c>
      <c r="B12" s="61" t="str">
        <f>August!B24</f>
        <v>ma</v>
      </c>
      <c r="C12" s="122" t="str">
        <f>August!C24</f>
        <v>Emnedag</v>
      </c>
      <c r="D12" s="549">
        <f>August!D24</f>
        <v>32.571428571428569</v>
      </c>
      <c r="E12" s="548">
        <f>September!A23</f>
        <v>10</v>
      </c>
      <c r="F12" s="61" t="str">
        <f>September!B23</f>
        <v>to</v>
      </c>
      <c r="G12" s="122" t="str">
        <f>September!C23</f>
        <v>Lejrskole</v>
      </c>
      <c r="H12" s="549" t="str">
        <f>September!D23</f>
        <v/>
      </c>
      <c r="I12" s="548">
        <f>Oktober!A23</f>
        <v>10</v>
      </c>
      <c r="J12" s="61" t="str">
        <f>Oktober!B23</f>
        <v>lø</v>
      </c>
      <c r="K12" s="122" t="str">
        <f>Oktober!C23</f>
        <v>Weekend</v>
      </c>
      <c r="L12" s="549" t="str">
        <f>Oktober!D23</f>
        <v/>
      </c>
      <c r="M12" s="548">
        <f>November!A23</f>
        <v>10</v>
      </c>
      <c r="N12" s="61" t="str">
        <f>November!B23</f>
        <v>ti</v>
      </c>
      <c r="O12" s="122" t="str">
        <f>November!C23</f>
        <v>Skema 1</v>
      </c>
      <c r="P12" s="549" t="str">
        <f>November!D23</f>
        <v/>
      </c>
      <c r="Q12" s="548">
        <f>December!A23</f>
        <v>10</v>
      </c>
      <c r="R12" s="61" t="str">
        <f>December!B23</f>
        <v>to</v>
      </c>
      <c r="S12" s="122" t="str">
        <f>December!C23</f>
        <v>Skema 1</v>
      </c>
      <c r="T12" s="549" t="str">
        <f>December!D23</f>
        <v/>
      </c>
      <c r="U12" s="61">
        <f>Januar!A23</f>
        <v>10</v>
      </c>
      <c r="V12" s="61" t="str">
        <f>Januar!B23</f>
        <v>sø</v>
      </c>
      <c r="W12" s="122" t="str">
        <f>Januar!C23</f>
        <v>Weekend</v>
      </c>
      <c r="X12" s="123" t="str">
        <f>Januar!D23</f>
        <v/>
      </c>
      <c r="Y12" s="548">
        <f>Februar!A23</f>
        <v>10</v>
      </c>
      <c r="Z12" s="61" t="str">
        <f>Februar!B23</f>
        <v>on</v>
      </c>
      <c r="AA12" s="122" t="str">
        <f>Februar!C23</f>
        <v>Skema 1</v>
      </c>
      <c r="AB12" s="549" t="str">
        <f>Februar!D23</f>
        <v/>
      </c>
      <c r="AC12" s="61">
        <f>Marts!A23</f>
        <v>10</v>
      </c>
      <c r="AD12" s="61" t="str">
        <f>Marts!B23</f>
        <v>on</v>
      </c>
      <c r="AE12" s="122" t="str">
        <f>Marts!C23</f>
        <v>Skema 1</v>
      </c>
      <c r="AF12" s="123" t="str">
        <f>Marts!D23</f>
        <v/>
      </c>
      <c r="AG12" s="548">
        <f>April!A23</f>
        <v>10</v>
      </c>
      <c r="AH12" s="61" t="str">
        <f>April!B23</f>
        <v>lø</v>
      </c>
      <c r="AI12" s="122" t="str">
        <f>April!C23</f>
        <v>Weekend</v>
      </c>
      <c r="AJ12" s="549" t="str">
        <f>April!D23</f>
        <v/>
      </c>
      <c r="AK12" s="556">
        <f>Maj!A23</f>
        <v>10</v>
      </c>
      <c r="AL12" s="557" t="str">
        <f>Maj!B23</f>
        <v>ma</v>
      </c>
      <c r="AM12" s="122" t="str">
        <f>Maj!C23</f>
        <v>Skema 1</v>
      </c>
      <c r="AN12" s="558">
        <f>Maj!D23</f>
        <v>19.428571428571427</v>
      </c>
      <c r="AO12" s="556">
        <f>Juni!A23</f>
        <v>10</v>
      </c>
      <c r="AP12" s="557" t="str">
        <f>Juni!B23</f>
        <v>to</v>
      </c>
      <c r="AQ12" s="122" t="str">
        <f>Juni!C23</f>
        <v>Skema 1</v>
      </c>
      <c r="AR12" s="558" t="str">
        <f>Juni!D23</f>
        <v/>
      </c>
      <c r="AS12" s="556">
        <f>Juli!A23</f>
        <v>10</v>
      </c>
      <c r="AT12" s="557" t="str">
        <f>Juli!B23</f>
        <v>lø</v>
      </c>
      <c r="AU12" s="122" t="str">
        <f>Juli!C23</f>
        <v>Weekend</v>
      </c>
      <c r="AV12" s="558" t="str">
        <f>Juli!D23</f>
        <v/>
      </c>
    </row>
    <row r="13" spans="1:48" ht="24" customHeight="1">
      <c r="A13" s="548">
        <f>August!A25</f>
        <v>11</v>
      </c>
      <c r="B13" s="61" t="str">
        <f>August!B25</f>
        <v>ti</v>
      </c>
      <c r="C13" s="122" t="str">
        <f>August!C25</f>
        <v>Skema 1</v>
      </c>
      <c r="D13" s="549" t="str">
        <f>August!D25</f>
        <v/>
      </c>
      <c r="E13" s="548">
        <f>September!A24</f>
        <v>11</v>
      </c>
      <c r="F13" s="61" t="str">
        <f>September!B24</f>
        <v>fr</v>
      </c>
      <c r="G13" s="122" t="str">
        <f>September!C24</f>
        <v>Lejrskole</v>
      </c>
      <c r="H13" s="549" t="str">
        <f>September!D24</f>
        <v/>
      </c>
      <c r="I13" s="548">
        <f>Oktober!A24</f>
        <v>11</v>
      </c>
      <c r="J13" s="61" t="str">
        <f>Oktober!B24</f>
        <v>sø</v>
      </c>
      <c r="K13" s="122" t="str">
        <f>Oktober!C24</f>
        <v>Weekend</v>
      </c>
      <c r="L13" s="549" t="str">
        <f>Oktober!D24</f>
        <v/>
      </c>
      <c r="M13" s="548">
        <f>November!A24</f>
        <v>11</v>
      </c>
      <c r="N13" s="61" t="str">
        <f>November!B24</f>
        <v>on</v>
      </c>
      <c r="O13" s="122" t="str">
        <f>November!C24</f>
        <v>Skema 1</v>
      </c>
      <c r="P13" s="549" t="str">
        <f>November!D24</f>
        <v/>
      </c>
      <c r="Q13" s="548">
        <f>December!A24</f>
        <v>11</v>
      </c>
      <c r="R13" s="61" t="str">
        <f>December!B24</f>
        <v>fr</v>
      </c>
      <c r="S13" s="122" t="str">
        <f>December!C24</f>
        <v>Skema 1</v>
      </c>
      <c r="T13" s="549" t="str">
        <f>December!D24</f>
        <v/>
      </c>
      <c r="U13" s="61">
        <f>Januar!A24</f>
        <v>11</v>
      </c>
      <c r="V13" s="61" t="str">
        <f>Januar!B24</f>
        <v>ma</v>
      </c>
      <c r="W13" s="122" t="str">
        <f>Januar!C24</f>
        <v>Skema 1</v>
      </c>
      <c r="X13" s="123">
        <f>Januar!D24</f>
        <v>2.4285714285714284</v>
      </c>
      <c r="Y13" s="548">
        <f>Februar!A24</f>
        <v>11</v>
      </c>
      <c r="Z13" s="61" t="str">
        <f>Februar!B24</f>
        <v>to</v>
      </c>
      <c r="AA13" s="122" t="str">
        <f>Februar!C24</f>
        <v>Skema 1</v>
      </c>
      <c r="AB13" s="549" t="str">
        <f>Februar!D24</f>
        <v/>
      </c>
      <c r="AC13" s="61">
        <f>Marts!A24</f>
        <v>11</v>
      </c>
      <c r="AD13" s="61" t="str">
        <f>Marts!B24</f>
        <v>to</v>
      </c>
      <c r="AE13" s="122" t="str">
        <f>Marts!C24</f>
        <v>Skema 1</v>
      </c>
      <c r="AF13" s="123" t="str">
        <f>Marts!D24</f>
        <v/>
      </c>
      <c r="AG13" s="548">
        <f>April!A24</f>
        <v>11</v>
      </c>
      <c r="AH13" s="61" t="str">
        <f>April!B24</f>
        <v>sø</v>
      </c>
      <c r="AI13" s="122" t="str">
        <f>April!C24</f>
        <v>Weekend</v>
      </c>
      <c r="AJ13" s="549" t="str">
        <f>April!D24</f>
        <v/>
      </c>
      <c r="AK13" s="556">
        <f>Maj!A24</f>
        <v>11</v>
      </c>
      <c r="AL13" s="557" t="str">
        <f>Maj!B24</f>
        <v>ti</v>
      </c>
      <c r="AM13" s="122" t="str">
        <f>Maj!C24</f>
        <v>Skema 1</v>
      </c>
      <c r="AN13" s="558" t="str">
        <f>Maj!D24</f>
        <v/>
      </c>
      <c r="AO13" s="556">
        <f>Juni!A24</f>
        <v>11</v>
      </c>
      <c r="AP13" s="557" t="str">
        <f>Juni!B24</f>
        <v>fr</v>
      </c>
      <c r="AQ13" s="122" t="str">
        <f>Juni!C24</f>
        <v>Skema 1</v>
      </c>
      <c r="AR13" s="558" t="str">
        <f>Juni!D24</f>
        <v/>
      </c>
      <c r="AS13" s="556">
        <f>Juli!A24</f>
        <v>11</v>
      </c>
      <c r="AT13" s="557" t="str">
        <f>Juli!B24</f>
        <v>sø</v>
      </c>
      <c r="AU13" s="122" t="str">
        <f>Juli!C24</f>
        <v>Weekend</v>
      </c>
      <c r="AV13" s="558" t="str">
        <f>Juli!D24</f>
        <v/>
      </c>
    </row>
    <row r="14" spans="1:48" ht="24" customHeight="1">
      <c r="A14" s="548">
        <f>August!A26</f>
        <v>12</v>
      </c>
      <c r="B14" s="61" t="str">
        <f>August!B26</f>
        <v>on</v>
      </c>
      <c r="C14" s="122" t="str">
        <f>August!C26</f>
        <v>Skema 1</v>
      </c>
      <c r="D14" s="549" t="str">
        <f>August!D26</f>
        <v/>
      </c>
      <c r="E14" s="548">
        <f>September!A25</f>
        <v>12</v>
      </c>
      <c r="F14" s="61" t="str">
        <f>September!B25</f>
        <v>lø</v>
      </c>
      <c r="G14" s="122" t="str">
        <f>September!C25</f>
        <v>Weekend</v>
      </c>
      <c r="H14" s="549" t="str">
        <f>September!D25</f>
        <v/>
      </c>
      <c r="I14" s="548">
        <f>Oktober!A25</f>
        <v>12</v>
      </c>
      <c r="J14" s="61" t="str">
        <f>Oktober!B25</f>
        <v>ma</v>
      </c>
      <c r="K14" s="122" t="str">
        <f>Oktober!C25</f>
        <v>Feriedag</v>
      </c>
      <c r="L14" s="549">
        <f>Oktober!D25</f>
        <v>41.571428571428569</v>
      </c>
      <c r="M14" s="548">
        <f>November!A25</f>
        <v>12</v>
      </c>
      <c r="N14" s="61" t="str">
        <f>November!B25</f>
        <v>to</v>
      </c>
      <c r="O14" s="122" t="str">
        <f>November!C25</f>
        <v>Skema 1</v>
      </c>
      <c r="P14" s="549" t="str">
        <f>November!D25</f>
        <v/>
      </c>
      <c r="Q14" s="548">
        <f>December!A25</f>
        <v>12</v>
      </c>
      <c r="R14" s="61" t="str">
        <f>December!B25</f>
        <v>lø</v>
      </c>
      <c r="S14" s="122" t="str">
        <f>December!C25</f>
        <v>Weekend</v>
      </c>
      <c r="T14" s="549" t="str">
        <f>December!D25</f>
        <v/>
      </c>
      <c r="U14" s="61">
        <f>Januar!A25</f>
        <v>12</v>
      </c>
      <c r="V14" s="61" t="str">
        <f>Januar!B25</f>
        <v>ti</v>
      </c>
      <c r="W14" s="122" t="str">
        <f>Januar!C25</f>
        <v>Skema 1</v>
      </c>
      <c r="X14" s="123" t="str">
        <f>Januar!D25</f>
        <v/>
      </c>
      <c r="Y14" s="548">
        <f>Februar!A25</f>
        <v>12</v>
      </c>
      <c r="Z14" s="61" t="str">
        <f>Februar!B25</f>
        <v>fr</v>
      </c>
      <c r="AA14" s="122" t="str">
        <f>Februar!C25</f>
        <v>Emnedag</v>
      </c>
      <c r="AB14" s="549" t="str">
        <f>Februar!D25</f>
        <v/>
      </c>
      <c r="AC14" s="61">
        <f>Marts!A25</f>
        <v>12</v>
      </c>
      <c r="AD14" s="61" t="str">
        <f>Marts!B25</f>
        <v>fr</v>
      </c>
      <c r="AE14" s="122" t="str">
        <f>Marts!C25</f>
        <v>Skema 1</v>
      </c>
      <c r="AF14" s="123" t="str">
        <f>Marts!D25</f>
        <v/>
      </c>
      <c r="AG14" s="548">
        <f>April!A25</f>
        <v>12</v>
      </c>
      <c r="AH14" s="61" t="str">
        <f>April!B25</f>
        <v>ma</v>
      </c>
      <c r="AI14" s="122" t="str">
        <f>April!C25</f>
        <v>Emnedag</v>
      </c>
      <c r="AJ14" s="549">
        <f>April!D25</f>
        <v>15.428571428571429</v>
      </c>
      <c r="AK14" s="556">
        <f>Maj!A25</f>
        <v>12</v>
      </c>
      <c r="AL14" s="557" t="str">
        <f>Maj!B25</f>
        <v>on</v>
      </c>
      <c r="AM14" s="122" t="str">
        <f>Maj!C25</f>
        <v>Skema 1</v>
      </c>
      <c r="AN14" s="558" t="str">
        <f>Maj!D25</f>
        <v/>
      </c>
      <c r="AO14" s="556">
        <f>Juni!A25</f>
        <v>12</v>
      </c>
      <c r="AP14" s="557" t="str">
        <f>Juni!B25</f>
        <v>lø</v>
      </c>
      <c r="AQ14" s="122" t="str">
        <f>Juni!C25</f>
        <v>Weekend</v>
      </c>
      <c r="AR14" s="558" t="str">
        <f>Juni!D25</f>
        <v/>
      </c>
      <c r="AS14" s="556">
        <f>Juli!A25</f>
        <v>12</v>
      </c>
      <c r="AT14" s="557" t="str">
        <f>Juli!B25</f>
        <v>ma</v>
      </c>
      <c r="AU14" s="122" t="str">
        <f>Juli!C25</f>
        <v>Feriedag</v>
      </c>
      <c r="AV14" s="558">
        <f>Juli!D25</f>
        <v>28.428571428571427</v>
      </c>
    </row>
    <row r="15" spans="1:48" ht="24" customHeight="1">
      <c r="A15" s="548">
        <f>August!A27</f>
        <v>13</v>
      </c>
      <c r="B15" s="61" t="str">
        <f>August!B27</f>
        <v>to</v>
      </c>
      <c r="C15" s="122" t="str">
        <f>August!C27</f>
        <v>Skema 1</v>
      </c>
      <c r="D15" s="549" t="str">
        <f>August!D27</f>
        <v/>
      </c>
      <c r="E15" s="548">
        <f>September!A26</f>
        <v>13</v>
      </c>
      <c r="F15" s="61" t="str">
        <f>September!B26</f>
        <v>sø</v>
      </c>
      <c r="G15" s="122" t="str">
        <f>September!C26</f>
        <v>Weekend</v>
      </c>
      <c r="H15" s="549" t="str">
        <f>September!D26</f>
        <v/>
      </c>
      <c r="I15" s="548">
        <f>Oktober!A26</f>
        <v>13</v>
      </c>
      <c r="J15" s="61" t="str">
        <f>Oktober!B26</f>
        <v>ti</v>
      </c>
      <c r="K15" s="122" t="str">
        <f>Oktober!C26</f>
        <v>Feriedag</v>
      </c>
      <c r="L15" s="549" t="str">
        <f>Oktober!D26</f>
        <v/>
      </c>
      <c r="M15" s="548">
        <f>November!A26</f>
        <v>13</v>
      </c>
      <c r="N15" s="61" t="str">
        <f>November!B26</f>
        <v>fr</v>
      </c>
      <c r="O15" s="122" t="str">
        <f>November!C26</f>
        <v>Skema 1</v>
      </c>
      <c r="P15" s="549" t="str">
        <f>November!D26</f>
        <v/>
      </c>
      <c r="Q15" s="548">
        <f>December!A26</f>
        <v>13</v>
      </c>
      <c r="R15" s="61" t="str">
        <f>December!B26</f>
        <v>sø</v>
      </c>
      <c r="S15" s="122" t="str">
        <f>December!C26</f>
        <v>Weekend</v>
      </c>
      <c r="T15" s="549" t="str">
        <f>December!D26</f>
        <v/>
      </c>
      <c r="U15" s="61">
        <f>Januar!A26</f>
        <v>13</v>
      </c>
      <c r="V15" s="61" t="str">
        <f>Januar!B26</f>
        <v>on</v>
      </c>
      <c r="W15" s="122" t="str">
        <f>Januar!C26</f>
        <v>Skema 1</v>
      </c>
      <c r="X15" s="123" t="str">
        <f>Januar!D26</f>
        <v/>
      </c>
      <c r="Y15" s="548">
        <f>Februar!A26</f>
        <v>13</v>
      </c>
      <c r="Z15" s="61" t="str">
        <f>Februar!B26</f>
        <v>lø</v>
      </c>
      <c r="AA15" s="122" t="str">
        <f>Februar!C26</f>
        <v>Weekend</v>
      </c>
      <c r="AB15" s="549" t="str">
        <f>Februar!D26</f>
        <v/>
      </c>
      <c r="AC15" s="61">
        <f>Marts!A26</f>
        <v>13</v>
      </c>
      <c r="AD15" s="61" t="str">
        <f>Marts!B26</f>
        <v>lø</v>
      </c>
      <c r="AE15" s="122" t="str">
        <f>Marts!C26</f>
        <v>Weekend</v>
      </c>
      <c r="AF15" s="123" t="str">
        <f>Marts!D26</f>
        <v/>
      </c>
      <c r="AG15" s="548">
        <f>April!A26</f>
        <v>13</v>
      </c>
      <c r="AH15" s="61" t="str">
        <f>April!B26</f>
        <v>ti</v>
      </c>
      <c r="AI15" s="122" t="str">
        <f>April!C26</f>
        <v>Emnedag</v>
      </c>
      <c r="AJ15" s="549" t="str">
        <f>April!D26</f>
        <v/>
      </c>
      <c r="AK15" s="556">
        <f>Maj!A26</f>
        <v>13</v>
      </c>
      <c r="AL15" s="557" t="str">
        <f>Maj!B26</f>
        <v>to</v>
      </c>
      <c r="AM15" s="122" t="str">
        <f>Maj!C26</f>
        <v>Skema 1</v>
      </c>
      <c r="AN15" s="558" t="str">
        <f>Maj!D26</f>
        <v/>
      </c>
      <c r="AO15" s="556">
        <f>Juni!A26</f>
        <v>13</v>
      </c>
      <c r="AP15" s="557" t="str">
        <f>Juni!B26</f>
        <v>sø</v>
      </c>
      <c r="AQ15" s="122" t="str">
        <f>Juni!C26</f>
        <v>Weekend</v>
      </c>
      <c r="AR15" s="558" t="str">
        <f>Juni!D26</f>
        <v/>
      </c>
      <c r="AS15" s="556">
        <f>Juli!A26</f>
        <v>13</v>
      </c>
      <c r="AT15" s="557" t="str">
        <f>Juli!B26</f>
        <v>ti</v>
      </c>
      <c r="AU15" s="122" t="str">
        <f>Juli!C26</f>
        <v>Feriedag</v>
      </c>
      <c r="AV15" s="558" t="str">
        <f>Juli!D26</f>
        <v/>
      </c>
    </row>
    <row r="16" spans="1:48" ht="24" customHeight="1">
      <c r="A16" s="548">
        <f>August!A28</f>
        <v>14</v>
      </c>
      <c r="B16" s="61" t="str">
        <f>August!B28</f>
        <v>fr</v>
      </c>
      <c r="C16" s="122" t="str">
        <f>August!C28</f>
        <v>Skema 1</v>
      </c>
      <c r="D16" s="549" t="str">
        <f>August!D28</f>
        <v/>
      </c>
      <c r="E16" s="548">
        <f>September!A27</f>
        <v>14</v>
      </c>
      <c r="F16" s="61" t="str">
        <f>September!B27</f>
        <v>ma</v>
      </c>
      <c r="G16" s="122" t="str">
        <f>September!C27</f>
        <v>Skema 1</v>
      </c>
      <c r="H16" s="549">
        <f>September!D27</f>
        <v>37.571428571428569</v>
      </c>
      <c r="I16" s="548">
        <f>Oktober!A27</f>
        <v>14</v>
      </c>
      <c r="J16" s="61" t="str">
        <f>Oktober!B27</f>
        <v>on</v>
      </c>
      <c r="K16" s="122" t="str">
        <f>Oktober!C27</f>
        <v>Feriedag</v>
      </c>
      <c r="L16" s="549" t="str">
        <f>Oktober!D27</f>
        <v/>
      </c>
      <c r="M16" s="548">
        <f>November!A27</f>
        <v>14</v>
      </c>
      <c r="N16" s="61" t="str">
        <f>November!B27</f>
        <v>lø</v>
      </c>
      <c r="O16" s="122" t="str">
        <f>November!C27</f>
        <v>Weekend</v>
      </c>
      <c r="P16" s="549" t="str">
        <f>November!D27</f>
        <v/>
      </c>
      <c r="Q16" s="548">
        <f>December!A27</f>
        <v>14</v>
      </c>
      <c r="R16" s="61" t="str">
        <f>December!B27</f>
        <v>ma</v>
      </c>
      <c r="S16" s="122" t="str">
        <f>December!C27</f>
        <v>Skema 1</v>
      </c>
      <c r="T16" s="549">
        <f>December!D27</f>
        <v>50.571428571428569</v>
      </c>
      <c r="U16" s="61">
        <f>Januar!A27</f>
        <v>14</v>
      </c>
      <c r="V16" s="61" t="str">
        <f>Januar!B27</f>
        <v>to</v>
      </c>
      <c r="W16" s="122" t="str">
        <f>Januar!C27</f>
        <v>Skema 1</v>
      </c>
      <c r="X16" s="123" t="str">
        <f>Januar!D27</f>
        <v/>
      </c>
      <c r="Y16" s="548">
        <f>Februar!A27</f>
        <v>14</v>
      </c>
      <c r="Z16" s="61" t="str">
        <f>Februar!B27</f>
        <v>sø</v>
      </c>
      <c r="AA16" s="122" t="str">
        <f>Februar!C27</f>
        <v>Weekend</v>
      </c>
      <c r="AB16" s="549" t="str">
        <f>Februar!D27</f>
        <v/>
      </c>
      <c r="AC16" s="61">
        <f>Marts!A27</f>
        <v>14</v>
      </c>
      <c r="AD16" s="61" t="str">
        <f>Marts!B27</f>
        <v>sø</v>
      </c>
      <c r="AE16" s="122" t="str">
        <f>Marts!C27</f>
        <v>Weekend</v>
      </c>
      <c r="AF16" s="123" t="str">
        <f>Marts!D27</f>
        <v/>
      </c>
      <c r="AG16" s="548">
        <f>April!A27</f>
        <v>14</v>
      </c>
      <c r="AH16" s="61" t="str">
        <f>April!B27</f>
        <v>on</v>
      </c>
      <c r="AI16" s="122" t="str">
        <f>April!C27</f>
        <v>Emnedag</v>
      </c>
      <c r="AJ16" s="549" t="str">
        <f>April!D27</f>
        <v/>
      </c>
      <c r="AK16" s="556">
        <f>Maj!A27</f>
        <v>14</v>
      </c>
      <c r="AL16" s="557" t="str">
        <f>Maj!B27</f>
        <v>fr</v>
      </c>
      <c r="AM16" s="122" t="str">
        <f>Maj!C27</f>
        <v>Skema 1</v>
      </c>
      <c r="AN16" s="558" t="str">
        <f>Maj!D27</f>
        <v/>
      </c>
      <c r="AO16" s="556">
        <f>Juni!A27</f>
        <v>14</v>
      </c>
      <c r="AP16" s="557" t="str">
        <f>Juni!B27</f>
        <v>ma</v>
      </c>
      <c r="AQ16" s="122" t="str">
        <f>Juni!C27</f>
        <v>Skema 1</v>
      </c>
      <c r="AR16" s="558">
        <f>Juni!D27</f>
        <v>24.428571428571427</v>
      </c>
      <c r="AS16" s="556">
        <f>Juli!A27</f>
        <v>14</v>
      </c>
      <c r="AT16" s="557" t="str">
        <f>Juli!B27</f>
        <v>on</v>
      </c>
      <c r="AU16" s="122" t="str">
        <f>Juli!C27</f>
        <v>Feriedag</v>
      </c>
      <c r="AV16" s="558" t="str">
        <f>Juli!D27</f>
        <v/>
      </c>
    </row>
    <row r="17" spans="1:48" ht="24" customHeight="1">
      <c r="A17" s="548">
        <f>August!A29</f>
        <v>15</v>
      </c>
      <c r="B17" s="61" t="str">
        <f>August!B29</f>
        <v>lø</v>
      </c>
      <c r="C17" s="122" t="str">
        <f>August!C29</f>
        <v>Weekend</v>
      </c>
      <c r="D17" s="549" t="str">
        <f>August!D29</f>
        <v/>
      </c>
      <c r="E17" s="548">
        <f>September!A28</f>
        <v>15</v>
      </c>
      <c r="F17" s="61" t="str">
        <f>September!B28</f>
        <v>ti</v>
      </c>
      <c r="G17" s="122" t="str">
        <f>September!C28</f>
        <v>Skema 1</v>
      </c>
      <c r="H17" s="549" t="str">
        <f>September!D28</f>
        <v/>
      </c>
      <c r="I17" s="548">
        <f>Oktober!A28</f>
        <v>15</v>
      </c>
      <c r="J17" s="61" t="str">
        <f>Oktober!B28</f>
        <v>to</v>
      </c>
      <c r="K17" s="122" t="str">
        <f>Oktober!C28</f>
        <v>Feriedag</v>
      </c>
      <c r="L17" s="549" t="str">
        <f>Oktober!D28</f>
        <v/>
      </c>
      <c r="M17" s="548">
        <f>November!A28</f>
        <v>15</v>
      </c>
      <c r="N17" s="61" t="str">
        <f>November!B28</f>
        <v>sø</v>
      </c>
      <c r="O17" s="122" t="str">
        <f>November!C28</f>
        <v>Weekend</v>
      </c>
      <c r="P17" s="549" t="str">
        <f>November!D28</f>
        <v/>
      </c>
      <c r="Q17" s="548">
        <f>December!A28</f>
        <v>15</v>
      </c>
      <c r="R17" s="61" t="str">
        <f>December!B28</f>
        <v>ti</v>
      </c>
      <c r="S17" s="122" t="str">
        <f>December!C28</f>
        <v>Skema 1</v>
      </c>
      <c r="T17" s="549" t="str">
        <f>December!D28</f>
        <v/>
      </c>
      <c r="U17" s="61">
        <f>Januar!A28</f>
        <v>15</v>
      </c>
      <c r="V17" s="61" t="str">
        <f>Januar!B28</f>
        <v>fr</v>
      </c>
      <c r="W17" s="122" t="str">
        <f>Januar!C28</f>
        <v>Skema 1</v>
      </c>
      <c r="X17" s="123" t="str">
        <f>Januar!D28</f>
        <v/>
      </c>
      <c r="Y17" s="548">
        <f>Februar!A28</f>
        <v>15</v>
      </c>
      <c r="Z17" s="61" t="str">
        <f>Februar!B28</f>
        <v>ma</v>
      </c>
      <c r="AA17" s="122" t="str">
        <f>Februar!C28</f>
        <v>Nul-dag</v>
      </c>
      <c r="AB17" s="549">
        <f>Februar!D28</f>
        <v>7.4285714285714288</v>
      </c>
      <c r="AC17" s="61">
        <f>Marts!A28</f>
        <v>15</v>
      </c>
      <c r="AD17" s="61" t="str">
        <f>Marts!B28</f>
        <v>ma</v>
      </c>
      <c r="AE17" s="122" t="str">
        <f>Marts!C28</f>
        <v>Skema 1</v>
      </c>
      <c r="AF17" s="123">
        <f>Marts!D28</f>
        <v>11.428571428571429</v>
      </c>
      <c r="AG17" s="548">
        <f>April!A28</f>
        <v>15</v>
      </c>
      <c r="AH17" s="61" t="str">
        <f>April!B28</f>
        <v>to</v>
      </c>
      <c r="AI17" s="122" t="str">
        <f>April!C28</f>
        <v>Emnedag</v>
      </c>
      <c r="AJ17" s="549" t="str">
        <f>April!D28</f>
        <v/>
      </c>
      <c r="AK17" s="556">
        <f>Maj!A28</f>
        <v>15</v>
      </c>
      <c r="AL17" s="557" t="str">
        <f>Maj!B28</f>
        <v>lø</v>
      </c>
      <c r="AM17" s="122" t="str">
        <f>Maj!C28</f>
        <v>Weekend</v>
      </c>
      <c r="AN17" s="558" t="str">
        <f>Maj!D28</f>
        <v/>
      </c>
      <c r="AO17" s="556">
        <f>Juni!A28</f>
        <v>15</v>
      </c>
      <c r="AP17" s="557" t="str">
        <f>Juni!B28</f>
        <v>ti</v>
      </c>
      <c r="AQ17" s="122" t="str">
        <f>Juni!C28</f>
        <v>Skema 1</v>
      </c>
      <c r="AR17" s="558" t="str">
        <f>Juni!D28</f>
        <v/>
      </c>
      <c r="AS17" s="556">
        <f>Juli!A28</f>
        <v>15</v>
      </c>
      <c r="AT17" s="557" t="str">
        <f>Juli!B28</f>
        <v>to</v>
      </c>
      <c r="AU17" s="122" t="str">
        <f>Juli!C28</f>
        <v>Feriedag</v>
      </c>
      <c r="AV17" s="558" t="str">
        <f>Juli!D28</f>
        <v/>
      </c>
    </row>
    <row r="18" spans="1:48" ht="24" customHeight="1">
      <c r="A18" s="548">
        <f>August!A30</f>
        <v>16</v>
      </c>
      <c r="B18" s="61" t="str">
        <f>August!B30</f>
        <v>sø</v>
      </c>
      <c r="C18" s="122" t="str">
        <f>August!C30</f>
        <v>Weekend</v>
      </c>
      <c r="D18" s="549" t="str">
        <f>August!D30</f>
        <v/>
      </c>
      <c r="E18" s="548">
        <f>September!A29</f>
        <v>16</v>
      </c>
      <c r="F18" s="61" t="str">
        <f>September!B29</f>
        <v>on</v>
      </c>
      <c r="G18" s="122" t="str">
        <f>September!C29</f>
        <v>Skema 1</v>
      </c>
      <c r="H18" s="549" t="str">
        <f>September!D29</f>
        <v/>
      </c>
      <c r="I18" s="548">
        <f>Oktober!A29</f>
        <v>16</v>
      </c>
      <c r="J18" s="61" t="str">
        <f>Oktober!B29</f>
        <v>fr</v>
      </c>
      <c r="K18" s="122" t="str">
        <f>Oktober!C29</f>
        <v>Feriedag</v>
      </c>
      <c r="L18" s="549" t="str">
        <f>Oktober!D29</f>
        <v/>
      </c>
      <c r="M18" s="548">
        <f>November!A29</f>
        <v>16</v>
      </c>
      <c r="N18" s="61" t="str">
        <f>November!B29</f>
        <v>ma</v>
      </c>
      <c r="O18" s="122" t="str">
        <f>November!C29</f>
        <v>Skema 1</v>
      </c>
      <c r="P18" s="549">
        <f>November!D29</f>
        <v>46.571428571428569</v>
      </c>
      <c r="Q18" s="548">
        <f>December!A29</f>
        <v>16</v>
      </c>
      <c r="R18" s="61" t="str">
        <f>December!B29</f>
        <v>on</v>
      </c>
      <c r="S18" s="122" t="str">
        <f>December!C29</f>
        <v>Skema 1</v>
      </c>
      <c r="T18" s="549" t="str">
        <f>December!D29</f>
        <v/>
      </c>
      <c r="U18" s="61">
        <f>Januar!A29</f>
        <v>16</v>
      </c>
      <c r="V18" s="61" t="str">
        <f>Januar!B29</f>
        <v>lø</v>
      </c>
      <c r="W18" s="122" t="str">
        <f>Januar!C29</f>
        <v>Weekend</v>
      </c>
      <c r="X18" s="123" t="str">
        <f>Januar!D29</f>
        <v/>
      </c>
      <c r="Y18" s="548">
        <f>Februar!A29</f>
        <v>16</v>
      </c>
      <c r="Z18" s="61" t="str">
        <f>Februar!B29</f>
        <v>ti</v>
      </c>
      <c r="AA18" s="122" t="str">
        <f>Februar!C29</f>
        <v>Nul-dag</v>
      </c>
      <c r="AB18" s="549" t="str">
        <f>Februar!D29</f>
        <v/>
      </c>
      <c r="AC18" s="61">
        <f>Marts!A29</f>
        <v>16</v>
      </c>
      <c r="AD18" s="61" t="str">
        <f>Marts!B29</f>
        <v>ti</v>
      </c>
      <c r="AE18" s="122" t="str">
        <f>Marts!C29</f>
        <v>Skema 1</v>
      </c>
      <c r="AF18" s="123" t="str">
        <f>Marts!D29</f>
        <v/>
      </c>
      <c r="AG18" s="548">
        <f>April!A29</f>
        <v>16</v>
      </c>
      <c r="AH18" s="61" t="str">
        <f>April!B29</f>
        <v>fr</v>
      </c>
      <c r="AI18" s="122" t="str">
        <f>April!C29</f>
        <v>Emnedag</v>
      </c>
      <c r="AJ18" s="549" t="str">
        <f>April!D29</f>
        <v/>
      </c>
      <c r="AK18" s="556">
        <f>Maj!A29</f>
        <v>16</v>
      </c>
      <c r="AL18" s="557" t="str">
        <f>Maj!B29</f>
        <v>sø</v>
      </c>
      <c r="AM18" s="122" t="str">
        <f>Maj!C29</f>
        <v>Weekend</v>
      </c>
      <c r="AN18" s="558" t="str">
        <f>Maj!D29</f>
        <v/>
      </c>
      <c r="AO18" s="556">
        <f>Juni!A29</f>
        <v>16</v>
      </c>
      <c r="AP18" s="557" t="str">
        <f>Juni!B29</f>
        <v>on</v>
      </c>
      <c r="AQ18" s="122" t="str">
        <f>Juni!C29</f>
        <v>Skema 1</v>
      </c>
      <c r="AR18" s="558" t="str">
        <f>Juni!D29</f>
        <v/>
      </c>
      <c r="AS18" s="556">
        <f>Juli!A29</f>
        <v>16</v>
      </c>
      <c r="AT18" s="557" t="str">
        <f>Juli!B29</f>
        <v>fr</v>
      </c>
      <c r="AU18" s="122" t="str">
        <f>Juli!C29</f>
        <v>Feriedag</v>
      </c>
      <c r="AV18" s="558" t="str">
        <f>Juli!D29</f>
        <v/>
      </c>
    </row>
    <row r="19" spans="1:48" ht="24" customHeight="1">
      <c r="A19" s="548">
        <f>August!A31</f>
        <v>17</v>
      </c>
      <c r="B19" s="61" t="str">
        <f>August!B31</f>
        <v>ma</v>
      </c>
      <c r="C19" s="122" t="str">
        <f>August!C31</f>
        <v>Skema 1</v>
      </c>
      <c r="D19" s="549">
        <f>August!D31</f>
        <v>33.571428571428569</v>
      </c>
      <c r="E19" s="548">
        <f>September!A30</f>
        <v>17</v>
      </c>
      <c r="F19" s="61" t="str">
        <f>September!B30</f>
        <v>to</v>
      </c>
      <c r="G19" s="122" t="str">
        <f>September!C30</f>
        <v>Skema 1</v>
      </c>
      <c r="H19" s="549" t="str">
        <f>September!D30</f>
        <v/>
      </c>
      <c r="I19" s="548">
        <f>Oktober!A30</f>
        <v>17</v>
      </c>
      <c r="J19" s="61" t="str">
        <f>Oktober!B30</f>
        <v>lø</v>
      </c>
      <c r="K19" s="122" t="str">
        <f>Oktober!C30</f>
        <v>Weekend</v>
      </c>
      <c r="L19" s="549" t="str">
        <f>Oktober!D30</f>
        <v/>
      </c>
      <c r="M19" s="548">
        <f>November!A30</f>
        <v>17</v>
      </c>
      <c r="N19" s="61" t="str">
        <f>November!B30</f>
        <v>ti</v>
      </c>
      <c r="O19" s="122" t="str">
        <f>November!C30</f>
        <v>Skema 1</v>
      </c>
      <c r="P19" s="549" t="str">
        <f>November!D30</f>
        <v/>
      </c>
      <c r="Q19" s="548">
        <f>December!A30</f>
        <v>17</v>
      </c>
      <c r="R19" s="61" t="str">
        <f>December!B30</f>
        <v>to</v>
      </c>
      <c r="S19" s="122" t="str">
        <f>December!C30</f>
        <v>Skema 1</v>
      </c>
      <c r="T19" s="549" t="str">
        <f>December!D30</f>
        <v/>
      </c>
      <c r="U19" s="61">
        <f>Januar!A30</f>
        <v>17</v>
      </c>
      <c r="V19" s="61" t="str">
        <f>Januar!B30</f>
        <v>sø</v>
      </c>
      <c r="W19" s="122" t="str">
        <f>Januar!C30</f>
        <v>Weekend</v>
      </c>
      <c r="X19" s="123" t="str">
        <f>Januar!D30</f>
        <v/>
      </c>
      <c r="Y19" s="548">
        <f>Februar!A30</f>
        <v>17</v>
      </c>
      <c r="Z19" s="61" t="str">
        <f>Februar!B30</f>
        <v>on</v>
      </c>
      <c r="AA19" s="122" t="str">
        <f>Februar!C30</f>
        <v>Nul-dag</v>
      </c>
      <c r="AB19" s="549" t="str">
        <f>Februar!D30</f>
        <v/>
      </c>
      <c r="AC19" s="61">
        <f>Marts!A30</f>
        <v>17</v>
      </c>
      <c r="AD19" s="61" t="str">
        <f>Marts!B30</f>
        <v>on</v>
      </c>
      <c r="AE19" s="122" t="str">
        <f>Marts!C30</f>
        <v>Skema 1</v>
      </c>
      <c r="AF19" s="123" t="str">
        <f>Marts!D30</f>
        <v/>
      </c>
      <c r="AG19" s="548">
        <f>April!A30</f>
        <v>17</v>
      </c>
      <c r="AH19" s="61" t="str">
        <f>April!B30</f>
        <v>lø</v>
      </c>
      <c r="AI19" s="122" t="str">
        <f>April!C30</f>
        <v>Weekend</v>
      </c>
      <c r="AJ19" s="549" t="str">
        <f>April!D30</f>
        <v/>
      </c>
      <c r="AK19" s="556">
        <f>Maj!A30</f>
        <v>17</v>
      </c>
      <c r="AL19" s="557" t="str">
        <f>Maj!B30</f>
        <v>ma</v>
      </c>
      <c r="AM19" s="122" t="str">
        <f>Maj!C30</f>
        <v>SH-dag</v>
      </c>
      <c r="AN19" s="558">
        <f>Maj!D30</f>
        <v>20.428571428571427</v>
      </c>
      <c r="AO19" s="556">
        <f>Juni!A30</f>
        <v>17</v>
      </c>
      <c r="AP19" s="557" t="str">
        <f>Juni!B30</f>
        <v>to</v>
      </c>
      <c r="AQ19" s="122" t="str">
        <f>Juni!C30</f>
        <v>Skema 1</v>
      </c>
      <c r="AR19" s="558" t="str">
        <f>Juni!D30</f>
        <v/>
      </c>
      <c r="AS19" s="556">
        <f>Juli!A30</f>
        <v>17</v>
      </c>
      <c r="AT19" s="557" t="str">
        <f>Juli!B30</f>
        <v>lø</v>
      </c>
      <c r="AU19" s="122" t="str">
        <f>Juli!C30</f>
        <v>Weekend</v>
      </c>
      <c r="AV19" s="558" t="str">
        <f>Juli!D30</f>
        <v/>
      </c>
    </row>
    <row r="20" spans="1:48" ht="24" customHeight="1">
      <c r="A20" s="548">
        <f>August!A32</f>
        <v>18</v>
      </c>
      <c r="B20" s="61" t="str">
        <f>August!B32</f>
        <v>ti</v>
      </c>
      <c r="C20" s="122" t="str">
        <f>August!C32</f>
        <v>Skema 1</v>
      </c>
      <c r="D20" s="549" t="str">
        <f>August!D32</f>
        <v/>
      </c>
      <c r="E20" s="548">
        <f>September!A31</f>
        <v>18</v>
      </c>
      <c r="F20" s="61" t="str">
        <f>September!B31</f>
        <v>fr</v>
      </c>
      <c r="G20" s="122" t="str">
        <f>September!C31</f>
        <v>Skema 1</v>
      </c>
      <c r="H20" s="549" t="str">
        <f>September!D31</f>
        <v/>
      </c>
      <c r="I20" s="548">
        <f>Oktober!A31</f>
        <v>18</v>
      </c>
      <c r="J20" s="61" t="str">
        <f>Oktober!B31</f>
        <v>sø</v>
      </c>
      <c r="K20" s="122" t="str">
        <f>Oktober!C31</f>
        <v>Weekend</v>
      </c>
      <c r="L20" s="549" t="str">
        <f>Oktober!D31</f>
        <v/>
      </c>
      <c r="M20" s="548">
        <f>November!A31</f>
        <v>18</v>
      </c>
      <c r="N20" s="61" t="str">
        <f>November!B31</f>
        <v>on</v>
      </c>
      <c r="O20" s="122" t="str">
        <f>November!C31</f>
        <v>Skema 1</v>
      </c>
      <c r="P20" s="549" t="str">
        <f>November!D31</f>
        <v/>
      </c>
      <c r="Q20" s="548">
        <f>December!A31</f>
        <v>18</v>
      </c>
      <c r="R20" s="61" t="str">
        <f>December!B31</f>
        <v>fr</v>
      </c>
      <c r="S20" s="122" t="str">
        <f>December!C31</f>
        <v>Emnedag</v>
      </c>
      <c r="T20" s="549" t="str">
        <f>December!D31</f>
        <v/>
      </c>
      <c r="U20" s="61">
        <f>Januar!A31</f>
        <v>18</v>
      </c>
      <c r="V20" s="61" t="str">
        <f>Januar!B31</f>
        <v>ma</v>
      </c>
      <c r="W20" s="122" t="str">
        <f>Januar!C31</f>
        <v>Skema 1</v>
      </c>
      <c r="X20" s="123">
        <f>Januar!D31</f>
        <v>3.4285714285714284</v>
      </c>
      <c r="Y20" s="548">
        <f>Februar!A31</f>
        <v>18</v>
      </c>
      <c r="Z20" s="61" t="str">
        <f>Februar!B31</f>
        <v>to</v>
      </c>
      <c r="AA20" s="122" t="str">
        <f>Februar!C31</f>
        <v>Nul-dag</v>
      </c>
      <c r="AB20" s="549" t="str">
        <f>Februar!D31</f>
        <v/>
      </c>
      <c r="AC20" s="61">
        <f>Marts!A31</f>
        <v>18</v>
      </c>
      <c r="AD20" s="61" t="str">
        <f>Marts!B31</f>
        <v>to</v>
      </c>
      <c r="AE20" s="122" t="str">
        <f>Marts!C31</f>
        <v>Skema 1</v>
      </c>
      <c r="AF20" s="123" t="str">
        <f>Marts!D31</f>
        <v/>
      </c>
      <c r="AG20" s="548">
        <f>April!A31</f>
        <v>18</v>
      </c>
      <c r="AH20" s="61" t="str">
        <f>April!B31</f>
        <v>sø</v>
      </c>
      <c r="AI20" s="122" t="str">
        <f>April!C31</f>
        <v>Weekend</v>
      </c>
      <c r="AJ20" s="549" t="str">
        <f>April!D31</f>
        <v/>
      </c>
      <c r="AK20" s="556">
        <f>Maj!A31</f>
        <v>18</v>
      </c>
      <c r="AL20" s="557" t="str">
        <f>Maj!B31</f>
        <v>ti</v>
      </c>
      <c r="AM20" s="122" t="str">
        <f>Maj!C31</f>
        <v>Skema 1</v>
      </c>
      <c r="AN20" s="558" t="str">
        <f>Maj!D31</f>
        <v/>
      </c>
      <c r="AO20" s="556">
        <f>Juni!A31</f>
        <v>18</v>
      </c>
      <c r="AP20" s="557" t="str">
        <f>Juni!B31</f>
        <v>fr</v>
      </c>
      <c r="AQ20" s="122" t="str">
        <f>Juni!C31</f>
        <v>Skema 1</v>
      </c>
      <c r="AR20" s="558" t="str">
        <f>Juni!D31</f>
        <v/>
      </c>
      <c r="AS20" s="556">
        <f>Juli!A31</f>
        <v>18</v>
      </c>
      <c r="AT20" s="557" t="str">
        <f>Juli!B31</f>
        <v>sø</v>
      </c>
      <c r="AU20" s="122" t="str">
        <f>Juli!C31</f>
        <v>Weekend</v>
      </c>
      <c r="AV20" s="558" t="str">
        <f>Juli!D31</f>
        <v/>
      </c>
    </row>
    <row r="21" spans="1:48" ht="24" customHeight="1">
      <c r="A21" s="548">
        <f>August!A33</f>
        <v>19</v>
      </c>
      <c r="B21" s="61" t="str">
        <f>August!B33</f>
        <v>on</v>
      </c>
      <c r="C21" s="122" t="str">
        <f>August!C33</f>
        <v>Skema 1</v>
      </c>
      <c r="D21" s="549" t="str">
        <f>August!D33</f>
        <v/>
      </c>
      <c r="E21" s="548">
        <f>September!A32</f>
        <v>19</v>
      </c>
      <c r="F21" s="61" t="str">
        <f>September!B32</f>
        <v>lø</v>
      </c>
      <c r="G21" s="122" t="str">
        <f>September!C32</f>
        <v>Weekend</v>
      </c>
      <c r="H21" s="549" t="str">
        <f>September!D32</f>
        <v/>
      </c>
      <c r="I21" s="548">
        <f>Oktober!A32</f>
        <v>19</v>
      </c>
      <c r="J21" s="61" t="str">
        <f>Oktober!B32</f>
        <v>ma</v>
      </c>
      <c r="K21" s="122" t="str">
        <f>Oktober!C32</f>
        <v>Skema 1</v>
      </c>
      <c r="L21" s="549">
        <f>Oktober!D32</f>
        <v>42.571428571428569</v>
      </c>
      <c r="M21" s="548">
        <f>November!A32</f>
        <v>19</v>
      </c>
      <c r="N21" s="61" t="str">
        <f>November!B32</f>
        <v>to</v>
      </c>
      <c r="O21" s="122" t="str">
        <f>November!C32</f>
        <v>Skema 1</v>
      </c>
      <c r="P21" s="549" t="str">
        <f>November!D32</f>
        <v/>
      </c>
      <c r="Q21" s="548">
        <f>December!A32</f>
        <v>19</v>
      </c>
      <c r="R21" s="61" t="str">
        <f>December!B32</f>
        <v>lø</v>
      </c>
      <c r="S21" s="122" t="str">
        <f>December!C32</f>
        <v>Weekend</v>
      </c>
      <c r="T21" s="549" t="str">
        <f>December!D32</f>
        <v/>
      </c>
      <c r="U21" s="61">
        <f>Januar!A32</f>
        <v>19</v>
      </c>
      <c r="V21" s="61" t="str">
        <f>Januar!B32</f>
        <v>ti</v>
      </c>
      <c r="W21" s="122" t="str">
        <f>Januar!C32</f>
        <v>Skema 1</v>
      </c>
      <c r="X21" s="123" t="str">
        <f>Januar!D32</f>
        <v/>
      </c>
      <c r="Y21" s="548">
        <f>Februar!A32</f>
        <v>19</v>
      </c>
      <c r="Z21" s="61" t="str">
        <f>Februar!B32</f>
        <v>fr</v>
      </c>
      <c r="AA21" s="122" t="str">
        <f>Februar!C32</f>
        <v>Nul-dag</v>
      </c>
      <c r="AB21" s="549" t="str">
        <f>Februar!D32</f>
        <v/>
      </c>
      <c r="AC21" s="61">
        <f>Marts!A32</f>
        <v>19</v>
      </c>
      <c r="AD21" s="61" t="str">
        <f>Marts!B32</f>
        <v>fr</v>
      </c>
      <c r="AE21" s="122" t="str">
        <f>Marts!C32</f>
        <v>Skema 1</v>
      </c>
      <c r="AF21" s="123" t="str">
        <f>Marts!D32</f>
        <v/>
      </c>
      <c r="AG21" s="548">
        <f>April!A32</f>
        <v>19</v>
      </c>
      <c r="AH21" s="61" t="str">
        <f>April!B32</f>
        <v>ma</v>
      </c>
      <c r="AI21" s="122" t="str">
        <f>April!C32</f>
        <v>Skema 1</v>
      </c>
      <c r="AJ21" s="549">
        <f>April!D32</f>
        <v>16.428571428571427</v>
      </c>
      <c r="AK21" s="556">
        <f>Maj!A32</f>
        <v>19</v>
      </c>
      <c r="AL21" s="557" t="str">
        <f>Maj!B32</f>
        <v>on</v>
      </c>
      <c r="AM21" s="122" t="str">
        <f>Maj!C32</f>
        <v>Skema 1</v>
      </c>
      <c r="AN21" s="558" t="str">
        <f>Maj!D32</f>
        <v/>
      </c>
      <c r="AO21" s="556">
        <f>Juni!A32</f>
        <v>19</v>
      </c>
      <c r="AP21" s="557" t="str">
        <f>Juni!B32</f>
        <v>lø</v>
      </c>
      <c r="AQ21" s="122" t="str">
        <f>Juni!C32</f>
        <v>Weekend</v>
      </c>
      <c r="AR21" s="558" t="str">
        <f>Juni!D32</f>
        <v/>
      </c>
      <c r="AS21" s="556">
        <f>Juli!A32</f>
        <v>19</v>
      </c>
      <c r="AT21" s="557" t="str">
        <f>Juli!B32</f>
        <v>ma</v>
      </c>
      <c r="AU21" s="122" t="str">
        <f>Juli!C32</f>
        <v>Feriedag</v>
      </c>
      <c r="AV21" s="558">
        <f>Juli!D32</f>
        <v>29.428571428571427</v>
      </c>
    </row>
    <row r="22" spans="1:48" ht="24" customHeight="1">
      <c r="A22" s="548">
        <f>August!A34</f>
        <v>20</v>
      </c>
      <c r="B22" s="61" t="str">
        <f>August!B34</f>
        <v>to</v>
      </c>
      <c r="C22" s="122" t="str">
        <f>August!C34</f>
        <v>Skema 1</v>
      </c>
      <c r="D22" s="549" t="str">
        <f>August!D34</f>
        <v/>
      </c>
      <c r="E22" s="548">
        <f>September!A33</f>
        <v>20</v>
      </c>
      <c r="F22" s="61" t="str">
        <f>September!B33</f>
        <v>sø</v>
      </c>
      <c r="G22" s="122" t="str">
        <f>September!C33</f>
        <v>Weekend</v>
      </c>
      <c r="H22" s="549" t="str">
        <f>September!D33</f>
        <v/>
      </c>
      <c r="I22" s="548">
        <f>Oktober!A33</f>
        <v>20</v>
      </c>
      <c r="J22" s="61" t="str">
        <f>Oktober!B33</f>
        <v>ti</v>
      </c>
      <c r="K22" s="122" t="str">
        <f>Oktober!C33</f>
        <v>Skema 1</v>
      </c>
      <c r="L22" s="549" t="str">
        <f>Oktober!D33</f>
        <v/>
      </c>
      <c r="M22" s="548">
        <f>November!A33</f>
        <v>20</v>
      </c>
      <c r="N22" s="61" t="str">
        <f>November!B33</f>
        <v>fr</v>
      </c>
      <c r="O22" s="122" t="str">
        <f>November!C33</f>
        <v>Skema 1</v>
      </c>
      <c r="P22" s="549" t="str">
        <f>November!D33</f>
        <v/>
      </c>
      <c r="Q22" s="548">
        <f>December!A33</f>
        <v>20</v>
      </c>
      <c r="R22" s="61" t="str">
        <f>December!B33</f>
        <v>sø</v>
      </c>
      <c r="S22" s="122" t="str">
        <f>December!C33</f>
        <v>Weekend</v>
      </c>
      <c r="T22" s="549" t="str">
        <f>December!D33</f>
        <v/>
      </c>
      <c r="U22" s="61">
        <f>Januar!A33</f>
        <v>20</v>
      </c>
      <c r="V22" s="61" t="str">
        <f>Januar!B33</f>
        <v>on</v>
      </c>
      <c r="W22" s="122" t="str">
        <f>Januar!C33</f>
        <v>Skema 1</v>
      </c>
      <c r="X22" s="123" t="str">
        <f>Januar!D33</f>
        <v/>
      </c>
      <c r="Y22" s="548">
        <f>Februar!A33</f>
        <v>20</v>
      </c>
      <c r="Z22" s="61" t="str">
        <f>Februar!B33</f>
        <v>lø</v>
      </c>
      <c r="AA22" s="122" t="str">
        <f>Februar!C33</f>
        <v>Weekend</v>
      </c>
      <c r="AB22" s="549" t="str">
        <f>Februar!D33</f>
        <v/>
      </c>
      <c r="AC22" s="61">
        <f>Marts!A33</f>
        <v>20</v>
      </c>
      <c r="AD22" s="61" t="str">
        <f>Marts!B33</f>
        <v>lø</v>
      </c>
      <c r="AE22" s="122" t="str">
        <f>Marts!C33</f>
        <v>Weekend</v>
      </c>
      <c r="AF22" s="123" t="str">
        <f>Marts!D33</f>
        <v/>
      </c>
      <c r="AG22" s="548">
        <f>April!A33</f>
        <v>20</v>
      </c>
      <c r="AH22" s="61" t="str">
        <f>April!B33</f>
        <v>ti</v>
      </c>
      <c r="AI22" s="122" t="str">
        <f>April!C33</f>
        <v>Skema 1</v>
      </c>
      <c r="AJ22" s="549" t="str">
        <f>April!D33</f>
        <v/>
      </c>
      <c r="AK22" s="556">
        <f>Maj!A33</f>
        <v>20</v>
      </c>
      <c r="AL22" s="557" t="str">
        <f>Maj!B33</f>
        <v>to</v>
      </c>
      <c r="AM22" s="122" t="str">
        <f>Maj!C33</f>
        <v>Skema 1</v>
      </c>
      <c r="AN22" s="558" t="str">
        <f>Maj!D33</f>
        <v/>
      </c>
      <c r="AO22" s="556">
        <f>Juni!A33</f>
        <v>20</v>
      </c>
      <c r="AP22" s="557" t="str">
        <f>Juni!B33</f>
        <v>sø</v>
      </c>
      <c r="AQ22" s="122" t="str">
        <f>Juni!C33</f>
        <v>Weekend</v>
      </c>
      <c r="AR22" s="558" t="str">
        <f>Juni!D33</f>
        <v/>
      </c>
      <c r="AS22" s="556">
        <f>Juli!A33</f>
        <v>20</v>
      </c>
      <c r="AT22" s="557" t="str">
        <f>Juli!B33</f>
        <v>ti</v>
      </c>
      <c r="AU22" s="122" t="str">
        <f>Juli!C33</f>
        <v>Feriedag</v>
      </c>
      <c r="AV22" s="558" t="str">
        <f>Juli!D33</f>
        <v/>
      </c>
    </row>
    <row r="23" spans="1:48" ht="24" customHeight="1">
      <c r="A23" s="548">
        <f>August!A35</f>
        <v>21</v>
      </c>
      <c r="B23" s="61" t="str">
        <f>August!B35</f>
        <v>fr</v>
      </c>
      <c r="C23" s="122" t="str">
        <f>August!C35</f>
        <v>Skema 1</v>
      </c>
      <c r="D23" s="549" t="str">
        <f>August!D35</f>
        <v/>
      </c>
      <c r="E23" s="548">
        <f>September!A34</f>
        <v>21</v>
      </c>
      <c r="F23" s="61" t="str">
        <f>September!B34</f>
        <v>ma</v>
      </c>
      <c r="G23" s="122" t="str">
        <f>September!C34</f>
        <v>Skema 1</v>
      </c>
      <c r="H23" s="549">
        <f>September!D34</f>
        <v>38.571428571428569</v>
      </c>
      <c r="I23" s="548">
        <f>Oktober!A34</f>
        <v>21</v>
      </c>
      <c r="J23" s="61" t="str">
        <f>Oktober!B34</f>
        <v>on</v>
      </c>
      <c r="K23" s="122" t="str">
        <f>Oktober!C34</f>
        <v>Skema 1</v>
      </c>
      <c r="L23" s="549" t="str">
        <f>Oktober!D34</f>
        <v/>
      </c>
      <c r="M23" s="548">
        <f>November!A34</f>
        <v>21</v>
      </c>
      <c r="N23" s="61" t="str">
        <f>November!B34</f>
        <v>lø</v>
      </c>
      <c r="O23" s="122" t="str">
        <f>November!C34</f>
        <v>Weekend</v>
      </c>
      <c r="P23" s="549" t="str">
        <f>November!D34</f>
        <v/>
      </c>
      <c r="Q23" s="548">
        <f>December!A34</f>
        <v>21</v>
      </c>
      <c r="R23" s="61" t="str">
        <f>December!B34</f>
        <v>ma</v>
      </c>
      <c r="S23" s="122" t="str">
        <f>December!C34</f>
        <v>Nul-dag</v>
      </c>
      <c r="T23" s="549">
        <f>December!D34</f>
        <v>51.571428571428569</v>
      </c>
      <c r="U23" s="61">
        <f>Januar!A34</f>
        <v>21</v>
      </c>
      <c r="V23" s="61" t="str">
        <f>Januar!B34</f>
        <v>to</v>
      </c>
      <c r="W23" s="122" t="str">
        <f>Januar!C34</f>
        <v>Skema 1</v>
      </c>
      <c r="X23" s="123" t="str">
        <f>Januar!D34</f>
        <v/>
      </c>
      <c r="Y23" s="548">
        <f>Februar!A34</f>
        <v>21</v>
      </c>
      <c r="Z23" s="61" t="str">
        <f>Februar!B34</f>
        <v>sø</v>
      </c>
      <c r="AA23" s="122" t="str">
        <f>Februar!C34</f>
        <v>Weekend</v>
      </c>
      <c r="AB23" s="549" t="str">
        <f>Februar!D34</f>
        <v/>
      </c>
      <c r="AC23" s="61">
        <f>Marts!A34</f>
        <v>21</v>
      </c>
      <c r="AD23" s="61" t="str">
        <f>Marts!B34</f>
        <v>sø</v>
      </c>
      <c r="AE23" s="122" t="str">
        <f>Marts!C34</f>
        <v>Weekend</v>
      </c>
      <c r="AF23" s="123" t="str">
        <f>Marts!D34</f>
        <v/>
      </c>
      <c r="AG23" s="548">
        <f>April!A34</f>
        <v>21</v>
      </c>
      <c r="AH23" s="61" t="str">
        <f>April!B34</f>
        <v>on</v>
      </c>
      <c r="AI23" s="122" t="str">
        <f>April!C34</f>
        <v>Skema 1</v>
      </c>
      <c r="AJ23" s="549" t="str">
        <f>April!D34</f>
        <v/>
      </c>
      <c r="AK23" s="556">
        <f>Maj!A34</f>
        <v>21</v>
      </c>
      <c r="AL23" s="557" t="str">
        <f>Maj!B34</f>
        <v>fr</v>
      </c>
      <c r="AM23" s="122" t="str">
        <f>Maj!C34</f>
        <v>Skema 1</v>
      </c>
      <c r="AN23" s="558" t="str">
        <f>Maj!D34</f>
        <v/>
      </c>
      <c r="AO23" s="556">
        <f>Juni!A34</f>
        <v>21</v>
      </c>
      <c r="AP23" s="557" t="str">
        <f>Juni!B34</f>
        <v>ma</v>
      </c>
      <c r="AQ23" s="122" t="str">
        <f>Juni!C34</f>
        <v>Skema 1</v>
      </c>
      <c r="AR23" s="558">
        <f>Juni!D34</f>
        <v>25.428571428571427</v>
      </c>
      <c r="AS23" s="556">
        <f>Juli!A34</f>
        <v>21</v>
      </c>
      <c r="AT23" s="557" t="str">
        <f>Juli!B34</f>
        <v>on</v>
      </c>
      <c r="AU23" s="122" t="str">
        <f>Juli!C34</f>
        <v>Feriedag</v>
      </c>
      <c r="AV23" s="558" t="str">
        <f>Juli!D34</f>
        <v/>
      </c>
    </row>
    <row r="24" spans="1:48" ht="24" customHeight="1">
      <c r="A24" s="548">
        <f>August!A36</f>
        <v>22</v>
      </c>
      <c r="B24" s="61" t="str">
        <f>August!B36</f>
        <v>lø</v>
      </c>
      <c r="C24" s="122" t="str">
        <f>August!C36</f>
        <v>Weekend</v>
      </c>
      <c r="D24" s="549" t="str">
        <f>August!D36</f>
        <v/>
      </c>
      <c r="E24" s="548">
        <f>September!A35</f>
        <v>22</v>
      </c>
      <c r="F24" s="61" t="str">
        <f>September!B35</f>
        <v>ti</v>
      </c>
      <c r="G24" s="122" t="str">
        <f>September!C35</f>
        <v>Skema 1</v>
      </c>
      <c r="H24" s="549" t="str">
        <f>September!D35</f>
        <v/>
      </c>
      <c r="I24" s="548">
        <f>Oktober!A35</f>
        <v>22</v>
      </c>
      <c r="J24" s="61" t="str">
        <f>Oktober!B35</f>
        <v>to</v>
      </c>
      <c r="K24" s="122" t="str">
        <f>Oktober!C35</f>
        <v>Skema 1</v>
      </c>
      <c r="L24" s="549" t="str">
        <f>Oktober!D35</f>
        <v/>
      </c>
      <c r="M24" s="548">
        <f>November!A35</f>
        <v>22</v>
      </c>
      <c r="N24" s="61" t="str">
        <f>November!B35</f>
        <v>sø</v>
      </c>
      <c r="O24" s="122" t="str">
        <f>November!C35</f>
        <v>Weekend</v>
      </c>
      <c r="P24" s="549" t="str">
        <f>November!D35</f>
        <v/>
      </c>
      <c r="Q24" s="548">
        <f>December!A35</f>
        <v>22</v>
      </c>
      <c r="R24" s="61" t="str">
        <f>December!B35</f>
        <v>ti</v>
      </c>
      <c r="S24" s="122" t="str">
        <f>December!C35</f>
        <v>Nul-dag</v>
      </c>
      <c r="T24" s="549" t="str">
        <f>December!D35</f>
        <v/>
      </c>
      <c r="U24" s="61">
        <f>Januar!A35</f>
        <v>22</v>
      </c>
      <c r="V24" s="61" t="str">
        <f>Januar!B35</f>
        <v>fr</v>
      </c>
      <c r="W24" s="122" t="str">
        <f>Januar!C35</f>
        <v>Skema 1</v>
      </c>
      <c r="X24" s="123" t="str">
        <f>Januar!D35</f>
        <v/>
      </c>
      <c r="Y24" s="548">
        <f>Februar!A35</f>
        <v>22</v>
      </c>
      <c r="Z24" s="61" t="str">
        <f>Februar!B35</f>
        <v>ma</v>
      </c>
      <c r="AA24" s="122" t="str">
        <f>Februar!C35</f>
        <v>Skema 1</v>
      </c>
      <c r="AB24" s="549">
        <f>Februar!D35</f>
        <v>8.4285714285714288</v>
      </c>
      <c r="AC24" s="61">
        <f>Marts!A35</f>
        <v>22</v>
      </c>
      <c r="AD24" s="61" t="str">
        <f>Marts!B35</f>
        <v>ma</v>
      </c>
      <c r="AE24" s="122" t="str">
        <f>Marts!C35</f>
        <v>Nul-dag</v>
      </c>
      <c r="AF24" s="123">
        <f>Marts!D35</f>
        <v>12.428571428571429</v>
      </c>
      <c r="AG24" s="548">
        <f>April!A35</f>
        <v>22</v>
      </c>
      <c r="AH24" s="61" t="str">
        <f>April!B35</f>
        <v>to</v>
      </c>
      <c r="AI24" s="122" t="str">
        <f>April!C35</f>
        <v>Skema 1</v>
      </c>
      <c r="AJ24" s="549" t="str">
        <f>April!D35</f>
        <v/>
      </c>
      <c r="AK24" s="556">
        <f>Maj!A35</f>
        <v>22</v>
      </c>
      <c r="AL24" s="557" t="str">
        <f>Maj!B35</f>
        <v>lø</v>
      </c>
      <c r="AM24" s="122" t="str">
        <f>Maj!C35</f>
        <v>Weekend</v>
      </c>
      <c r="AN24" s="558" t="str">
        <f>Maj!D35</f>
        <v/>
      </c>
      <c r="AO24" s="556">
        <f>Juni!A35</f>
        <v>22</v>
      </c>
      <c r="AP24" s="557" t="str">
        <f>Juni!B35</f>
        <v>ti</v>
      </c>
      <c r="AQ24" s="122" t="str">
        <f>Juni!C35</f>
        <v>Skema 1</v>
      </c>
      <c r="AR24" s="558" t="str">
        <f>Juni!D35</f>
        <v/>
      </c>
      <c r="AS24" s="556">
        <f>Juli!A35</f>
        <v>22</v>
      </c>
      <c r="AT24" s="557" t="str">
        <f>Juli!B35</f>
        <v>to</v>
      </c>
      <c r="AU24" s="122" t="str">
        <f>Juli!C35</f>
        <v>Feriedag</v>
      </c>
      <c r="AV24" s="558" t="str">
        <f>Juli!D35</f>
        <v/>
      </c>
    </row>
    <row r="25" spans="1:48" ht="24" customHeight="1">
      <c r="A25" s="548">
        <f>August!A37</f>
        <v>23</v>
      </c>
      <c r="B25" s="61" t="str">
        <f>August!B37</f>
        <v>sø</v>
      </c>
      <c r="C25" s="122" t="str">
        <f>August!C37</f>
        <v>Weekend</v>
      </c>
      <c r="D25" s="549" t="str">
        <f>August!D37</f>
        <v/>
      </c>
      <c r="E25" s="548">
        <f>September!A36</f>
        <v>23</v>
      </c>
      <c r="F25" s="61" t="str">
        <f>September!B36</f>
        <v>on</v>
      </c>
      <c r="G25" s="122" t="str">
        <f>September!C36</f>
        <v>Skema 1</v>
      </c>
      <c r="H25" s="549" t="str">
        <f>September!D36</f>
        <v/>
      </c>
      <c r="I25" s="548">
        <f>Oktober!A36</f>
        <v>23</v>
      </c>
      <c r="J25" s="61" t="str">
        <f>Oktober!B36</f>
        <v>fr</v>
      </c>
      <c r="K25" s="122" t="str">
        <f>Oktober!C36</f>
        <v>Skema 1</v>
      </c>
      <c r="L25" s="549" t="str">
        <f>Oktober!D36</f>
        <v/>
      </c>
      <c r="M25" s="548">
        <f>November!A36</f>
        <v>23</v>
      </c>
      <c r="N25" s="61" t="str">
        <f>November!B36</f>
        <v>ma</v>
      </c>
      <c r="O25" s="122" t="str">
        <f>November!C36</f>
        <v>Skema 1</v>
      </c>
      <c r="P25" s="549">
        <f>November!D36</f>
        <v>47.571428571428569</v>
      </c>
      <c r="Q25" s="548">
        <f>December!A36</f>
        <v>23</v>
      </c>
      <c r="R25" s="61" t="str">
        <f>December!B36</f>
        <v>on</v>
      </c>
      <c r="S25" s="122" t="str">
        <f>December!C36</f>
        <v>Nul-dag</v>
      </c>
      <c r="T25" s="549" t="str">
        <f>December!D36</f>
        <v/>
      </c>
      <c r="U25" s="61">
        <f>Januar!A36</f>
        <v>23</v>
      </c>
      <c r="V25" s="61" t="str">
        <f>Januar!B36</f>
        <v>lø</v>
      </c>
      <c r="W25" s="122" t="str">
        <f>Januar!C36</f>
        <v>Weekend</v>
      </c>
      <c r="X25" s="123" t="str">
        <f>Januar!D36</f>
        <v/>
      </c>
      <c r="Y25" s="548">
        <f>Februar!A36</f>
        <v>23</v>
      </c>
      <c r="Z25" s="61" t="str">
        <f>Februar!B36</f>
        <v>ti</v>
      </c>
      <c r="AA25" s="122" t="str">
        <f>Februar!C36</f>
        <v>Skema 1</v>
      </c>
      <c r="AB25" s="549" t="str">
        <f>Februar!D36</f>
        <v/>
      </c>
      <c r="AC25" s="61">
        <f>Marts!A36</f>
        <v>23</v>
      </c>
      <c r="AD25" s="61" t="str">
        <f>Marts!B36</f>
        <v>ti</v>
      </c>
      <c r="AE25" s="122" t="str">
        <f>Marts!C36</f>
        <v>Nul-dag</v>
      </c>
      <c r="AF25" s="123" t="str">
        <f>Marts!D36</f>
        <v/>
      </c>
      <c r="AG25" s="548">
        <f>April!A36</f>
        <v>23</v>
      </c>
      <c r="AH25" s="61" t="str">
        <f>April!B36</f>
        <v>fr</v>
      </c>
      <c r="AI25" s="122" t="str">
        <f>April!C36</f>
        <v>Skema 1</v>
      </c>
      <c r="AJ25" s="549" t="str">
        <f>April!D36</f>
        <v/>
      </c>
      <c r="AK25" s="556">
        <f>Maj!A36</f>
        <v>23</v>
      </c>
      <c r="AL25" s="557" t="str">
        <f>Maj!B36</f>
        <v>sø</v>
      </c>
      <c r="AM25" s="122" t="str">
        <f>Maj!C36</f>
        <v>Weekend</v>
      </c>
      <c r="AN25" s="558" t="str">
        <f>Maj!D36</f>
        <v/>
      </c>
      <c r="AO25" s="556">
        <f>Juni!A36</f>
        <v>23</v>
      </c>
      <c r="AP25" s="557" t="str">
        <f>Juni!B36</f>
        <v>on</v>
      </c>
      <c r="AQ25" s="122" t="str">
        <f>Juni!C36</f>
        <v>Skema 1</v>
      </c>
      <c r="AR25" s="558" t="str">
        <f>Juni!D36</f>
        <v/>
      </c>
      <c r="AS25" s="556">
        <f>Juli!A36</f>
        <v>23</v>
      </c>
      <c r="AT25" s="557" t="str">
        <f>Juli!B36</f>
        <v>fr</v>
      </c>
      <c r="AU25" s="122" t="str">
        <f>Juli!C36</f>
        <v>Feriedag</v>
      </c>
      <c r="AV25" s="558" t="str">
        <f>Juli!D36</f>
        <v/>
      </c>
    </row>
    <row r="26" spans="1:48" ht="24" customHeight="1">
      <c r="A26" s="548">
        <f>August!A38</f>
        <v>24</v>
      </c>
      <c r="B26" s="61" t="str">
        <f>August!B38</f>
        <v>ma</v>
      </c>
      <c r="C26" s="122" t="str">
        <f>August!C38</f>
        <v>Skema 1</v>
      </c>
      <c r="D26" s="549">
        <f>August!D38</f>
        <v>34.571428571428569</v>
      </c>
      <c r="E26" s="548">
        <f>September!A37</f>
        <v>24</v>
      </c>
      <c r="F26" s="61" t="str">
        <f>September!B37</f>
        <v>to</v>
      </c>
      <c r="G26" s="122" t="str">
        <f>September!C37</f>
        <v>Skema 1</v>
      </c>
      <c r="H26" s="549" t="str">
        <f>September!D37</f>
        <v/>
      </c>
      <c r="I26" s="548">
        <f>Oktober!A37</f>
        <v>24</v>
      </c>
      <c r="J26" s="61" t="str">
        <f>Oktober!B37</f>
        <v>lø</v>
      </c>
      <c r="K26" s="122" t="str">
        <f>Oktober!C37</f>
        <v>Weekend</v>
      </c>
      <c r="L26" s="549" t="str">
        <f>Oktober!D37</f>
        <v/>
      </c>
      <c r="M26" s="548">
        <f>November!A37</f>
        <v>24</v>
      </c>
      <c r="N26" s="61" t="str">
        <f>November!B37</f>
        <v>ti</v>
      </c>
      <c r="O26" s="122" t="str">
        <f>November!C37</f>
        <v>Skema 1</v>
      </c>
      <c r="P26" s="549" t="str">
        <f>November!D37</f>
        <v/>
      </c>
      <c r="Q26" s="548">
        <f>December!A37</f>
        <v>24</v>
      </c>
      <c r="R26" s="61" t="str">
        <f>December!B37</f>
        <v>to</v>
      </c>
      <c r="S26" s="122" t="str">
        <f>December!C37</f>
        <v>Nul-dag</v>
      </c>
      <c r="T26" s="549" t="str">
        <f>December!D37</f>
        <v/>
      </c>
      <c r="U26" s="61">
        <f>Januar!A37</f>
        <v>24</v>
      </c>
      <c r="V26" s="61" t="str">
        <f>Januar!B37</f>
        <v>sø</v>
      </c>
      <c r="W26" s="122" t="str">
        <f>Januar!C37</f>
        <v>Weekend</v>
      </c>
      <c r="X26" s="123" t="str">
        <f>Januar!D37</f>
        <v/>
      </c>
      <c r="Y26" s="548">
        <f>Februar!A37</f>
        <v>24</v>
      </c>
      <c r="Z26" s="61" t="str">
        <f>Februar!B37</f>
        <v>on</v>
      </c>
      <c r="AA26" s="122" t="str">
        <f>Februar!C37</f>
        <v>Skema 1</v>
      </c>
      <c r="AB26" s="549" t="str">
        <f>Februar!D37</f>
        <v/>
      </c>
      <c r="AC26" s="61">
        <f>Marts!A37</f>
        <v>24</v>
      </c>
      <c r="AD26" s="61" t="str">
        <f>Marts!B37</f>
        <v>on</v>
      </c>
      <c r="AE26" s="122" t="str">
        <f>Marts!C37</f>
        <v>Nul-dag</v>
      </c>
      <c r="AF26" s="123" t="str">
        <f>Marts!D37</f>
        <v/>
      </c>
      <c r="AG26" s="548">
        <f>April!A37</f>
        <v>24</v>
      </c>
      <c r="AH26" s="61" t="str">
        <f>April!B37</f>
        <v>lø</v>
      </c>
      <c r="AI26" s="122" t="str">
        <f>April!C37</f>
        <v>Weekend</v>
      </c>
      <c r="AJ26" s="549" t="str">
        <f>April!D37</f>
        <v/>
      </c>
      <c r="AK26" s="556">
        <f>Maj!A37</f>
        <v>24</v>
      </c>
      <c r="AL26" s="557" t="str">
        <f>Maj!B37</f>
        <v>ma</v>
      </c>
      <c r="AM26" s="122" t="str">
        <f>Maj!C37</f>
        <v>Skema 1</v>
      </c>
      <c r="AN26" s="558">
        <f>Maj!D37</f>
        <v>21.428571428571427</v>
      </c>
      <c r="AO26" s="556">
        <f>Juni!A37</f>
        <v>24</v>
      </c>
      <c r="AP26" s="557" t="str">
        <f>Juni!B37</f>
        <v>to</v>
      </c>
      <c r="AQ26" s="122" t="str">
        <f>Juni!C37</f>
        <v>Skema 1</v>
      </c>
      <c r="AR26" s="558" t="str">
        <f>Juni!D37</f>
        <v/>
      </c>
      <c r="AS26" s="556">
        <f>Juli!A37</f>
        <v>24</v>
      </c>
      <c r="AT26" s="557" t="str">
        <f>Juli!B37</f>
        <v>lø</v>
      </c>
      <c r="AU26" s="122" t="str">
        <f>Juli!C37</f>
        <v>Weekend</v>
      </c>
      <c r="AV26" s="558" t="str">
        <f>Juli!D37</f>
        <v/>
      </c>
    </row>
    <row r="27" spans="1:48" ht="24" customHeight="1">
      <c r="A27" s="548">
        <f>August!A39</f>
        <v>25</v>
      </c>
      <c r="B27" s="61" t="str">
        <f>August!B39</f>
        <v>ti</v>
      </c>
      <c r="C27" s="122" t="str">
        <f>August!C39</f>
        <v>Skema 1</v>
      </c>
      <c r="D27" s="549" t="str">
        <f>August!D39</f>
        <v/>
      </c>
      <c r="E27" s="548">
        <f>September!A38</f>
        <v>25</v>
      </c>
      <c r="F27" s="61" t="str">
        <f>September!B38</f>
        <v>fr</v>
      </c>
      <c r="G27" s="122" t="str">
        <f>September!C38</f>
        <v>Skema 1</v>
      </c>
      <c r="H27" s="549" t="str">
        <f>September!D38</f>
        <v/>
      </c>
      <c r="I27" s="548">
        <f>Oktober!A38</f>
        <v>25</v>
      </c>
      <c r="J27" s="61" t="str">
        <f>Oktober!B38</f>
        <v>sø</v>
      </c>
      <c r="K27" s="122" t="str">
        <f>Oktober!C38</f>
        <v>Weekend</v>
      </c>
      <c r="L27" s="549" t="str">
        <f>Oktober!D38</f>
        <v/>
      </c>
      <c r="M27" s="548">
        <f>November!A38</f>
        <v>25</v>
      </c>
      <c r="N27" s="61" t="str">
        <f>November!B38</f>
        <v>on</v>
      </c>
      <c r="O27" s="122" t="str">
        <f>November!C38</f>
        <v>Skema 1</v>
      </c>
      <c r="P27" s="549" t="str">
        <f>November!D38</f>
        <v/>
      </c>
      <c r="Q27" s="548">
        <f>December!A38</f>
        <v>25</v>
      </c>
      <c r="R27" s="61" t="str">
        <f>December!B38</f>
        <v>fr</v>
      </c>
      <c r="S27" s="122" t="str">
        <f>December!C38</f>
        <v>SH-dag</v>
      </c>
      <c r="T27" s="549" t="str">
        <f>December!D38</f>
        <v/>
      </c>
      <c r="U27" s="61">
        <f>Januar!A38</f>
        <v>25</v>
      </c>
      <c r="V27" s="61" t="str">
        <f>Januar!B38</f>
        <v>ma</v>
      </c>
      <c r="W27" s="122" t="str">
        <f>Januar!C38</f>
        <v>Emnedag</v>
      </c>
      <c r="X27" s="123">
        <f>Januar!D38</f>
        <v>4.4285714285714288</v>
      </c>
      <c r="Y27" s="548">
        <f>Februar!A38</f>
        <v>25</v>
      </c>
      <c r="Z27" s="61" t="str">
        <f>Februar!B38</f>
        <v>to</v>
      </c>
      <c r="AA27" s="122" t="str">
        <f>Februar!C38</f>
        <v>Skema 1</v>
      </c>
      <c r="AB27" s="549" t="str">
        <f>Februar!D38</f>
        <v/>
      </c>
      <c r="AC27" s="61">
        <f>Marts!A38</f>
        <v>25</v>
      </c>
      <c r="AD27" s="61" t="str">
        <f>Marts!B38</f>
        <v>to</v>
      </c>
      <c r="AE27" s="122" t="str">
        <f>Marts!C38</f>
        <v>SH-dag</v>
      </c>
      <c r="AF27" s="123" t="str">
        <f>Marts!D38</f>
        <v/>
      </c>
      <c r="AG27" s="548">
        <f>April!A38</f>
        <v>25</v>
      </c>
      <c r="AH27" s="61" t="str">
        <f>April!B38</f>
        <v>sø</v>
      </c>
      <c r="AI27" s="122" t="str">
        <f>April!C38</f>
        <v>Weekend</v>
      </c>
      <c r="AJ27" s="549" t="str">
        <f>April!D38</f>
        <v/>
      </c>
      <c r="AK27" s="556">
        <f>Maj!A38</f>
        <v>25</v>
      </c>
      <c r="AL27" s="557" t="str">
        <f>Maj!B38</f>
        <v>ti</v>
      </c>
      <c r="AM27" s="122" t="str">
        <f>Maj!C38</f>
        <v>Skema 1</v>
      </c>
      <c r="AN27" s="558" t="str">
        <f>Maj!D38</f>
        <v/>
      </c>
      <c r="AO27" s="556">
        <f>Juni!A38</f>
        <v>25</v>
      </c>
      <c r="AP27" s="557" t="str">
        <f>Juni!B38</f>
        <v>fr</v>
      </c>
      <c r="AQ27" s="122" t="str">
        <f>Juni!C38</f>
        <v>Emnedag</v>
      </c>
      <c r="AR27" s="558" t="str">
        <f>Juni!D38</f>
        <v/>
      </c>
      <c r="AS27" s="556">
        <f>Juli!A38</f>
        <v>25</v>
      </c>
      <c r="AT27" s="557" t="str">
        <f>Juli!B38</f>
        <v>sø</v>
      </c>
      <c r="AU27" s="122" t="str">
        <f>Juli!C38</f>
        <v>Weekend</v>
      </c>
      <c r="AV27" s="558" t="str">
        <f>Juli!D38</f>
        <v/>
      </c>
    </row>
    <row r="28" spans="1:48" ht="24" customHeight="1">
      <c r="A28" s="548">
        <f>August!A40</f>
        <v>26</v>
      </c>
      <c r="B28" s="61" t="str">
        <f>August!B40</f>
        <v>on</v>
      </c>
      <c r="C28" s="122" t="str">
        <f>August!C40</f>
        <v>Skema 1</v>
      </c>
      <c r="D28" s="549" t="str">
        <f>August!D40</f>
        <v/>
      </c>
      <c r="E28" s="548">
        <f>September!A39</f>
        <v>26</v>
      </c>
      <c r="F28" s="61" t="str">
        <f>September!B39</f>
        <v>lø</v>
      </c>
      <c r="G28" s="122" t="str">
        <f>September!C39</f>
        <v>Weekend</v>
      </c>
      <c r="H28" s="549" t="str">
        <f>September!D39</f>
        <v/>
      </c>
      <c r="I28" s="548">
        <f>Oktober!A39</f>
        <v>26</v>
      </c>
      <c r="J28" s="61" t="str">
        <f>Oktober!B39</f>
        <v>ma</v>
      </c>
      <c r="K28" s="122" t="str">
        <f>Oktober!C39</f>
        <v>Skema 1</v>
      </c>
      <c r="L28" s="549">
        <f>Oktober!D39</f>
        <v>43.571428571428569</v>
      </c>
      <c r="M28" s="548">
        <f>November!A39</f>
        <v>26</v>
      </c>
      <c r="N28" s="61" t="str">
        <f>November!B39</f>
        <v>to</v>
      </c>
      <c r="O28" s="122" t="str">
        <f>November!C39</f>
        <v>Skema 1</v>
      </c>
      <c r="P28" s="549" t="str">
        <f>November!D39</f>
        <v/>
      </c>
      <c r="Q28" s="548">
        <f>December!A39</f>
        <v>26</v>
      </c>
      <c r="R28" s="61" t="str">
        <f>December!B39</f>
        <v>lø</v>
      </c>
      <c r="S28" s="122" t="str">
        <f>December!C39</f>
        <v>Weekend</v>
      </c>
      <c r="T28" s="549" t="str">
        <f>December!D39</f>
        <v/>
      </c>
      <c r="U28" s="61">
        <f>Januar!A39</f>
        <v>26</v>
      </c>
      <c r="V28" s="61" t="str">
        <f>Januar!B39</f>
        <v>ti</v>
      </c>
      <c r="W28" s="122" t="str">
        <f>Januar!C39</f>
        <v>Emnedag</v>
      </c>
      <c r="X28" s="123" t="str">
        <f>Januar!D39</f>
        <v/>
      </c>
      <c r="Y28" s="548">
        <f>Februar!A39</f>
        <v>26</v>
      </c>
      <c r="Z28" s="61" t="str">
        <f>Februar!B39</f>
        <v>fr</v>
      </c>
      <c r="AA28" s="122" t="str">
        <f>Februar!C39</f>
        <v>Skema 1</v>
      </c>
      <c r="AB28" s="549" t="str">
        <f>Februar!D39</f>
        <v/>
      </c>
      <c r="AC28" s="61">
        <f>Marts!A39</f>
        <v>26</v>
      </c>
      <c r="AD28" s="61" t="str">
        <f>Marts!B39</f>
        <v>fr</v>
      </c>
      <c r="AE28" s="122" t="str">
        <f>Marts!C39</f>
        <v>SH-dag</v>
      </c>
      <c r="AF28" s="123" t="str">
        <f>Marts!D39</f>
        <v/>
      </c>
      <c r="AG28" s="548">
        <f>April!A39</f>
        <v>26</v>
      </c>
      <c r="AH28" s="61" t="str">
        <f>April!B39</f>
        <v>ma</v>
      </c>
      <c r="AI28" s="122" t="str">
        <f>April!C39</f>
        <v>Skema 1</v>
      </c>
      <c r="AJ28" s="549">
        <f>April!D39</f>
        <v>17.428571428571427</v>
      </c>
      <c r="AK28" s="556">
        <f>Maj!A39</f>
        <v>26</v>
      </c>
      <c r="AL28" s="557" t="str">
        <f>Maj!B39</f>
        <v>on</v>
      </c>
      <c r="AM28" s="122" t="str">
        <f>Maj!C39</f>
        <v>Skema 1</v>
      </c>
      <c r="AN28" s="558" t="str">
        <f>Maj!D39</f>
        <v/>
      </c>
      <c r="AO28" s="556">
        <f>Juni!A39</f>
        <v>26</v>
      </c>
      <c r="AP28" s="557" t="str">
        <f>Juni!B39</f>
        <v>lø</v>
      </c>
      <c r="AQ28" s="122" t="str">
        <f>Juni!C39</f>
        <v>Weekend</v>
      </c>
      <c r="AR28" s="558" t="str">
        <f>Juni!D39</f>
        <v/>
      </c>
      <c r="AS28" s="556">
        <f>Juli!A39</f>
        <v>26</v>
      </c>
      <c r="AT28" s="557" t="str">
        <f>Juli!B39</f>
        <v>ma</v>
      </c>
      <c r="AU28" s="122" t="str">
        <f>Juli!C39</f>
        <v>Feriedag</v>
      </c>
      <c r="AV28" s="558">
        <f>Juli!D39</f>
        <v>30.428571428571427</v>
      </c>
    </row>
    <row r="29" spans="1:48" ht="24" customHeight="1">
      <c r="A29" s="548">
        <f>August!A41</f>
        <v>27</v>
      </c>
      <c r="B29" s="61" t="str">
        <f>August!B41</f>
        <v>to</v>
      </c>
      <c r="C29" s="122" t="str">
        <f>August!C41</f>
        <v>Skema 1</v>
      </c>
      <c r="D29" s="549" t="str">
        <f>August!D41</f>
        <v/>
      </c>
      <c r="E29" s="548">
        <f>September!A40</f>
        <v>27</v>
      </c>
      <c r="F29" s="61" t="str">
        <f>September!B40</f>
        <v>sø</v>
      </c>
      <c r="G29" s="122" t="str">
        <f>September!C40</f>
        <v>Weekend</v>
      </c>
      <c r="H29" s="549" t="str">
        <f>September!D40</f>
        <v/>
      </c>
      <c r="I29" s="548">
        <f>Oktober!A40</f>
        <v>27</v>
      </c>
      <c r="J29" s="61" t="str">
        <f>Oktober!B40</f>
        <v>ti</v>
      </c>
      <c r="K29" s="122" t="str">
        <f>Oktober!C40</f>
        <v>Skema 1</v>
      </c>
      <c r="L29" s="549" t="str">
        <f>Oktober!D40</f>
        <v/>
      </c>
      <c r="M29" s="548">
        <f>November!A40</f>
        <v>27</v>
      </c>
      <c r="N29" s="61" t="str">
        <f>November!B40</f>
        <v>fr</v>
      </c>
      <c r="O29" s="122" t="str">
        <f>November!C40</f>
        <v>Skema 1</v>
      </c>
      <c r="P29" s="549" t="str">
        <f>November!D40</f>
        <v/>
      </c>
      <c r="Q29" s="548">
        <f>December!A40</f>
        <v>27</v>
      </c>
      <c r="R29" s="61" t="str">
        <f>December!B40</f>
        <v>sø</v>
      </c>
      <c r="S29" s="122" t="str">
        <f>December!C40</f>
        <v>Weekend</v>
      </c>
      <c r="T29" s="549" t="str">
        <f>December!D40</f>
        <v/>
      </c>
      <c r="U29" s="61">
        <f>Januar!A40</f>
        <v>27</v>
      </c>
      <c r="V29" s="61" t="str">
        <f>Januar!B40</f>
        <v>on</v>
      </c>
      <c r="W29" s="122" t="str">
        <f>Januar!C40</f>
        <v>Emnedag</v>
      </c>
      <c r="X29" s="123" t="str">
        <f>Januar!D40</f>
        <v/>
      </c>
      <c r="Y29" s="548">
        <f>Februar!A40</f>
        <v>27</v>
      </c>
      <c r="Z29" s="61" t="str">
        <f>Februar!B40</f>
        <v>lø</v>
      </c>
      <c r="AA29" s="122" t="str">
        <f>Februar!C40</f>
        <v>Weekend</v>
      </c>
      <c r="AB29" s="549" t="str">
        <f>Februar!D40</f>
        <v/>
      </c>
      <c r="AC29" s="61">
        <f>Marts!A40</f>
        <v>27</v>
      </c>
      <c r="AD29" s="61" t="str">
        <f>Marts!B40</f>
        <v>lø</v>
      </c>
      <c r="AE29" s="122" t="str">
        <f>Marts!C40</f>
        <v>Weekend</v>
      </c>
      <c r="AF29" s="123" t="str">
        <f>Marts!D40</f>
        <v/>
      </c>
      <c r="AG29" s="548">
        <f>April!A40</f>
        <v>27</v>
      </c>
      <c r="AH29" s="61" t="str">
        <f>April!B40</f>
        <v>ti</v>
      </c>
      <c r="AI29" s="122" t="str">
        <f>April!C40</f>
        <v>Skema 1</v>
      </c>
      <c r="AJ29" s="549" t="str">
        <f>April!D40</f>
        <v/>
      </c>
      <c r="AK29" s="556">
        <f>Maj!A40</f>
        <v>27</v>
      </c>
      <c r="AL29" s="557" t="str">
        <f>Maj!B40</f>
        <v>to</v>
      </c>
      <c r="AM29" s="122" t="str">
        <f>Maj!C40</f>
        <v>Skema 1</v>
      </c>
      <c r="AN29" s="558" t="str">
        <f>Maj!D40</f>
        <v/>
      </c>
      <c r="AO29" s="556">
        <f>Juni!A40</f>
        <v>27</v>
      </c>
      <c r="AP29" s="557" t="str">
        <f>Juni!B40</f>
        <v>sø</v>
      </c>
      <c r="AQ29" s="122" t="str">
        <f>Juni!C40</f>
        <v>Weekend</v>
      </c>
      <c r="AR29" s="558" t="str">
        <f>Juni!D40</f>
        <v/>
      </c>
      <c r="AS29" s="556">
        <f>Juli!A40</f>
        <v>27</v>
      </c>
      <c r="AT29" s="557" t="str">
        <f>Juli!B40</f>
        <v>ti</v>
      </c>
      <c r="AU29" s="122" t="str">
        <f>Juli!C40</f>
        <v>Feriedag</v>
      </c>
      <c r="AV29" s="558" t="str">
        <f>Juli!D40</f>
        <v/>
      </c>
    </row>
    <row r="30" spans="1:48" ht="24" customHeight="1">
      <c r="A30" s="548">
        <f>August!A42</f>
        <v>28</v>
      </c>
      <c r="B30" s="61" t="str">
        <f>August!B42</f>
        <v>fr</v>
      </c>
      <c r="C30" s="122" t="str">
        <f>August!C42</f>
        <v>Skema 1</v>
      </c>
      <c r="D30" s="549" t="str">
        <f>August!D42</f>
        <v/>
      </c>
      <c r="E30" s="548">
        <f>September!A41</f>
        <v>28</v>
      </c>
      <c r="F30" s="61" t="str">
        <f>September!B41</f>
        <v>ma</v>
      </c>
      <c r="G30" s="122" t="str">
        <f>September!C41</f>
        <v>Skema 1</v>
      </c>
      <c r="H30" s="549">
        <f>September!D41</f>
        <v>39.571428571428569</v>
      </c>
      <c r="I30" s="548">
        <f>Oktober!A41</f>
        <v>28</v>
      </c>
      <c r="J30" s="61" t="str">
        <f>Oktober!B41</f>
        <v>on</v>
      </c>
      <c r="K30" s="122" t="str">
        <f>Oktober!C41</f>
        <v>Skema 1</v>
      </c>
      <c r="L30" s="549" t="str">
        <f>Oktober!D41</f>
        <v/>
      </c>
      <c r="M30" s="548">
        <f>November!A41</f>
        <v>28</v>
      </c>
      <c r="N30" s="61" t="str">
        <f>November!B41</f>
        <v>lø</v>
      </c>
      <c r="O30" s="122" t="str">
        <f>November!C41</f>
        <v>Weekend</v>
      </c>
      <c r="P30" s="549" t="str">
        <f>November!D41</f>
        <v/>
      </c>
      <c r="Q30" s="548">
        <f>December!A41</f>
        <v>28</v>
      </c>
      <c r="R30" s="61" t="str">
        <f>December!B41</f>
        <v>ma</v>
      </c>
      <c r="S30" s="122" t="str">
        <f>December!C41</f>
        <v>Nul-dag</v>
      </c>
      <c r="T30" s="549">
        <f>December!D41</f>
        <v>52.571428571428569</v>
      </c>
      <c r="U30" s="61">
        <f>Januar!A41</f>
        <v>28</v>
      </c>
      <c r="V30" s="61" t="str">
        <f>Januar!B41</f>
        <v>to</v>
      </c>
      <c r="W30" s="122" t="str">
        <f>Januar!C41</f>
        <v>Emnedag</v>
      </c>
      <c r="X30" s="123" t="str">
        <f>Januar!D41</f>
        <v/>
      </c>
      <c r="Y30" s="550">
        <f>Februar!A41</f>
        <v>28</v>
      </c>
      <c r="Z30" s="551" t="str">
        <f>Februar!B41</f>
        <v>sø</v>
      </c>
      <c r="AA30" s="108" t="str">
        <f>Februar!C41</f>
        <v>Weekend</v>
      </c>
      <c r="AB30" s="552" t="str">
        <f>Februar!D41</f>
        <v/>
      </c>
      <c r="AC30" s="61">
        <f>Marts!A41</f>
        <v>28</v>
      </c>
      <c r="AD30" s="61" t="str">
        <f>Marts!B41</f>
        <v>sø</v>
      </c>
      <c r="AE30" s="122" t="str">
        <f>Marts!C41</f>
        <v>Weekend</v>
      </c>
      <c r="AF30" s="123" t="str">
        <f>Marts!D41</f>
        <v/>
      </c>
      <c r="AG30" s="548">
        <f>April!A41</f>
        <v>28</v>
      </c>
      <c r="AH30" s="61" t="str">
        <f>April!B41</f>
        <v>on</v>
      </c>
      <c r="AI30" s="122" t="str">
        <f>April!C41</f>
        <v>Skema 1</v>
      </c>
      <c r="AJ30" s="549" t="str">
        <f>April!D41</f>
        <v/>
      </c>
      <c r="AK30" s="556">
        <f>Maj!A41</f>
        <v>28</v>
      </c>
      <c r="AL30" s="557" t="str">
        <f>Maj!B41</f>
        <v>fr</v>
      </c>
      <c r="AM30" s="122" t="str">
        <f>Maj!C41</f>
        <v>Skema 1</v>
      </c>
      <c r="AN30" s="558" t="str">
        <f>Maj!D41</f>
        <v/>
      </c>
      <c r="AO30" s="556">
        <f>Juni!A41</f>
        <v>28</v>
      </c>
      <c r="AP30" s="557" t="str">
        <f>Juni!B41</f>
        <v>ma</v>
      </c>
      <c r="AQ30" s="122" t="str">
        <f>Juni!C41</f>
        <v>Pæd.dag</v>
      </c>
      <c r="AR30" s="558">
        <f>Juni!D41</f>
        <v>26.428571428571427</v>
      </c>
      <c r="AS30" s="556">
        <f>Juli!A41</f>
        <v>28</v>
      </c>
      <c r="AT30" s="557" t="str">
        <f>Juli!B41</f>
        <v>on</v>
      </c>
      <c r="AU30" s="122" t="str">
        <f>Juli!C41</f>
        <v>Feriedag</v>
      </c>
      <c r="AV30" s="558" t="str">
        <f>Juli!D41</f>
        <v/>
      </c>
    </row>
    <row r="31" spans="1:48" ht="24" customHeight="1">
      <c r="A31" s="548">
        <f>August!A43</f>
        <v>29</v>
      </c>
      <c r="B31" s="61" t="str">
        <f>August!B43</f>
        <v>lø</v>
      </c>
      <c r="C31" s="122" t="str">
        <f>August!C43</f>
        <v>Weekend</v>
      </c>
      <c r="D31" s="549" t="str">
        <f>August!D43</f>
        <v/>
      </c>
      <c r="E31" s="548">
        <f>September!A42</f>
        <v>29</v>
      </c>
      <c r="F31" s="61" t="str">
        <f>September!B42</f>
        <v>ti</v>
      </c>
      <c r="G31" s="122" t="str">
        <f>September!C42</f>
        <v>Skema 1</v>
      </c>
      <c r="H31" s="549" t="str">
        <f>September!D42</f>
        <v/>
      </c>
      <c r="I31" s="548">
        <f>Oktober!A42</f>
        <v>29</v>
      </c>
      <c r="J31" s="61" t="str">
        <f>Oktober!B42</f>
        <v>to</v>
      </c>
      <c r="K31" s="122" t="str">
        <f>Oktober!C42</f>
        <v>Skema 1</v>
      </c>
      <c r="L31" s="549" t="str">
        <f>Oktober!D42</f>
        <v/>
      </c>
      <c r="M31" s="548">
        <f>November!A42</f>
        <v>29</v>
      </c>
      <c r="N31" s="61" t="str">
        <f>November!B42</f>
        <v>sø</v>
      </c>
      <c r="O31" s="122" t="str">
        <f>November!C42</f>
        <v>Weekend</v>
      </c>
      <c r="P31" s="549" t="str">
        <f>November!D42</f>
        <v/>
      </c>
      <c r="Q31" s="548">
        <f>December!A42</f>
        <v>29</v>
      </c>
      <c r="R31" s="61" t="str">
        <f>December!B42</f>
        <v>ti</v>
      </c>
      <c r="S31" s="122" t="str">
        <f>December!C42</f>
        <v>Nul-dag</v>
      </c>
      <c r="T31" s="549" t="str">
        <f>December!D42</f>
        <v/>
      </c>
      <c r="U31" s="61">
        <f>Januar!A42</f>
        <v>29</v>
      </c>
      <c r="V31" s="61" t="str">
        <f>Januar!B42</f>
        <v>fr</v>
      </c>
      <c r="W31" s="122" t="str">
        <f>Januar!C42</f>
        <v>Emnedag</v>
      </c>
      <c r="X31" s="123" t="str">
        <f>Januar!D42</f>
        <v/>
      </c>
      <c r="Y31" s="194"/>
      <c r="Z31" s="195"/>
      <c r="AA31" s="196"/>
      <c r="AB31" s="597"/>
      <c r="AC31" s="61">
        <f>Marts!A42</f>
        <v>29</v>
      </c>
      <c r="AD31" s="61" t="str">
        <f>Marts!B42</f>
        <v>ma</v>
      </c>
      <c r="AE31" s="122" t="str">
        <f>Marts!C42</f>
        <v>SH-dag</v>
      </c>
      <c r="AF31" s="123">
        <f>Marts!D42</f>
        <v>13.428571428571429</v>
      </c>
      <c r="AG31" s="548">
        <f>April!A42</f>
        <v>29</v>
      </c>
      <c r="AH31" s="61" t="str">
        <f>April!B42</f>
        <v>to</v>
      </c>
      <c r="AI31" s="122" t="str">
        <f>April!C42</f>
        <v>Skema 1</v>
      </c>
      <c r="AJ31" s="549" t="str">
        <f>April!D42</f>
        <v/>
      </c>
      <c r="AK31" s="556">
        <f>Maj!A42</f>
        <v>29</v>
      </c>
      <c r="AL31" s="557" t="str">
        <f>Maj!B42</f>
        <v>lø</v>
      </c>
      <c r="AM31" s="122" t="str">
        <f>Maj!C42</f>
        <v>Weekend</v>
      </c>
      <c r="AN31" s="558" t="str">
        <f>Maj!D42</f>
        <v/>
      </c>
      <c r="AO31" s="556">
        <f>Juni!A42</f>
        <v>29</v>
      </c>
      <c r="AP31" s="557" t="str">
        <f>Juni!B42</f>
        <v>ti</v>
      </c>
      <c r="AQ31" s="122" t="str">
        <f>Juni!C42</f>
        <v>Pæd.dag</v>
      </c>
      <c r="AR31" s="558" t="str">
        <f>Juni!D42</f>
        <v/>
      </c>
      <c r="AS31" s="556">
        <f>Juli!A42</f>
        <v>29</v>
      </c>
      <c r="AT31" s="557" t="str">
        <f>Juli!B42</f>
        <v>to</v>
      </c>
      <c r="AU31" s="122" t="str">
        <f>Juli!C42</f>
        <v>Feriedag</v>
      </c>
      <c r="AV31" s="558" t="str">
        <f>Juli!D42</f>
        <v/>
      </c>
    </row>
    <row r="32" spans="1:48" ht="24" customHeight="1">
      <c r="A32" s="548">
        <f>August!A44</f>
        <v>30</v>
      </c>
      <c r="B32" s="61" t="str">
        <f>August!B44</f>
        <v>sø</v>
      </c>
      <c r="C32" s="122" t="str">
        <f>August!C44</f>
        <v>Weekend</v>
      </c>
      <c r="D32" s="549" t="str">
        <f>August!D44</f>
        <v/>
      </c>
      <c r="E32" s="550">
        <f>September!A43</f>
        <v>30</v>
      </c>
      <c r="F32" s="551" t="str">
        <f>September!B43</f>
        <v>on</v>
      </c>
      <c r="G32" s="108" t="str">
        <f>September!C43</f>
        <v>Skema 1</v>
      </c>
      <c r="H32" s="552" t="str">
        <f>September!D43</f>
        <v/>
      </c>
      <c r="I32" s="548">
        <f>Oktober!A43</f>
        <v>30</v>
      </c>
      <c r="J32" s="61" t="str">
        <f>Oktober!B43</f>
        <v>fr</v>
      </c>
      <c r="K32" s="122" t="str">
        <f>Oktober!C43</f>
        <v>Skema 1</v>
      </c>
      <c r="L32" s="549" t="str">
        <f>Oktober!D43</f>
        <v/>
      </c>
      <c r="M32" s="550">
        <f>November!A43</f>
        <v>30</v>
      </c>
      <c r="N32" s="551" t="str">
        <f>November!B43</f>
        <v>ma</v>
      </c>
      <c r="O32" s="108" t="str">
        <f>November!C43</f>
        <v>Skema 1</v>
      </c>
      <c r="P32" s="552">
        <f>November!D43</f>
        <v>48.571428571428569</v>
      </c>
      <c r="Q32" s="548">
        <f>December!A43</f>
        <v>30</v>
      </c>
      <c r="R32" s="61" t="str">
        <f>December!B43</f>
        <v>on</v>
      </c>
      <c r="S32" s="122" t="str">
        <f>December!C43</f>
        <v>Nul-dag</v>
      </c>
      <c r="T32" s="549">
        <f>December!D43</f>
        <v>0</v>
      </c>
      <c r="U32" s="61">
        <f>Januar!A43</f>
        <v>30</v>
      </c>
      <c r="V32" s="61" t="str">
        <f>Januar!B43</f>
        <v>lø</v>
      </c>
      <c r="W32" s="122" t="str">
        <f>Januar!C43</f>
        <v>Weekend</v>
      </c>
      <c r="X32" s="123" t="str">
        <f>Januar!D43</f>
        <v/>
      </c>
      <c r="Y32" s="75"/>
      <c r="Z32" s="76"/>
      <c r="AA32" s="77"/>
      <c r="AB32" s="78"/>
      <c r="AC32" s="61">
        <f>Marts!A43</f>
        <v>30</v>
      </c>
      <c r="AD32" s="61" t="str">
        <f>Marts!B43</f>
        <v>ti</v>
      </c>
      <c r="AE32" s="122" t="str">
        <f>Marts!C43</f>
        <v>Skema 1</v>
      </c>
      <c r="AF32" s="123" t="str">
        <f>Marts!D43</f>
        <v/>
      </c>
      <c r="AG32" s="550">
        <f>April!A43</f>
        <v>30</v>
      </c>
      <c r="AH32" s="551" t="str">
        <f>April!B43</f>
        <v>fr</v>
      </c>
      <c r="AI32" s="108" t="str">
        <f>April!C43</f>
        <v>Skema 1</v>
      </c>
      <c r="AJ32" s="552" t="str">
        <f>April!D43</f>
        <v/>
      </c>
      <c r="AK32" s="556">
        <f>Maj!A43</f>
        <v>30</v>
      </c>
      <c r="AL32" s="557" t="str">
        <f>Maj!B43</f>
        <v>sø</v>
      </c>
      <c r="AM32" s="122" t="str">
        <f>Maj!C43</f>
        <v>Weekend</v>
      </c>
      <c r="AN32" s="558" t="str">
        <f>Maj!D43</f>
        <v/>
      </c>
      <c r="AO32" s="550">
        <f>Juni!A43</f>
        <v>30</v>
      </c>
      <c r="AP32" s="551" t="str">
        <f>Juni!B43</f>
        <v>on</v>
      </c>
      <c r="AQ32" s="108" t="str">
        <f>Juni!C43</f>
        <v>Nul-dag</v>
      </c>
      <c r="AR32" s="552" t="str">
        <f>Juni!D43</f>
        <v/>
      </c>
      <c r="AS32" s="556">
        <f>Juli!A43</f>
        <v>30</v>
      </c>
      <c r="AT32" s="557" t="str">
        <f>Juli!B43</f>
        <v>fr</v>
      </c>
      <c r="AU32" s="122" t="str">
        <f>Juli!C43</f>
        <v>Feriedag</v>
      </c>
      <c r="AV32" s="558" t="str">
        <f>Juli!D43</f>
        <v/>
      </c>
    </row>
    <row r="33" spans="1:48" ht="24" customHeight="1">
      <c r="A33" s="550">
        <f>August!A45</f>
        <v>31</v>
      </c>
      <c r="B33" s="551" t="str">
        <f>August!B45</f>
        <v>ma</v>
      </c>
      <c r="C33" s="108" t="str">
        <f>August!C45</f>
        <v>Skema 1</v>
      </c>
      <c r="D33" s="552">
        <f>August!D45</f>
        <v>35.571428571428569</v>
      </c>
      <c r="E33" s="63"/>
      <c r="F33" s="63"/>
      <c r="G33" s="64"/>
      <c r="H33" s="65"/>
      <c r="I33" s="550">
        <f>Oktober!A44</f>
        <v>31</v>
      </c>
      <c r="J33" s="551" t="str">
        <f>Oktober!B44</f>
        <v>lø</v>
      </c>
      <c r="K33" s="108" t="str">
        <f>Oktober!C44</f>
        <v>Weekend</v>
      </c>
      <c r="L33" s="552" t="str">
        <f>Oktober!D44</f>
        <v/>
      </c>
      <c r="M33" s="63"/>
      <c r="N33" s="63"/>
      <c r="O33" s="64"/>
      <c r="P33" s="66"/>
      <c r="Q33" s="550">
        <f>December!A44</f>
        <v>31</v>
      </c>
      <c r="R33" s="551" t="str">
        <f>December!B44</f>
        <v>to</v>
      </c>
      <c r="S33" s="108" t="str">
        <f>December!C44</f>
        <v>Nul-dag</v>
      </c>
      <c r="T33" s="552" t="str">
        <f>December!D44</f>
        <v/>
      </c>
      <c r="U33" s="61">
        <f>Januar!A44</f>
        <v>31</v>
      </c>
      <c r="V33" s="61" t="str">
        <f>Januar!B44</f>
        <v>sø</v>
      </c>
      <c r="W33" s="108" t="str">
        <f>Januar!C44</f>
        <v>Weekend</v>
      </c>
      <c r="X33" s="123" t="str">
        <f>Januar!D44</f>
        <v/>
      </c>
      <c r="Y33" s="75"/>
      <c r="Z33" s="76"/>
      <c r="AA33" s="77"/>
      <c r="AB33" s="78"/>
      <c r="AC33" s="61">
        <f>Marts!A44</f>
        <v>31</v>
      </c>
      <c r="AD33" s="61" t="str">
        <f>Marts!B44</f>
        <v>on</v>
      </c>
      <c r="AE33" s="108" t="str">
        <f>Marts!C44</f>
        <v>Skema 1</v>
      </c>
      <c r="AF33" s="123" t="str">
        <f>Marts!D44</f>
        <v/>
      </c>
      <c r="AG33" s="62"/>
      <c r="AH33" s="63"/>
      <c r="AI33" s="64"/>
      <c r="AJ33" s="553"/>
      <c r="AK33" s="550">
        <f>Maj!A44</f>
        <v>31</v>
      </c>
      <c r="AL33" s="551" t="str">
        <f>Maj!B44</f>
        <v>ma</v>
      </c>
      <c r="AM33" s="108" t="str">
        <f>Maj!C44</f>
        <v>Skema 1</v>
      </c>
      <c r="AN33" s="552">
        <f>Maj!D44</f>
        <v>22.428571428571427</v>
      </c>
      <c r="AO33" s="76"/>
      <c r="AP33" s="76"/>
      <c r="AQ33" s="77"/>
      <c r="AR33" s="78"/>
      <c r="AS33" s="550">
        <f>Juli!A44</f>
        <v>31</v>
      </c>
      <c r="AT33" s="551" t="str">
        <f>Juli!B44</f>
        <v>lø</v>
      </c>
      <c r="AU33" s="108" t="str">
        <f>Juli!C44</f>
        <v>Weekend</v>
      </c>
      <c r="AV33" s="552" t="str">
        <f>Juli!D44</f>
        <v/>
      </c>
    </row>
    <row r="34" spans="1:48" ht="13">
      <c r="A34" s="68"/>
      <c r="B34" s="513">
        <f>August!H49-August!H51</f>
        <v>21</v>
      </c>
      <c r="C34" s="68" t="s">
        <v>113</v>
      </c>
      <c r="D34" s="68"/>
      <c r="E34" s="68"/>
      <c r="F34" s="513">
        <f>September!H47-September!H49</f>
        <v>22</v>
      </c>
      <c r="G34" s="68" t="s">
        <v>113</v>
      </c>
      <c r="H34" s="68"/>
      <c r="I34" s="67"/>
      <c r="J34" s="592">
        <f>Oktober!H48-Oktober!H50</f>
        <v>22</v>
      </c>
      <c r="K34" s="67" t="s">
        <v>113</v>
      </c>
      <c r="L34" s="67"/>
      <c r="M34" s="68"/>
      <c r="N34" s="513">
        <f>November!H47-November!H49</f>
        <v>21</v>
      </c>
      <c r="O34" s="68" t="s">
        <v>113</v>
      </c>
      <c r="P34" s="68"/>
      <c r="Q34" s="67"/>
      <c r="R34" s="592">
        <f>December!H48-December!H50</f>
        <v>22</v>
      </c>
      <c r="S34" s="67" t="s">
        <v>113</v>
      </c>
      <c r="T34" s="67"/>
      <c r="U34" s="69"/>
      <c r="V34" s="593">
        <f>Januar!H48-Januar!H50</f>
        <v>20</v>
      </c>
      <c r="W34" s="67" t="s">
        <v>113</v>
      </c>
      <c r="X34" s="70"/>
      <c r="Y34" s="68"/>
      <c r="Z34" s="513">
        <f>Februar!H46-Februar!H48</f>
        <v>20</v>
      </c>
      <c r="AA34" s="68" t="s">
        <v>113</v>
      </c>
      <c r="AB34" s="68"/>
      <c r="AC34" s="67"/>
      <c r="AD34" s="592">
        <f>Marts!H48-Marts!H50</f>
        <v>20</v>
      </c>
      <c r="AE34" s="67" t="s">
        <v>113</v>
      </c>
      <c r="AF34" s="67"/>
      <c r="AG34" s="68"/>
      <c r="AH34" s="513">
        <f>April!H47-April!H49</f>
        <v>22</v>
      </c>
      <c r="AI34" s="68" t="s">
        <v>113</v>
      </c>
      <c r="AJ34" s="68"/>
      <c r="AK34" s="67"/>
      <c r="AL34" s="592">
        <f>Maj!H48-Maj!H50</f>
        <v>19</v>
      </c>
      <c r="AM34" s="67" t="s">
        <v>113</v>
      </c>
      <c r="AN34" s="67"/>
      <c r="AO34" s="68"/>
      <c r="AP34" s="513">
        <f>Juni!H47-Juni!H49</f>
        <v>22</v>
      </c>
      <c r="AQ34" s="68" t="s">
        <v>113</v>
      </c>
      <c r="AR34" s="68"/>
      <c r="AS34" s="67"/>
      <c r="AT34" s="512">
        <f>Juli!H48-Juli!H50</f>
        <v>22</v>
      </c>
      <c r="AU34" s="67" t="s">
        <v>113</v>
      </c>
      <c r="AV34" s="67"/>
    </row>
    <row r="35" spans="1:48" ht="24" customHeight="1">
      <c r="A35" s="153" t="s">
        <v>143</v>
      </c>
      <c r="B35" s="154"/>
      <c r="C35" s="154"/>
      <c r="D35" s="155"/>
      <c r="E35" s="156"/>
      <c r="F35" s="154"/>
      <c r="G35" s="157">
        <f>August!D82-August!D80+September!D81-September!D80+Oktober!D82-Oktober!D81+November!D81-November!D80+December!D82-December!D81+Januar!D82-Januar!D81+Februar!D80-Februar!D79+Marts!D82-Marts!D81+April!D81-April!D80+Maj!D82-Maj!D81+Juni!D81-Juni!D80+Juli!D82-Juli!D81</f>
        <v>365</v>
      </c>
      <c r="H35" s="91"/>
      <c r="I35" s="130" t="s">
        <v>141</v>
      </c>
      <c r="J35" s="131"/>
      <c r="K35" s="131"/>
      <c r="L35" s="131"/>
      <c r="M35" s="132"/>
      <c r="N35" s="131"/>
      <c r="O35" s="133">
        <f>August!D76+August!A92+September!A91+September!D75+Oktober!D76+Oktober!A92+November!A91+November!D75+December!D76+December!A92+Januar!D76+Januar!A92+Februar!D74+Februar!A90+Marts!A92+Marts!D76+April!A91+April!D75+Maj!D76+Maj!A93+Juni!D75+Juni!A91+Juli!A92+Juli!D76</f>
        <v>105</v>
      </c>
      <c r="P35" s="91"/>
      <c r="Q35" s="134" t="s">
        <v>142</v>
      </c>
      <c r="R35" s="135"/>
      <c r="S35" s="135"/>
      <c r="T35" s="135"/>
      <c r="U35" s="136"/>
      <c r="V35" s="135"/>
      <c r="W35" s="137">
        <f>August!D77+September!D76+Oktober!D77+November!D76+December!D77+Januar!D77+Februar!D75+Marts!D77+April!D76+Maj!D77+Juni!D76+Juli!D77</f>
        <v>7</v>
      </c>
      <c r="X35" s="91"/>
      <c r="Y35" s="138" t="s">
        <v>144</v>
      </c>
      <c r="Z35" s="139"/>
      <c r="AA35" s="139"/>
      <c r="AB35" s="139"/>
      <c r="AC35" s="140"/>
      <c r="AD35" s="139"/>
      <c r="AE35" s="141">
        <f>August!D78+September!D77+Oktober!D78+November!D77+December!D78+Januar!D78+Februar!D76+Marts!D78+April!D77+Maj!D78+Juni!D77+Juli!D78</f>
        <v>25</v>
      </c>
      <c r="AF35" s="91"/>
      <c r="AG35" s="452" t="s">
        <v>147</v>
      </c>
      <c r="AH35" s="453"/>
      <c r="AI35" s="453"/>
      <c r="AJ35" s="453"/>
      <c r="AK35" s="454"/>
      <c r="AL35" s="453"/>
      <c r="AM35" s="455">
        <f>August!D79+September!D78+Oktober!D79+November!D78+December!D79+Januar!D79+Februar!D77+Marts!D79+April!D78+Maj!D79+Juni!D78+Juli!D79</f>
        <v>24</v>
      </c>
      <c r="AP35" s="177" t="s">
        <v>160</v>
      </c>
      <c r="AQ35" s="175"/>
      <c r="AR35" s="175"/>
      <c r="AS35" s="175"/>
      <c r="AT35" s="176"/>
      <c r="AU35" s="175"/>
      <c r="AV35" s="447">
        <f>August!D80+September!D80+Oktober!D81+November!D80+December!D81+Januar!D81+Februar!D79+Marts!D81+April!D80+Maj!D81+Juni!D80+Juli!D81</f>
        <v>0</v>
      </c>
    </row>
    <row r="36" spans="1:48" ht="13" thickBot="1"/>
    <row r="37" spans="1:48" ht="24" customHeight="1" thickBot="1">
      <c r="A37" s="94" t="s">
        <v>97</v>
      </c>
      <c r="B37" s="92"/>
      <c r="C37" s="92"/>
      <c r="D37" s="95"/>
      <c r="E37" s="93"/>
      <c r="F37" s="92"/>
      <c r="G37" s="129">
        <f>August!G92+September!G91+Oktober!G92+November!G91+December!G92+Januar!G92+Februar!G90+Marts!G92+April!G91+Maj!G92+Juni!G91+Juli!G92</f>
        <v>172</v>
      </c>
      <c r="I37" s="144" t="s">
        <v>145</v>
      </c>
      <c r="J37" s="145"/>
      <c r="K37" s="145"/>
      <c r="L37" s="145"/>
      <c r="M37" s="146"/>
      <c r="N37" s="145"/>
      <c r="O37" s="173">
        <f>August!D73+September!D72+Oktober!D73+November!D72+December!D73+Januar!D73+Februar!D71+Marts!D73+April!D72+Maj!D73+Juni!D72+Juli!D73</f>
        <v>22</v>
      </c>
      <c r="Q37" s="142" t="s">
        <v>146</v>
      </c>
      <c r="R37" s="143"/>
      <c r="S37" s="143"/>
      <c r="T37" s="143"/>
      <c r="U37" s="147"/>
      <c r="V37" s="143"/>
      <c r="W37" s="148">
        <f>August!D74+September!D73+Oktober!D74+November!D73+December!D74+Januar!D74+Februar!D72+Marts!D74+April!D73+Maj!D74+Juni!D73+Juli!D74</f>
        <v>5</v>
      </c>
      <c r="Y37" s="149" t="s">
        <v>148</v>
      </c>
      <c r="Z37" s="150"/>
      <c r="AA37" s="150"/>
      <c r="AB37" s="150"/>
      <c r="AC37" s="151"/>
      <c r="AD37" s="150"/>
      <c r="AE37" s="152">
        <f>August!D75+September!D74+Oktober!D75+November!D74+December!D75+Januar!D75+Februar!D73+Marts!D75+April!D74+Maj!D75+Juni!D74+Juli!D75</f>
        <v>6</v>
      </c>
      <c r="AG37" s="158" t="s">
        <v>405</v>
      </c>
      <c r="AH37" s="159"/>
      <c r="AI37" s="159"/>
      <c r="AJ37" s="159"/>
      <c r="AK37" s="160"/>
      <c r="AL37" s="159"/>
      <c r="AM37" s="161">
        <f>G37+O37+W37</f>
        <v>199</v>
      </c>
      <c r="AP37" s="440" t="s">
        <v>409</v>
      </c>
      <c r="AQ37" s="441"/>
      <c r="AR37" s="441"/>
      <c r="AS37" s="441"/>
      <c r="AT37" s="442"/>
      <c r="AU37" s="441"/>
      <c r="AV37" s="443">
        <f>August!D81+September!D79+Oktober!D80+November!D79+December!D80+Januar!D80+Februar!D78+Marts!D80+April!D79+Maj!D80+Juni!D79+Juli!D80</f>
        <v>0</v>
      </c>
    </row>
    <row r="39" spans="1:48">
      <c r="A39" s="595" t="s">
        <v>513</v>
      </c>
      <c r="B39" s="595"/>
      <c r="C39" s="595"/>
      <c r="D39" s="1610">
        <f>B34+F34+J34+N34+R34+V34+Z34+AD34+AH34+AL34+AP34+AT34</f>
        <v>253</v>
      </c>
      <c r="E39" s="1610"/>
    </row>
    <row r="40" spans="1:48">
      <c r="A40" s="595" t="s">
        <v>514</v>
      </c>
      <c r="B40" s="595"/>
      <c r="C40" s="595"/>
      <c r="D40" s="595">
        <f>W35</f>
        <v>7</v>
      </c>
      <c r="E40" s="595"/>
    </row>
    <row r="41" spans="1:48">
      <c r="A41" s="595"/>
      <c r="B41" s="595"/>
      <c r="C41" s="595"/>
      <c r="D41" s="1610">
        <f>D39+D40</f>
        <v>260</v>
      </c>
      <c r="E41" s="1610"/>
    </row>
    <row r="42" spans="1:48">
      <c r="D42" s="595"/>
      <c r="E42" s="595"/>
    </row>
  </sheetData>
  <sheetProtection sheet="1" formatCells="0" formatColumns="0" formatRows="0" insertColumns="0"/>
  <mergeCells count="2">
    <mergeCell ref="D39:E39"/>
    <mergeCell ref="D41:E41"/>
  </mergeCells>
  <phoneticPr fontId="5" type="noConversion"/>
  <printOptions horizontalCentered="1" verticalCentered="1"/>
  <pageMargins left="0.196850393700787" right="0.196850393700787" top="0.39370078740157499" bottom="0.39370078740157499" header="0" footer="0"/>
  <pageSetup paperSize="9" scale="52" orientation="landscape" horizontalDpi="4294967292" verticalDpi="4294967292"/>
  <extLst>
    <ext xmlns:x14="http://schemas.microsoft.com/office/spreadsheetml/2009/9/main" uri="{78C0D931-6437-407d-A8EE-F0AAD7539E65}">
      <x14:conditionalFormattings>
        <x14:conditionalFormatting xmlns:xm="http://schemas.microsoft.com/office/excel/2006/main">
          <x14:cfRule type="expression" priority="193" id="{78B80DDE-7CA5-2D41-8B78-5F17E19A9795}">
            <xm:f>OR(August!$C15="Nul-dag")</xm:f>
            <x14:dxf>
              <font>
                <color theme="1"/>
              </font>
              <fill>
                <patternFill>
                  <bgColor theme="5" tint="0.79998168889431442"/>
                </patternFill>
              </fill>
            </x14:dxf>
          </x14:cfRule>
          <x14:cfRule type="expression" priority="198" id="{9C74EDFC-6C3D-4748-BD87-F32A20D4629E}">
            <xm:f>OR(August!$C15="feriedag")</xm:f>
            <x14:dxf>
              <font>
                <color theme="1"/>
              </font>
              <fill>
                <patternFill>
                  <bgColor theme="6" tint="0.39994506668294322"/>
                </patternFill>
              </fill>
            </x14:dxf>
          </x14:cfRule>
          <x14:cfRule type="expression" priority="197" id="{058D7F2D-609A-1448-A8C4-F8D1C6547438}">
            <xm:f>OR(August!$C15="fagdag")</xm:f>
            <x14:dxf>
              <font>
                <color theme="1"/>
              </font>
              <fill>
                <patternFill>
                  <bgColor theme="9" tint="0.59996337778862885"/>
                </patternFill>
              </fill>
            </x14:dxf>
          </x14:cfRule>
          <x14:cfRule type="expression" priority="199" id="{EAC82C95-1DEB-E64D-81BF-C87ED2E9AF0F}">
            <xm:f>OR(August!$C15="weekend")</xm:f>
            <x14:dxf>
              <font>
                <color theme="1"/>
              </font>
              <fill>
                <patternFill>
                  <bgColor theme="0" tint="-0.14996795556505021"/>
                </patternFill>
              </fill>
            </x14:dxf>
          </x14:cfRule>
          <x14:cfRule type="expression" priority="54" id="{E3AA92ED-C77F-0548-A9C9-760193646B5C}">
            <xm:f>OR(August!$C15="Skema 1")</xm:f>
            <x14:dxf>
              <font>
                <color theme="1"/>
              </font>
              <fill>
                <patternFill patternType="solid">
                  <bgColor theme="4" tint="0.79998168889431442"/>
                </patternFill>
              </fill>
            </x14:dxf>
          </x14:cfRule>
          <x14:cfRule type="expression" priority="55" id="{256222D4-8801-FD4F-9264-2C914F58C83F}">
            <xm:f>OR(August!$C15="Skema 2")</xm:f>
            <x14:dxf>
              <font>
                <color theme="1"/>
              </font>
              <fill>
                <patternFill patternType="solid">
                  <bgColor theme="4" tint="0.59996337778862885"/>
                </patternFill>
              </fill>
            </x14:dxf>
          </x14:cfRule>
          <x14:cfRule type="expression" priority="56" id="{49ECD701-DA1A-4C49-9E77-F7C0B5FBFA03}">
            <xm:f>OR(August!$C15="Skema 3")</xm:f>
            <x14:dxf>
              <font>
                <color theme="0"/>
              </font>
              <fill>
                <patternFill patternType="solid">
                  <bgColor theme="4" tint="0.39994506668294322"/>
                </patternFill>
              </fill>
            </x14:dxf>
          </x14:cfRule>
          <x14:cfRule type="expression" priority="189" id="{077259EC-C35A-AF4C-81A6-6D49EBF5F89B}">
            <xm:f>OR(August!$C15="Skema 4")</xm:f>
            <x14:dxf>
              <font>
                <color theme="0"/>
              </font>
              <fill>
                <patternFill patternType="solid">
                  <bgColor theme="4" tint="-0.24994659260841701"/>
                </patternFill>
              </fill>
            </x14:dxf>
          </x14:cfRule>
          <x14:cfRule type="expression" priority="190" id="{74F1BFCC-B98D-8E4D-A11A-CDA31D415826}">
            <xm:f>OR(August!$C15="pæd.dag")</xm:f>
            <x14:dxf>
              <font>
                <color theme="1"/>
              </font>
              <fill>
                <patternFill>
                  <bgColor theme="7" tint="0.39994506668294322"/>
                </patternFill>
              </fill>
            </x14:dxf>
          </x14:cfRule>
          <x14:cfRule type="expression" priority="68" id="{D54F4020-584C-4F4A-A11D-2CCC77621B47}">
            <xm:f>OR(August!$C15="Ikke relevant")</xm:f>
            <x14:dxf>
              <font>
                <color theme="0"/>
              </font>
              <fill>
                <patternFill>
                  <bgColor theme="1"/>
                </patternFill>
              </fill>
            </x14:dxf>
          </x14:cfRule>
          <x14:cfRule type="expression" priority="191" id="{3282FFA5-E7FF-C44E-BDD5-E3260CA910FA}">
            <xm:f>OR(August!$C15="SH-dag")</xm:f>
            <x14:dxf>
              <font>
                <color theme="1"/>
              </font>
              <fill>
                <patternFill>
                  <bgColor rgb="FFFF2F82"/>
                </patternFill>
              </fill>
            </x14:dxf>
          </x14:cfRule>
          <x14:cfRule type="expression" priority="12" id="{FAF1E807-6E02-3A42-B546-AE75E1CBB7D4}">
            <xm:f>OR(August!$C15="Orlov")</xm:f>
            <x14:dxf>
              <font>
                <color theme="0"/>
              </font>
              <fill>
                <patternFill patternType="solid">
                  <bgColor theme="6" tint="-0.24994659260841701"/>
                </patternFill>
              </fill>
            </x14:dxf>
          </x14:cfRule>
          <x14:cfRule type="expression" priority="196" id="{36471A8C-38C8-864D-80A0-417376D2D0CB}">
            <xm:f>OR(August!$C15="emnedag")</xm:f>
            <x14:dxf>
              <font>
                <color theme="1"/>
              </font>
              <fill>
                <patternFill>
                  <bgColor theme="5" tint="0.59996337778862885"/>
                </patternFill>
              </fill>
            </x14:dxf>
          </x14:cfRule>
          <x14:cfRule type="expression" priority="195" id="{FED3E8BE-7925-F74E-9860-2990D79E0BAC}">
            <xm:f>OR(August!$C15="lejrskole")</xm:f>
            <x14:dxf>
              <font>
                <color theme="1"/>
              </font>
              <fill>
                <patternFill>
                  <bgColor theme="8" tint="0.59996337778862885"/>
                </patternFill>
              </fill>
            </x14:dxf>
          </x14:cfRule>
          <x14:cfRule type="expression" priority="194" id="{F64A6795-1CA1-934D-9945-114DD9BD0BC6}">
            <xm:f>OR(August!$C15="ekskursion")</xm:f>
            <x14:dxf>
              <font>
                <color theme="1"/>
              </font>
              <fill>
                <patternFill>
                  <bgColor rgb="FFFFFF00"/>
                </patternFill>
              </fill>
            </x14:dxf>
          </x14:cfRule>
          <xm:sqref>A3:D33</xm:sqref>
        </x14:conditionalFormatting>
        <x14:conditionalFormatting xmlns:xm="http://schemas.microsoft.com/office/excel/2006/main">
          <x14:cfRule type="expression" priority="51" id="{51825B60-F422-324F-98D2-3163CF25179E}">
            <xm:f>OR(September!$C14="Skema 1")</xm:f>
            <x14:dxf>
              <font>
                <color theme="1"/>
              </font>
              <fill>
                <patternFill patternType="solid">
                  <bgColor theme="4" tint="0.79998168889431442"/>
                </patternFill>
              </fill>
            </x14:dxf>
          </x14:cfRule>
          <x14:cfRule type="expression" priority="11" id="{E4693018-96F2-4C46-B8FC-A2AD88F527C8}">
            <xm:f>OR(September!$C14="Orlov")</xm:f>
            <x14:dxf>
              <font>
                <color theme="0"/>
              </font>
              <fill>
                <patternFill patternType="solid">
                  <bgColor theme="6" tint="-0.24994659260841701"/>
                </patternFill>
              </fill>
            </x14:dxf>
          </x14:cfRule>
          <x14:cfRule type="expression" priority="183" id="{DD5D9FAF-05DD-FF44-B52D-E2C9122587FB}">
            <xm:f>OR(September!$C14="ekskursion")</xm:f>
            <x14:dxf>
              <font>
                <color theme="1"/>
              </font>
              <fill>
                <patternFill>
                  <bgColor rgb="FFFFFF00"/>
                </patternFill>
              </fill>
            </x14:dxf>
          </x14:cfRule>
          <x14:cfRule type="expression" priority="182" id="{563E3FF7-B330-AD43-8453-9C8FC24D5AC4}">
            <xm:f>OR(September!$C14="Nul-dag")</xm:f>
            <x14:dxf>
              <font>
                <color theme="1"/>
              </font>
              <fill>
                <patternFill>
                  <bgColor theme="5" tint="0.79998168889431442"/>
                </patternFill>
              </fill>
            </x14:dxf>
          </x14:cfRule>
          <x14:cfRule type="expression" priority="188" id="{29E09A26-FB0F-0443-B551-BDA241490133}">
            <xm:f>OR(September!$C14="weekend")</xm:f>
            <x14:dxf>
              <font>
                <color theme="1"/>
              </font>
              <fill>
                <patternFill>
                  <bgColor theme="0" tint="-0.14996795556505021"/>
                </patternFill>
              </fill>
            </x14:dxf>
          </x14:cfRule>
          <x14:cfRule type="expression" priority="187" id="{D2256339-C701-0B40-90E8-09A22AB6A246}">
            <xm:f>OR(September!$C14="feriedag")</xm:f>
            <x14:dxf>
              <font>
                <color theme="1"/>
              </font>
              <fill>
                <patternFill>
                  <bgColor theme="6" tint="0.39994506668294322"/>
                </patternFill>
              </fill>
            </x14:dxf>
          </x14:cfRule>
          <x14:cfRule type="expression" priority="67" id="{89D9A635-C435-6143-81F0-E9D9F1C60EE9}">
            <xm:f>OR(September!$C14="Ikke relevant")</xm:f>
            <x14:dxf>
              <font>
                <color theme="0"/>
              </font>
              <fill>
                <patternFill>
                  <bgColor theme="1"/>
                </patternFill>
              </fill>
            </x14:dxf>
          </x14:cfRule>
          <x14:cfRule type="expression" priority="184" id="{DD375EBA-8778-7248-B014-1EA8A978E0DD}">
            <xm:f>OR(September!$C14="lejrskole")</xm:f>
            <x14:dxf>
              <font>
                <color theme="1"/>
              </font>
              <fill>
                <patternFill>
                  <bgColor theme="8" tint="0.59996337778862885"/>
                </patternFill>
              </fill>
            </x14:dxf>
          </x14:cfRule>
          <x14:cfRule type="expression" priority="185" id="{A8DC2A39-5DF7-7547-A7CC-5A375AF908F2}">
            <xm:f>OR(September!$C14="emnedag")</xm:f>
            <x14:dxf>
              <font>
                <color theme="1"/>
              </font>
              <fill>
                <patternFill>
                  <bgColor theme="5" tint="0.59996337778862885"/>
                </patternFill>
              </fill>
            </x14:dxf>
          </x14:cfRule>
          <x14:cfRule type="expression" priority="186" id="{F1756DC2-4A57-AE42-BFC0-7ADBC9D513D4}">
            <xm:f>OR(September!$C14="fagdag")</xm:f>
            <x14:dxf>
              <font>
                <color theme="1"/>
              </font>
              <fill>
                <patternFill>
                  <bgColor theme="9" tint="0.59996337778862885"/>
                </patternFill>
              </fill>
            </x14:dxf>
          </x14:cfRule>
          <x14:cfRule type="expression" priority="181" id="{A4380F4B-771A-9E49-A634-4BF3943CC0CA}">
            <xm:f>OR(September!$C14="SH-dag")</xm:f>
            <x14:dxf>
              <font>
                <color theme="1"/>
              </font>
              <fill>
                <patternFill>
                  <bgColor rgb="FFFF2F82"/>
                </patternFill>
              </fill>
            </x14:dxf>
          </x14:cfRule>
          <x14:cfRule type="expression" priority="180" id="{BBD9580A-7195-8C45-B858-F7A42EA40CFE}">
            <xm:f>OR(September!$C14="pæd.dag")</xm:f>
            <x14:dxf>
              <font>
                <color theme="1"/>
              </font>
              <fill>
                <patternFill>
                  <bgColor theme="7" tint="0.39994506668294322"/>
                </patternFill>
              </fill>
            </x14:dxf>
          </x14:cfRule>
          <x14:cfRule type="expression" priority="179" id="{B8F3C9F7-998F-C244-87C3-199A0A4DEFE9}">
            <xm:f>OR(September!$C14="Skema 4")</xm:f>
            <x14:dxf>
              <font>
                <color theme="0"/>
              </font>
              <fill>
                <patternFill patternType="solid">
                  <bgColor theme="4" tint="-0.24994659260841701"/>
                </patternFill>
              </fill>
            </x14:dxf>
          </x14:cfRule>
          <x14:cfRule type="expression" priority="53" id="{A528E4CF-9264-0E4B-A2B5-A6E03B676F82}">
            <xm:f>OR(September!$C14="Skema 3")</xm:f>
            <x14:dxf>
              <font>
                <color theme="0"/>
              </font>
              <fill>
                <patternFill patternType="solid">
                  <bgColor theme="4" tint="0.39994506668294322"/>
                </patternFill>
              </fill>
            </x14:dxf>
          </x14:cfRule>
          <x14:cfRule type="expression" priority="52" id="{744F3D3C-A775-B24C-A213-F5C589D0C7F7}">
            <xm:f>OR(September!$C14="Skema 2")</xm:f>
            <x14:dxf>
              <font>
                <color theme="1"/>
              </font>
              <fill>
                <patternFill patternType="solid">
                  <bgColor theme="4" tint="0.59996337778862885"/>
                </patternFill>
              </fill>
            </x14:dxf>
          </x14:cfRule>
          <xm:sqref>E3:H32</xm:sqref>
        </x14:conditionalFormatting>
        <x14:conditionalFormatting xmlns:xm="http://schemas.microsoft.com/office/excel/2006/main">
          <x14:cfRule type="expression" priority="178" id="{E1639A83-F4B8-2845-907E-32FCD6B3CF80}">
            <xm:f>OR(Oktober!$C14="weekend")</xm:f>
            <x14:dxf>
              <font>
                <color theme="1"/>
              </font>
              <fill>
                <patternFill>
                  <bgColor theme="0" tint="-0.14996795556505021"/>
                </patternFill>
              </fill>
            </x14:dxf>
          </x14:cfRule>
          <x14:cfRule type="expression" priority="66" id="{EC7C1A1C-3AF3-F544-8D07-6D717F350043}">
            <xm:f>OR(Oktober!$C14="Ikke relevant")</xm:f>
            <x14:dxf>
              <font>
                <color theme="0"/>
              </font>
              <fill>
                <patternFill>
                  <bgColor theme="1"/>
                </patternFill>
              </fill>
            </x14:dxf>
          </x14:cfRule>
          <x14:cfRule type="expression" priority="10" id="{0CD9A79C-09EE-5B4E-A334-21B06E5D99B0}">
            <xm:f>OR(Oktober!$C14="Orlov")</xm:f>
            <x14:dxf>
              <font>
                <color theme="0"/>
              </font>
              <fill>
                <patternFill patternType="solid">
                  <bgColor theme="6" tint="-0.24994659260841701"/>
                </patternFill>
              </fill>
            </x14:dxf>
          </x14:cfRule>
          <x14:cfRule type="expression" priority="177" id="{FF01C623-7FCE-2348-A4D0-6FF5D07B990D}">
            <xm:f>OR(Oktober!$C14="feriedag")</xm:f>
            <x14:dxf>
              <font>
                <color theme="1"/>
              </font>
              <fill>
                <patternFill>
                  <bgColor theme="6" tint="0.39994506668294322"/>
                </patternFill>
              </fill>
            </x14:dxf>
          </x14:cfRule>
          <x14:cfRule type="expression" priority="176" id="{CFD95E66-C484-BA40-AF6D-6B5CEF57C21D}">
            <xm:f>OR(Oktober!$C14="fagdag")</xm:f>
            <x14:dxf>
              <font>
                <color theme="1"/>
              </font>
              <fill>
                <patternFill>
                  <bgColor theme="9" tint="0.59996337778862885"/>
                </patternFill>
              </fill>
            </x14:dxf>
          </x14:cfRule>
          <x14:cfRule type="expression" priority="175" id="{FF4978AD-B290-5741-A70F-B60A05D2EB27}">
            <xm:f>OR(Oktober!$C14="emnedag")</xm:f>
            <x14:dxf>
              <font>
                <color theme="1"/>
              </font>
              <fill>
                <patternFill>
                  <bgColor theme="5" tint="0.59996337778862885"/>
                </patternFill>
              </fill>
            </x14:dxf>
          </x14:cfRule>
          <x14:cfRule type="expression" priority="174" id="{1678772D-04D0-6F4C-BE47-2D5AB0C3D32A}">
            <xm:f>OR(Oktober!$C14="lejrskole")</xm:f>
            <x14:dxf>
              <font>
                <color theme="1"/>
              </font>
              <fill>
                <patternFill>
                  <bgColor theme="8" tint="0.59996337778862885"/>
                </patternFill>
              </fill>
            </x14:dxf>
          </x14:cfRule>
          <x14:cfRule type="expression" priority="173" id="{5A67423B-824F-0046-99A1-26018D7A77A6}">
            <xm:f>OR(Oktober!$C14="ekskursion")</xm:f>
            <x14:dxf>
              <font>
                <color theme="1"/>
              </font>
              <fill>
                <patternFill>
                  <bgColor rgb="FFFFFF00"/>
                </patternFill>
              </fill>
            </x14:dxf>
          </x14:cfRule>
          <x14:cfRule type="expression" priority="172" id="{B4EA3747-3D02-DF40-A295-EC50D6ECE531}">
            <xm:f>OR(Oktober!$C14="Nul-dag")</xm:f>
            <x14:dxf>
              <font>
                <color theme="1"/>
              </font>
              <fill>
                <patternFill>
                  <bgColor theme="5" tint="0.79998168889431442"/>
                </patternFill>
              </fill>
            </x14:dxf>
          </x14:cfRule>
          <x14:cfRule type="expression" priority="171" id="{2C69A2BB-2C8D-524C-B256-3938A3C928BA}">
            <xm:f>OR(Oktober!$C14="SH-dag")</xm:f>
            <x14:dxf>
              <font>
                <color theme="1"/>
              </font>
              <fill>
                <patternFill>
                  <bgColor rgb="FFFF2F82"/>
                </patternFill>
              </fill>
            </x14:dxf>
          </x14:cfRule>
          <x14:cfRule type="expression" priority="170" id="{416C88E3-7C07-1C40-8A6E-EB05DEB1D5C0}">
            <xm:f>OR(Oktober!$C14="pæd.dag")</xm:f>
            <x14:dxf>
              <font>
                <color theme="1"/>
              </font>
              <fill>
                <patternFill>
                  <bgColor theme="7" tint="0.39994506668294322"/>
                </patternFill>
              </fill>
            </x14:dxf>
          </x14:cfRule>
          <x14:cfRule type="expression" priority="50" id="{0C773F27-FDD4-2641-93EC-3A19DD10841E}">
            <xm:f>OR(Oktober!$C14="Skema 3")</xm:f>
            <x14:dxf>
              <font>
                <color theme="0"/>
              </font>
              <fill>
                <patternFill patternType="solid">
                  <bgColor theme="4" tint="0.39994506668294322"/>
                </patternFill>
              </fill>
            </x14:dxf>
          </x14:cfRule>
          <x14:cfRule type="expression" priority="169" id="{24DFAF16-6739-2442-B2BD-4787F2A1A0BB}">
            <xm:f>OR(Oktober!$C14="Skema 4")</xm:f>
            <x14:dxf>
              <font>
                <color theme="0"/>
              </font>
              <fill>
                <patternFill patternType="solid">
                  <bgColor theme="4" tint="-0.24994659260841701"/>
                </patternFill>
              </fill>
            </x14:dxf>
          </x14:cfRule>
          <x14:cfRule type="expression" priority="49" id="{1235332C-1AE2-FF45-BC0E-2A6FBF9B1F96}">
            <xm:f>OR(Oktober!$C14="Skema 2")</xm:f>
            <x14:dxf>
              <font>
                <color theme="1"/>
              </font>
              <fill>
                <patternFill patternType="solid">
                  <bgColor theme="4" tint="0.59996337778862885"/>
                </patternFill>
              </fill>
            </x14:dxf>
          </x14:cfRule>
          <x14:cfRule type="expression" priority="48" id="{D2A82101-0282-1440-84BB-37288BCC512B}">
            <xm:f>OR(Oktober!$C14="Skema 1")</xm:f>
            <x14:dxf>
              <font>
                <color theme="1"/>
              </font>
              <fill>
                <patternFill patternType="solid">
                  <bgColor theme="4" tint="0.79998168889431442"/>
                </patternFill>
              </fill>
            </x14:dxf>
          </x14:cfRule>
          <xm:sqref>I3:L33</xm:sqref>
        </x14:conditionalFormatting>
        <x14:conditionalFormatting xmlns:xm="http://schemas.microsoft.com/office/excel/2006/main">
          <x14:cfRule type="expression" priority="47" id="{0BDEE963-9A0D-5E41-8970-E31D34A4B4EB}">
            <xm:f>OR(November!$C14="Skema 3")</xm:f>
            <x14:dxf>
              <font>
                <color theme="0"/>
              </font>
              <fill>
                <patternFill patternType="solid">
                  <bgColor theme="4" tint="0.39994506668294322"/>
                </patternFill>
              </fill>
            </x14:dxf>
          </x14:cfRule>
          <x14:cfRule type="expression" priority="46" id="{1FECD2AA-A96F-1B4B-A660-F4943991F40A}">
            <xm:f>OR(November!$C14="Skema 2")</xm:f>
            <x14:dxf>
              <font>
                <color theme="1"/>
              </font>
              <fill>
                <patternFill patternType="solid">
                  <bgColor theme="4" tint="0.59996337778862885"/>
                </patternFill>
              </fill>
            </x14:dxf>
          </x14:cfRule>
          <x14:cfRule type="expression" priority="45" id="{00CC614A-1AC8-FC4B-9ECE-039172922841}">
            <xm:f>OR(November!$C14="Skema 1")</xm:f>
            <x14:dxf>
              <font>
                <color theme="1"/>
              </font>
              <fill>
                <patternFill patternType="solid">
                  <bgColor theme="4" tint="0.79998168889431442"/>
                </patternFill>
              </fill>
            </x14:dxf>
          </x14:cfRule>
          <x14:cfRule type="expression" priority="168" id="{1733BEBF-2A6A-1240-B283-14C17CBC157E}">
            <xm:f>OR(November!$C14="weekend")</xm:f>
            <x14:dxf>
              <font>
                <color theme="1"/>
              </font>
              <fill>
                <patternFill>
                  <bgColor theme="0" tint="-0.14996795556505021"/>
                </patternFill>
              </fill>
            </x14:dxf>
          </x14:cfRule>
          <x14:cfRule type="expression" priority="167" id="{507C5FA8-DA44-A544-9D6D-AB1443CFFB8B}">
            <xm:f>OR(November!$C14="feriedag")</xm:f>
            <x14:dxf>
              <font>
                <color theme="1"/>
              </font>
              <fill>
                <patternFill>
                  <bgColor theme="6" tint="0.39994506668294322"/>
                </patternFill>
              </fill>
            </x14:dxf>
          </x14:cfRule>
          <x14:cfRule type="expression" priority="166" id="{F6B49FAC-4F3E-C642-803B-241976846A77}">
            <xm:f>OR(November!$C14="fagdag")</xm:f>
            <x14:dxf>
              <font>
                <color theme="1"/>
              </font>
              <fill>
                <patternFill>
                  <bgColor theme="9" tint="0.59996337778862885"/>
                </patternFill>
              </fill>
            </x14:dxf>
          </x14:cfRule>
          <x14:cfRule type="expression" priority="165" id="{6715507C-9DD3-2E46-BB7A-3B99CCDBD5A3}">
            <xm:f>OR(November!$C14="emnedag")</xm:f>
            <x14:dxf>
              <font>
                <color theme="1"/>
              </font>
              <fill>
                <patternFill>
                  <bgColor theme="5" tint="0.59996337778862885"/>
                </patternFill>
              </fill>
            </x14:dxf>
          </x14:cfRule>
          <x14:cfRule type="expression" priority="164" id="{EB00411D-3D3E-B14E-9FB0-028C04B8E895}">
            <xm:f>OR(November!$C14="lejrskole")</xm:f>
            <x14:dxf>
              <font>
                <color theme="1"/>
              </font>
              <fill>
                <patternFill>
                  <bgColor theme="8" tint="0.59996337778862885"/>
                </patternFill>
              </fill>
            </x14:dxf>
          </x14:cfRule>
          <x14:cfRule type="expression" priority="163" id="{2B2CBB1B-5899-C743-B81E-1B77E4EC89F0}">
            <xm:f>OR(November!$C14="ekskursion")</xm:f>
            <x14:dxf>
              <font>
                <color theme="1"/>
              </font>
              <fill>
                <patternFill>
                  <bgColor rgb="FFFFFF00"/>
                </patternFill>
              </fill>
            </x14:dxf>
          </x14:cfRule>
          <x14:cfRule type="expression" priority="162" id="{ADB29B3B-7DFC-954A-952B-16B2EBBF50F3}">
            <xm:f>OR(November!$C14="Nul-dag")</xm:f>
            <x14:dxf>
              <font>
                <color theme="1"/>
              </font>
              <fill>
                <patternFill>
                  <bgColor theme="5" tint="0.79998168889431442"/>
                </patternFill>
              </fill>
            </x14:dxf>
          </x14:cfRule>
          <x14:cfRule type="expression" priority="161" id="{8D40A667-829F-1048-97C9-0994C9651BB7}">
            <xm:f>OR(November!$C14="SH-dag")</xm:f>
            <x14:dxf>
              <font>
                <color theme="1"/>
              </font>
              <fill>
                <patternFill>
                  <bgColor rgb="FFFF2F82"/>
                </patternFill>
              </fill>
            </x14:dxf>
          </x14:cfRule>
          <x14:cfRule type="expression" priority="160" id="{735BD466-F98F-564F-A01F-8F488CFA3B6A}">
            <xm:f>OR(November!$C14="pæd.dag")</xm:f>
            <x14:dxf>
              <font>
                <color theme="1"/>
              </font>
              <fill>
                <patternFill>
                  <bgColor theme="7" tint="0.39994506668294322"/>
                </patternFill>
              </fill>
            </x14:dxf>
          </x14:cfRule>
          <x14:cfRule type="expression" priority="9" id="{920751DC-B5ED-8E42-85C0-1EBF9D44AE06}">
            <xm:f>OR(November!$C14="Orlov")</xm:f>
            <x14:dxf>
              <font>
                <color theme="0"/>
              </font>
              <fill>
                <patternFill patternType="solid">
                  <bgColor theme="6" tint="-0.24994659260841701"/>
                </patternFill>
              </fill>
            </x14:dxf>
          </x14:cfRule>
          <x14:cfRule type="expression" priority="159" id="{34B9EFE6-DFDC-D848-A900-090A6E16B7BD}">
            <xm:f>OR(November!$C14="Skema 4")</xm:f>
            <x14:dxf>
              <font>
                <color theme="0"/>
              </font>
              <fill>
                <patternFill patternType="solid">
                  <bgColor theme="4" tint="-0.24994659260841701"/>
                </patternFill>
              </fill>
            </x14:dxf>
          </x14:cfRule>
          <x14:cfRule type="expression" priority="65" id="{3C3A3E5B-F2DB-794B-8096-B2E084FDD694}">
            <xm:f>OR(November!$C14="Ikke relevant")</xm:f>
            <x14:dxf>
              <font>
                <color theme="0"/>
              </font>
              <fill>
                <patternFill>
                  <bgColor theme="1"/>
                </patternFill>
              </fill>
            </x14:dxf>
          </x14:cfRule>
          <xm:sqref>M3:P32</xm:sqref>
        </x14:conditionalFormatting>
        <x14:conditionalFormatting xmlns:xm="http://schemas.microsoft.com/office/excel/2006/main">
          <x14:cfRule type="expression" priority="153" id="{D8447A37-3A50-0642-9B5F-43C01AFAA06C}">
            <xm:f>OR(December!$C14="ekskursion")</xm:f>
            <x14:dxf>
              <font>
                <color theme="1"/>
              </font>
              <fill>
                <patternFill>
                  <bgColor rgb="FFFFFF00"/>
                </patternFill>
              </fill>
            </x14:dxf>
          </x14:cfRule>
          <x14:cfRule type="expression" priority="150" id="{5606980E-44C4-6B43-8A7B-9A72C844ACB8}">
            <xm:f>OR(December!$C14="pæd.dag")</xm:f>
            <x14:dxf>
              <font>
                <color theme="1"/>
              </font>
              <fill>
                <patternFill>
                  <bgColor theme="7" tint="0.39994506668294322"/>
                </patternFill>
              </fill>
            </x14:dxf>
          </x14:cfRule>
          <x14:cfRule type="expression" priority="64" id="{405E5FE5-D39A-3344-9D26-9E2F9DB15E52}">
            <xm:f>OR(December!$C14="Ikke relevant")</xm:f>
            <x14:dxf>
              <font>
                <color theme="0"/>
              </font>
              <fill>
                <patternFill>
                  <bgColor theme="1"/>
                </patternFill>
              </fill>
            </x14:dxf>
          </x14:cfRule>
          <x14:cfRule type="expression" priority="158" id="{F7514658-5343-0949-8ABE-37D3ED0E34E0}">
            <xm:f>OR(December!$C14="weekend")</xm:f>
            <x14:dxf>
              <font>
                <color theme="1"/>
              </font>
              <fill>
                <patternFill>
                  <bgColor theme="0" tint="-0.14996795556505021"/>
                </patternFill>
              </fill>
            </x14:dxf>
          </x14:cfRule>
          <x14:cfRule type="expression" priority="149" id="{D7EB46A5-562B-9640-9009-6529BCEB5A50}">
            <xm:f>OR(December!$C14="Skema 4")</xm:f>
            <x14:dxf>
              <font>
                <color theme="0"/>
              </font>
              <fill>
                <patternFill patternType="solid">
                  <bgColor theme="4" tint="-0.24994659260841701"/>
                </patternFill>
              </fill>
            </x14:dxf>
          </x14:cfRule>
          <x14:cfRule type="expression" priority="157" id="{CAC250A0-A36F-E146-86F8-81B47A7641A1}">
            <xm:f>OR(December!$C14="feriedag")</xm:f>
            <x14:dxf>
              <font>
                <color theme="1"/>
              </font>
              <fill>
                <patternFill>
                  <bgColor theme="6" tint="0.39994506668294322"/>
                </patternFill>
              </fill>
            </x14:dxf>
          </x14:cfRule>
          <x14:cfRule type="expression" priority="152" id="{F9882835-81C8-A249-A3AA-3D9BBE413360}">
            <xm:f>OR(December!$C14="Nul-dag")</xm:f>
            <x14:dxf>
              <font>
                <color theme="1"/>
              </font>
              <fill>
                <patternFill>
                  <bgColor theme="5" tint="0.79998168889431442"/>
                </patternFill>
              </fill>
            </x14:dxf>
          </x14:cfRule>
          <x14:cfRule type="expression" priority="42" id="{CA1E3680-A794-244F-BD54-24854DE53367}">
            <xm:f>OR(December!$C14="Skema 1")</xm:f>
            <x14:dxf>
              <font>
                <color theme="1"/>
              </font>
              <fill>
                <patternFill patternType="solid">
                  <bgColor theme="4" tint="0.79998168889431442"/>
                </patternFill>
              </fill>
            </x14:dxf>
          </x14:cfRule>
          <x14:cfRule type="expression" priority="8" id="{B793D4F9-B298-E949-8F2C-9EDE46443D32}">
            <xm:f>OR(December!$C14="Orlov")</xm:f>
            <x14:dxf>
              <font>
                <color theme="0"/>
              </font>
              <fill>
                <patternFill patternType="solid">
                  <bgColor theme="6" tint="-0.24994659260841701"/>
                </patternFill>
              </fill>
            </x14:dxf>
          </x14:cfRule>
          <x14:cfRule type="expression" priority="43" id="{0CD3A68E-01AC-E848-B623-231F6FD6DA34}">
            <xm:f>OR(December!$C14="Skema 2")</xm:f>
            <x14:dxf>
              <font>
                <color theme="1"/>
              </font>
              <fill>
                <patternFill patternType="solid">
                  <bgColor theme="4" tint="0.59996337778862885"/>
                </patternFill>
              </fill>
            </x14:dxf>
          </x14:cfRule>
          <x14:cfRule type="expression" priority="44" id="{E17B22A4-F3B5-C64F-B55C-4CCC7A36B3E6}">
            <xm:f>OR(December!$C14="Skema 3")</xm:f>
            <x14:dxf>
              <font>
                <color theme="0"/>
              </font>
              <fill>
                <patternFill patternType="solid">
                  <bgColor theme="4" tint="0.39994506668294322"/>
                </patternFill>
              </fill>
            </x14:dxf>
          </x14:cfRule>
          <x14:cfRule type="expression" priority="156" id="{BABE8628-6A33-0549-9598-A54691F4778E}">
            <xm:f>OR(December!$C14="fagdag")</xm:f>
            <x14:dxf>
              <font>
                <color theme="1"/>
              </font>
              <fill>
                <patternFill>
                  <bgColor theme="9" tint="0.59996337778862885"/>
                </patternFill>
              </fill>
            </x14:dxf>
          </x14:cfRule>
          <x14:cfRule type="expression" priority="154" id="{B1921E4A-CF0B-4D4D-8487-6E07254F5244}">
            <xm:f>OR(December!$C14="lejrskole")</xm:f>
            <x14:dxf>
              <font>
                <color theme="1"/>
              </font>
              <fill>
                <patternFill>
                  <bgColor theme="8" tint="0.59996337778862885"/>
                </patternFill>
              </fill>
            </x14:dxf>
          </x14:cfRule>
          <x14:cfRule type="expression" priority="155" id="{5953742D-E53E-4A4D-B732-C7668FE8C524}">
            <xm:f>OR(December!$C14="emnedag")</xm:f>
            <x14:dxf>
              <font>
                <color theme="1"/>
              </font>
              <fill>
                <patternFill>
                  <bgColor theme="5" tint="0.59996337778862885"/>
                </patternFill>
              </fill>
            </x14:dxf>
          </x14:cfRule>
          <x14:cfRule type="expression" priority="151" id="{01D47AC0-1680-A64A-BBAC-511097CCF740}">
            <xm:f>OR(December!$C14="SH-dag")</xm:f>
            <x14:dxf>
              <font>
                <color theme="1"/>
              </font>
              <fill>
                <patternFill>
                  <bgColor rgb="FFFF2F82"/>
                </patternFill>
              </fill>
            </x14:dxf>
          </x14:cfRule>
          <xm:sqref>Q3:T33</xm:sqref>
        </x14:conditionalFormatting>
        <x14:conditionalFormatting xmlns:xm="http://schemas.microsoft.com/office/excel/2006/main">
          <x14:cfRule type="expression" priority="145" id="{3A7325B9-8392-9847-BD92-5909CF10E04D}">
            <xm:f>OR(Januar!$C14="emnedag")</xm:f>
            <x14:dxf>
              <font>
                <color theme="1"/>
              </font>
              <fill>
                <patternFill>
                  <bgColor theme="5" tint="0.59996337778862885"/>
                </patternFill>
              </fill>
            </x14:dxf>
          </x14:cfRule>
          <x14:cfRule type="expression" priority="63" id="{79BD02DB-3F90-9142-941C-51992FDF22FD}">
            <xm:f>OR(Januar!$C14="Ikke relevant")</xm:f>
            <x14:dxf>
              <font>
                <color theme="0"/>
              </font>
              <fill>
                <patternFill>
                  <bgColor theme="1"/>
                </patternFill>
              </fill>
            </x14:dxf>
          </x14:cfRule>
          <x14:cfRule type="expression" priority="147" id="{8EF1BF28-7BBA-5344-9A85-C351C2F12A46}">
            <xm:f>OR(Januar!$C14="feriedag")</xm:f>
            <x14:dxf>
              <font>
                <color theme="1"/>
              </font>
              <fill>
                <patternFill>
                  <bgColor theme="6" tint="0.39994506668294322"/>
                </patternFill>
              </fill>
            </x14:dxf>
          </x14:cfRule>
          <x14:cfRule type="expression" priority="148" id="{F767FC14-4689-1142-A161-0B4FBDE15605}">
            <xm:f>OR(Januar!$C14="weekend")</xm:f>
            <x14:dxf>
              <font>
                <color theme="1"/>
              </font>
              <fill>
                <patternFill>
                  <bgColor theme="0" tint="-0.14996795556505021"/>
                </patternFill>
              </fill>
            </x14:dxf>
          </x14:cfRule>
          <x14:cfRule type="expression" priority="144" id="{3A498EF8-73A9-E345-A69B-D9C2C4E052DD}">
            <xm:f>OR(Januar!$C14="lejrskole")</xm:f>
            <x14:dxf>
              <font>
                <color theme="1"/>
              </font>
              <fill>
                <patternFill>
                  <bgColor theme="8" tint="0.59996337778862885"/>
                </patternFill>
              </fill>
            </x14:dxf>
          </x14:cfRule>
          <x14:cfRule type="expression" priority="143" id="{6CA16A9C-7F36-5340-BBFD-692044D28D46}">
            <xm:f>OR(Januar!$C14="ekskursion")</xm:f>
            <x14:dxf>
              <font>
                <color theme="1"/>
              </font>
              <fill>
                <patternFill>
                  <bgColor rgb="FFFFFF00"/>
                </patternFill>
              </fill>
            </x14:dxf>
          </x14:cfRule>
          <x14:cfRule type="expression" priority="142" id="{3870C082-40B1-B043-BC4C-8FE477158424}">
            <xm:f>OR(Januar!$C14="Nul-dag")</xm:f>
            <x14:dxf>
              <font>
                <color theme="1"/>
              </font>
              <fill>
                <patternFill>
                  <bgColor theme="5" tint="0.79998168889431442"/>
                </patternFill>
              </fill>
            </x14:dxf>
          </x14:cfRule>
          <x14:cfRule type="expression" priority="7" id="{8F246EAB-3BB5-2844-B9E7-961ADD71B281}">
            <xm:f>OR(Januar!$C14="Orlov")</xm:f>
            <x14:dxf>
              <font>
                <color theme="0"/>
              </font>
              <fill>
                <patternFill patternType="solid">
                  <fgColor indexed="64"/>
                  <bgColor theme="6" tint="-0.24994659260841701"/>
                </patternFill>
              </fill>
            </x14:dxf>
          </x14:cfRule>
          <x14:cfRule type="expression" priority="141" id="{0825D3C6-C540-CA44-B1BB-4198B534F6AD}">
            <xm:f>OR(Januar!$C14="SH-dag")</xm:f>
            <x14:dxf>
              <font>
                <color theme="1"/>
              </font>
              <fill>
                <patternFill>
                  <bgColor rgb="FFFF2F82"/>
                </patternFill>
              </fill>
            </x14:dxf>
          </x14:cfRule>
          <x14:cfRule type="expression" priority="41" id="{C86F9E67-B61E-1F47-86DE-9DA9BE389F08}">
            <xm:f>OR(Januar!$C14="Skema 3")</xm:f>
            <x14:dxf>
              <font>
                <color theme="0"/>
              </font>
              <fill>
                <patternFill patternType="solid">
                  <bgColor theme="4" tint="0.39994506668294322"/>
                </patternFill>
              </fill>
            </x14:dxf>
          </x14:cfRule>
          <x14:cfRule type="expression" priority="40" id="{AEB011DE-B4CE-0842-A13F-809AAFABAE03}">
            <xm:f>OR(Januar!$C14="Skema 2")</xm:f>
            <x14:dxf>
              <font>
                <color theme="1"/>
              </font>
              <fill>
                <patternFill patternType="solid">
                  <bgColor theme="4" tint="0.59996337778862885"/>
                </patternFill>
              </fill>
            </x14:dxf>
          </x14:cfRule>
          <x14:cfRule type="expression" priority="39" id="{685F8206-CBC4-1A4C-9A77-6DA480239126}">
            <xm:f>OR(Januar!$C14="Skema 1")</xm:f>
            <x14:dxf>
              <font>
                <color theme="1"/>
              </font>
              <fill>
                <patternFill patternType="solid">
                  <fgColor indexed="64"/>
                  <bgColor theme="4" tint="0.79998168889431442"/>
                </patternFill>
              </fill>
            </x14:dxf>
          </x14:cfRule>
          <x14:cfRule type="expression" priority="140" id="{4C151E35-BA43-F647-A194-07EFBAAAC1F7}">
            <xm:f>OR(Januar!$C14="pæd.dag")</xm:f>
            <x14:dxf>
              <font>
                <color theme="1"/>
              </font>
              <fill>
                <patternFill>
                  <bgColor theme="7" tint="0.39994506668294322"/>
                </patternFill>
              </fill>
            </x14:dxf>
          </x14:cfRule>
          <x14:cfRule type="expression" priority="139" id="{33FCD2AE-0D8F-4847-87C3-61996CB9E16E}">
            <xm:f>OR(Januar!$C14="Skema 4")</xm:f>
            <x14:dxf>
              <font>
                <color theme="0"/>
              </font>
              <fill>
                <patternFill patternType="solid">
                  <bgColor theme="4" tint="-0.24994659260841701"/>
                </patternFill>
              </fill>
            </x14:dxf>
          </x14:cfRule>
          <x14:cfRule type="expression" priority="146" id="{D6E1BBEC-187A-244C-BBB5-EA65E4343198}">
            <xm:f>OR(Januar!$C14="fagdag")</xm:f>
            <x14:dxf>
              <font>
                <color theme="1"/>
              </font>
              <fill>
                <patternFill>
                  <bgColor theme="9" tint="0.59996337778862885"/>
                </patternFill>
              </fill>
            </x14:dxf>
          </x14:cfRule>
          <xm:sqref>U3:X33</xm:sqref>
        </x14:conditionalFormatting>
        <x14:conditionalFormatting xmlns:xm="http://schemas.microsoft.com/office/excel/2006/main">
          <x14:cfRule type="expression" priority="62" id="{BC93835C-53A2-BD4E-8ECB-2FEFF77E7184}">
            <xm:f>OR(Februar!$C14="Ikke relevant")</xm:f>
            <x14:dxf>
              <font>
                <color theme="0"/>
              </font>
              <fill>
                <patternFill>
                  <bgColor theme="1"/>
                </patternFill>
              </fill>
            </x14:dxf>
          </x14:cfRule>
          <xm:sqref>Y3:AB30</xm:sqref>
        </x14:conditionalFormatting>
        <x14:conditionalFormatting xmlns:xm="http://schemas.microsoft.com/office/excel/2006/main">
          <x14:cfRule type="expression" priority="132" id="{691C06F0-DFD2-9946-B801-C89C03ED1F5E}">
            <xm:f>OR(Februar!$C14="Nul-dag")</xm:f>
            <x14:dxf>
              <font>
                <color theme="1"/>
              </font>
              <fill>
                <patternFill>
                  <bgColor theme="5" tint="0.79998168889431442"/>
                </patternFill>
              </fill>
            </x14:dxf>
          </x14:cfRule>
          <x14:cfRule type="expression" priority="6" id="{EC7EDFE0-AC22-1145-8E32-09F0F8467530}">
            <xm:f>OR(Februar!$C14="Orlov")</xm:f>
            <x14:dxf>
              <font>
                <color theme="0"/>
              </font>
              <fill>
                <patternFill patternType="solid">
                  <bgColor theme="6" tint="-0.24994659260841701"/>
                </patternFill>
              </fill>
            </x14:dxf>
          </x14:cfRule>
          <x14:cfRule type="expression" priority="37" id="{6636D9E6-DEAB-DC49-B2E0-79381616EAD3}">
            <xm:f>OR(Februar!$C14="Skema 2")</xm:f>
            <x14:dxf>
              <font>
                <color theme="1"/>
              </font>
              <fill>
                <patternFill patternType="solid">
                  <bgColor theme="4" tint="0.59996337778862885"/>
                </patternFill>
              </fill>
            </x14:dxf>
          </x14:cfRule>
          <x14:cfRule type="expression" priority="38" id="{66656824-FD61-5347-9FF0-37E67A7BC2B1}">
            <xm:f>OR(Februar!$C14="Skema 3")</xm:f>
            <x14:dxf>
              <font>
                <color theme="0"/>
              </font>
              <fill>
                <patternFill patternType="solid">
                  <bgColor theme="4" tint="0.39994506668294322"/>
                </patternFill>
              </fill>
            </x14:dxf>
          </x14:cfRule>
          <x14:cfRule type="expression" priority="130" id="{D49DC9CD-3CF9-AA43-B3FA-9A4F4515BF0D}">
            <xm:f>OR(Februar!$C14="pæd.dag")</xm:f>
            <x14:dxf>
              <font>
                <color theme="1"/>
              </font>
              <fill>
                <patternFill>
                  <bgColor theme="7" tint="0.39994506668294322"/>
                </patternFill>
              </fill>
            </x14:dxf>
          </x14:cfRule>
          <x14:cfRule type="expression" priority="129" id="{5905EE0B-1AD8-2447-91F1-31FDDC4F15AB}">
            <xm:f>OR(Februar!$C14="Skema 4")</xm:f>
            <x14:dxf>
              <font>
                <color theme="0"/>
              </font>
              <fill>
                <patternFill patternType="solid">
                  <bgColor theme="4" tint="-0.24994659260841701"/>
                </patternFill>
              </fill>
            </x14:dxf>
          </x14:cfRule>
          <x14:cfRule type="expression" priority="133" id="{3E32D6B0-C29A-CF46-815A-C4AACE4DD359}">
            <xm:f>OR(Februar!$C14="ekskursion")</xm:f>
            <x14:dxf>
              <font>
                <color theme="1"/>
              </font>
              <fill>
                <patternFill>
                  <bgColor rgb="FFFFFF00"/>
                </patternFill>
              </fill>
            </x14:dxf>
          </x14:cfRule>
          <x14:cfRule type="expression" priority="134" id="{BAFC74E7-3387-3F4A-8B08-E025FEC5D4B8}">
            <xm:f>OR(Februar!$C14="lejrskole")</xm:f>
            <x14:dxf>
              <font>
                <color theme="1"/>
              </font>
              <fill>
                <patternFill>
                  <bgColor theme="8" tint="0.59996337778862885"/>
                </patternFill>
              </fill>
            </x14:dxf>
          </x14:cfRule>
          <x14:cfRule type="expression" priority="135" id="{D9AC2DC7-F273-124C-BECE-4EDC393AD917}">
            <xm:f>OR(Februar!$C14="emnedag")</xm:f>
            <x14:dxf>
              <font>
                <color theme="1"/>
              </font>
              <fill>
                <patternFill>
                  <bgColor theme="5" tint="0.59996337778862885"/>
                </patternFill>
              </fill>
            </x14:dxf>
          </x14:cfRule>
          <x14:cfRule type="expression" priority="136" id="{5499E456-6CF2-DF42-BBBE-7C1B22D7FC31}">
            <xm:f>OR(Februar!$C14="fagdag")</xm:f>
            <x14:dxf>
              <font>
                <color theme="1"/>
              </font>
              <fill>
                <patternFill>
                  <bgColor theme="9" tint="0.59996337778862885"/>
                </patternFill>
              </fill>
            </x14:dxf>
          </x14:cfRule>
          <x14:cfRule type="expression" priority="137" id="{8D0EF236-2370-BE45-B4BA-78B35CE6FB2A}">
            <xm:f>OR(Februar!$C14="feriedag")</xm:f>
            <x14:dxf>
              <font>
                <color theme="1"/>
              </font>
              <fill>
                <patternFill>
                  <bgColor theme="6" tint="0.39994506668294322"/>
                </patternFill>
              </fill>
            </x14:dxf>
          </x14:cfRule>
          <x14:cfRule type="expression" priority="138" id="{D62194EC-DBC3-E643-B356-8455BEEF11CB}">
            <xm:f>OR(Februar!$C14="weekend")</xm:f>
            <x14:dxf>
              <font>
                <color theme="1"/>
              </font>
              <fill>
                <patternFill>
                  <bgColor theme="0" tint="-0.14996795556505021"/>
                </patternFill>
              </fill>
            </x14:dxf>
          </x14:cfRule>
          <x14:cfRule type="expression" priority="36" id="{FA0DD1F1-A575-F54C-B9B8-1A59F46E3693}">
            <xm:f>OR(Februar!$C14="Skema 1")</xm:f>
            <x14:dxf>
              <font>
                <color theme="1"/>
              </font>
              <fill>
                <patternFill patternType="solid">
                  <bgColor theme="4" tint="0.79998168889431442"/>
                </patternFill>
              </fill>
            </x14:dxf>
          </x14:cfRule>
          <x14:cfRule type="expression" priority="131" id="{B2971BB6-717E-C445-9A7A-06084A841112}">
            <xm:f>OR(Februar!$C14="SH-dag")</xm:f>
            <x14:dxf>
              <font>
                <color theme="1"/>
              </font>
              <fill>
                <patternFill>
                  <bgColor rgb="FFFF2F82"/>
                </patternFill>
              </fill>
            </x14:dxf>
          </x14:cfRule>
          <xm:sqref>Y3:AB31</xm:sqref>
        </x14:conditionalFormatting>
        <x14:conditionalFormatting xmlns:xm="http://schemas.microsoft.com/office/excel/2006/main">
          <x14:cfRule type="expression" priority="24" id="{D0877CEF-96B2-C040-87AF-6A4E58D378C3}">
            <xm:f>OR(Marts!$C14="Pæd.dag")</xm:f>
            <x14:dxf>
              <font>
                <color theme="1"/>
              </font>
              <fill>
                <patternFill>
                  <bgColor theme="7" tint="0.59996337778862885"/>
                </patternFill>
              </fill>
            </x14:dxf>
          </x14:cfRule>
          <x14:cfRule type="expression" priority="5" id="{1329668A-E0BA-134B-BA16-68B55ED9CDEA}">
            <xm:f>OR(Marts!$C14="Orlov")</xm:f>
            <x14:dxf>
              <font>
                <color theme="0"/>
              </font>
              <fill>
                <patternFill>
                  <bgColor theme="6" tint="-0.24994659260841701"/>
                </patternFill>
              </fill>
            </x14:dxf>
          </x14:cfRule>
          <x14:cfRule type="expression" priority="61" id="{3D1CDA5E-D6C6-EF48-B32D-0C6C446B9E11}">
            <xm:f>OR(Marts!$C14="Ikke relevant")</xm:f>
            <x14:dxf>
              <font>
                <color theme="0"/>
              </font>
              <fill>
                <patternFill>
                  <bgColor theme="1"/>
                </patternFill>
              </fill>
            </x14:dxf>
          </x14:cfRule>
          <x14:cfRule type="expression" priority="25" id="{D50A413C-FFE9-1545-A219-8617B385DD2B}">
            <xm:f>OR(Marts!$C14="Skema 1")</xm:f>
            <x14:dxf>
              <font>
                <color theme="1"/>
              </font>
              <fill>
                <patternFill>
                  <bgColor theme="4" tint="0.79998168889431442"/>
                </patternFill>
              </fill>
            </x14:dxf>
          </x14:cfRule>
          <x14:cfRule type="expression" priority="26" id="{2320F05F-B7EB-B842-AD61-9510873926FE}">
            <xm:f>OR(Marts!$C14="Skema 2")</xm:f>
            <x14:dxf>
              <font>
                <color theme="1"/>
              </font>
              <fill>
                <patternFill>
                  <fgColor auto="1"/>
                  <bgColor theme="4" tint="0.59996337778862885"/>
                </patternFill>
              </fill>
            </x14:dxf>
          </x14:cfRule>
          <x14:cfRule type="expression" priority="122" id="{E8F5F397-3C1C-9F4F-B625-0F2718E959E3}">
            <xm:f>OR(Marts!$C14="Nul-dag")</xm:f>
            <x14:dxf>
              <font>
                <color theme="1"/>
              </font>
              <fill>
                <patternFill>
                  <bgColor theme="5" tint="0.79998168889431442"/>
                </patternFill>
              </fill>
            </x14:dxf>
          </x14:cfRule>
          <x14:cfRule type="expression" priority="123" id="{05B6B027-6766-6C41-9896-74988A31F448}">
            <xm:f>OR(Marts!$C14="ekskursion")</xm:f>
            <x14:dxf>
              <font>
                <color theme="1"/>
              </font>
              <fill>
                <patternFill>
                  <bgColor rgb="FFFFFF00"/>
                </patternFill>
              </fill>
            </x14:dxf>
          </x14:cfRule>
          <x14:cfRule type="expression" priority="124" id="{D58C7885-2316-7946-AF45-3391E8C857A2}">
            <xm:f>OR(Marts!$C14="lejrskole")</xm:f>
            <x14:dxf>
              <font>
                <color theme="1"/>
              </font>
              <fill>
                <patternFill>
                  <bgColor theme="8" tint="0.59996337778862885"/>
                </patternFill>
              </fill>
            </x14:dxf>
          </x14:cfRule>
          <x14:cfRule type="expression" priority="27" id="{30A76D2B-39F7-6045-8226-961E119DFA88}">
            <xm:f>OR(Marts!$C14="Skema 3")</xm:f>
            <x14:dxf>
              <font>
                <color theme="0"/>
              </font>
              <fill>
                <patternFill>
                  <bgColor theme="4" tint="0.39994506668294322"/>
                </patternFill>
              </fill>
            </x14:dxf>
          </x14:cfRule>
          <x14:cfRule type="expression" priority="28" id="{44AD5113-2B1D-2A4C-B4B5-8D052D6F953B}">
            <xm:f>OR(Marts!$C14="Skema 4")</xm:f>
            <x14:dxf>
              <font>
                <color theme="0"/>
              </font>
              <fill>
                <patternFill>
                  <bgColor theme="4" tint="-0.24994659260841701"/>
                </patternFill>
              </fill>
            </x14:dxf>
          </x14:cfRule>
          <x14:cfRule type="expression" priority="29" id="{08C47B0C-B7CC-B445-9E97-B3FAD7E4B1F2}">
            <xm:f>OR(Marts!$C14="SH-dag")</xm:f>
            <x14:dxf>
              <font>
                <color theme="1"/>
              </font>
              <fill>
                <patternFill>
                  <bgColor rgb="FFFF2F82"/>
                </patternFill>
              </fill>
            </x14:dxf>
          </x14:cfRule>
          <x14:cfRule type="expression" priority="30" id="{A80B4D6A-75CF-4548-9330-9FC9FCE7A5FA}">
            <xm:f>OR(Marts!$C14="Fagdag")</xm:f>
            <x14:dxf>
              <font>
                <color theme="1"/>
              </font>
              <fill>
                <patternFill>
                  <bgColor theme="9" tint="0.79998168889431442"/>
                </patternFill>
              </fill>
            </x14:dxf>
          </x14:cfRule>
          <x14:cfRule type="expression" priority="31" id="{F2BAE797-0E72-AB42-AF6F-09B853846949}">
            <xm:f>OR(Marts!$C14="emnedag")</xm:f>
            <x14:dxf>
              <font>
                <color theme="1"/>
              </font>
              <fill>
                <patternFill>
                  <bgColor theme="5" tint="0.59996337778862885"/>
                </patternFill>
              </fill>
            </x14:dxf>
          </x14:cfRule>
          <x14:cfRule type="expression" priority="32" id="{69E7399E-230E-6B42-AFC2-1F7A42FE136D}">
            <xm:f>OR(Marts!$C14="Feriedag")</xm:f>
            <x14:dxf>
              <font>
                <color theme="1"/>
              </font>
              <fill>
                <patternFill>
                  <bgColor theme="6" tint="0.39994506668294322"/>
                </patternFill>
              </fill>
            </x14:dxf>
          </x14:cfRule>
          <x14:cfRule type="expression" priority="23" id="{EFF93F1D-A12A-E642-A444-0AFA568DFF6A}">
            <xm:f>OR(Marts!$C14="Weekend")</xm:f>
            <x14:dxf>
              <font>
                <color theme="1"/>
              </font>
              <fill>
                <patternFill>
                  <bgColor theme="0" tint="-0.14996795556505021"/>
                </patternFill>
              </fill>
            </x14:dxf>
          </x14:cfRule>
          <xm:sqref>AC3:AF33</xm:sqref>
        </x14:conditionalFormatting>
        <x14:conditionalFormatting xmlns:xm="http://schemas.microsoft.com/office/excel/2006/main">
          <x14:cfRule type="expression" priority="103" id="{F139F015-C484-324E-A595-6D81BEADA472}">
            <xm:f>OR(April!$C14="ekskursion")</xm:f>
            <x14:dxf>
              <font>
                <color theme="1"/>
              </font>
              <fill>
                <patternFill>
                  <bgColor rgb="FFFFFF00"/>
                </patternFill>
              </fill>
            </x14:dxf>
          </x14:cfRule>
          <x14:cfRule type="expression" priority="128" id="{F73FC4B8-D7D9-F448-82F2-CE4F398A3033}">
            <xm:f>OR(April!$C14="weekend")</xm:f>
            <x14:dxf>
              <font>
                <color theme="1"/>
              </font>
              <fill>
                <patternFill>
                  <bgColor theme="0" tint="-0.14996795556505021"/>
                </patternFill>
              </fill>
            </x14:dxf>
          </x14:cfRule>
          <x14:cfRule type="expression" priority="127" id="{728174B4-8398-1043-9212-555FB92A5288}">
            <xm:f>OR(April!$C14="feriedag")</xm:f>
            <x14:dxf>
              <font>
                <color theme="1"/>
              </font>
              <fill>
                <patternFill>
                  <bgColor theme="6" tint="0.39994506668294322"/>
                </patternFill>
              </fill>
            </x14:dxf>
          </x14:cfRule>
          <x14:cfRule type="expression" priority="126" id="{419D5295-56E2-564D-8589-FD298CF1E8FF}">
            <xm:f>OR(April!$C14="fagdag")</xm:f>
            <x14:dxf>
              <font>
                <color theme="1"/>
              </font>
              <fill>
                <patternFill>
                  <bgColor theme="9" tint="0.59996337778862885"/>
                </patternFill>
              </fill>
            </x14:dxf>
          </x14:cfRule>
          <x14:cfRule type="expression" priority="125" id="{13A69E29-862C-6C41-BAF0-6C4173EE1798}">
            <xm:f>OR(April!$C14="emnedag")</xm:f>
            <x14:dxf>
              <font>
                <color theme="1"/>
              </font>
              <fill>
                <patternFill>
                  <bgColor theme="5" tint="0.59996337778862885"/>
                </patternFill>
              </fill>
            </x14:dxf>
          </x14:cfRule>
          <x14:cfRule type="expression" priority="121" id="{37E8FB27-3B1A-D043-9E7D-E9627DFC82B7}">
            <xm:f>OR(April!$C14="SH-dag")</xm:f>
            <x14:dxf>
              <font>
                <color theme="1"/>
              </font>
              <fill>
                <patternFill>
                  <bgColor rgb="FFFF2F82"/>
                </patternFill>
              </fill>
            </x14:dxf>
          </x14:cfRule>
          <x14:cfRule type="expression" priority="120" id="{7D7DAC9A-D7B8-E241-AD4D-C2943A4ABC4A}">
            <xm:f>OR(April!$C14="pæd.dag")</xm:f>
            <x14:dxf>
              <font>
                <color theme="1"/>
              </font>
              <fill>
                <patternFill>
                  <bgColor theme="7" tint="0.39994506668294322"/>
                </patternFill>
              </fill>
            </x14:dxf>
          </x14:cfRule>
          <x14:cfRule type="expression" priority="119" id="{FF336F9D-60DB-A44F-B258-84ED7DE56AEC}">
            <xm:f>OR(April!$C14="Skema 4")</xm:f>
            <x14:dxf>
              <font>
                <color theme="0"/>
              </font>
              <fill>
                <patternFill patternType="solid">
                  <bgColor theme="4" tint="-0.24994659260841701"/>
                </patternFill>
              </fill>
            </x14:dxf>
          </x14:cfRule>
          <x14:cfRule type="expression" priority="117" id="{761D4B71-3465-A442-A215-C89783DDA016}">
            <xm:f>OR(April!$C14="feriedag")</xm:f>
            <x14:dxf>
              <font>
                <color theme="1"/>
              </font>
              <fill>
                <patternFill>
                  <bgColor theme="6" tint="0.39994506668294322"/>
                </patternFill>
              </fill>
            </x14:dxf>
          </x14:cfRule>
          <x14:cfRule type="expression" priority="116" id="{EF6AF11E-FAB5-1C49-B57E-165FDACB4B5B}">
            <xm:f>OR(April!$C14="fagdag")</xm:f>
            <x14:dxf>
              <font>
                <color theme="1"/>
              </font>
              <fill>
                <patternFill>
                  <bgColor theme="9" tint="0.59996337778862885"/>
                </patternFill>
              </fill>
            </x14:dxf>
          </x14:cfRule>
          <x14:cfRule type="expression" priority="115" id="{7421CB58-9840-014D-AB84-C4FC129CF84F}">
            <xm:f>OR(April!$C14="emnedag")</xm:f>
            <x14:dxf>
              <font>
                <color theme="1"/>
              </font>
              <fill>
                <patternFill>
                  <bgColor theme="5" tint="0.59996337778862885"/>
                </patternFill>
              </fill>
            </x14:dxf>
          </x14:cfRule>
          <x14:cfRule type="expression" priority="112" id="{81172C6D-B6AD-8644-BFD4-28E3DE5619F6}">
            <xm:f>OR(April!$C14="Nul-dag")</xm:f>
            <x14:dxf>
              <font>
                <color theme="1"/>
              </font>
              <fill>
                <patternFill>
                  <bgColor theme="4" tint="0.39994506668294322"/>
                </patternFill>
              </fill>
            </x14:dxf>
          </x14:cfRule>
          <x14:cfRule type="expression" priority="104" id="{92698B96-4149-E347-BD79-9E80BEEB99D5}">
            <xm:f>OR(April!$C14="lejrskole")</xm:f>
            <x14:dxf>
              <font>
                <color theme="1"/>
              </font>
              <fill>
                <patternFill>
                  <bgColor theme="8" tint="0.59996337778862885"/>
                </patternFill>
              </fill>
            </x14:dxf>
          </x14:cfRule>
          <x14:cfRule type="expression" priority="102" id="{D255C484-02D2-6A46-B595-5C9F3E93F3EE}">
            <xm:f>OR(April!$C14="Nul-dag")</xm:f>
            <x14:dxf>
              <font>
                <color theme="1"/>
              </font>
              <fill>
                <patternFill>
                  <bgColor theme="5" tint="0.79998168889431442"/>
                </patternFill>
              </fill>
            </x14:dxf>
          </x14:cfRule>
          <x14:cfRule type="expression" priority="101" id="{84F41FFD-929D-B540-826B-84F1B92F10BD}">
            <xm:f>OR(April!$C14="SH-dag")</xm:f>
            <x14:dxf>
              <font>
                <color theme="1"/>
              </font>
              <fill>
                <patternFill>
                  <bgColor rgb="FFFF2F82"/>
                </patternFill>
              </fill>
            </x14:dxf>
          </x14:cfRule>
          <x14:cfRule type="expression" priority="100" id="{AD78583D-CE68-0144-9F3D-7DE5EE58A184}">
            <xm:f>OR(April!$C14="pæd.dag")</xm:f>
            <x14:dxf>
              <font>
                <color theme="1"/>
              </font>
              <fill>
                <patternFill>
                  <bgColor theme="7" tint="0.39994506668294322"/>
                </patternFill>
              </fill>
            </x14:dxf>
          </x14:cfRule>
          <x14:cfRule type="expression" priority="99" id="{B5669EAA-46AA-B442-8C66-BBA754230F3F}">
            <xm:f>OR(April!$C14="Skema 4")</xm:f>
            <x14:dxf>
              <font>
                <color theme="0"/>
              </font>
              <fill>
                <patternFill patternType="solid">
                  <bgColor theme="4" tint="-0.24994659260841701"/>
                </patternFill>
              </fill>
            </x14:dxf>
          </x14:cfRule>
          <x14:cfRule type="expression" priority="4" id="{75A0D862-4B79-DF4C-96D7-975CDE41E26E}">
            <xm:f>OR(April!$C14="Orlov")</xm:f>
            <x14:dxf>
              <font>
                <color theme="0"/>
              </font>
              <fill>
                <patternFill patternType="solid">
                  <fgColor auto="1"/>
                  <bgColor theme="6" tint="-0.24994659260841701"/>
                </patternFill>
              </fill>
            </x14:dxf>
          </x14:cfRule>
          <x14:cfRule type="expression" priority="34" id="{F7F86131-32FE-9347-B5D5-F725FEF978B4}">
            <xm:f>OR(April!$C14="Skema 2")</xm:f>
            <x14:dxf>
              <font>
                <color theme="1"/>
              </font>
              <fill>
                <patternFill patternType="solid">
                  <bgColor theme="4" tint="0.59996337778862885"/>
                </patternFill>
              </fill>
            </x14:dxf>
          </x14:cfRule>
          <x14:cfRule type="expression" priority="35" id="{5A6B9A30-1A90-9941-8049-9AFA51BBF545}">
            <xm:f>OR(April!$C14="Skema 3")</xm:f>
            <x14:dxf>
              <font>
                <color theme="0"/>
              </font>
              <fill>
                <patternFill patternType="solid">
                  <bgColor theme="4" tint="0.39994506668294322"/>
                </patternFill>
              </fill>
            </x14:dxf>
          </x14:cfRule>
          <x14:cfRule type="expression" priority="60" id="{13DCA5D4-CEB4-D246-9413-9A5820048ADC}">
            <xm:f>OR(April!$C14="Ikke relevant")</xm:f>
            <x14:dxf>
              <font>
                <color theme="0"/>
              </font>
              <fill>
                <patternFill>
                  <bgColor theme="1"/>
                </patternFill>
              </fill>
            </x14:dxf>
          </x14:cfRule>
          <x14:cfRule type="expression" priority="33" id="{14A961E6-D445-4F40-8552-BBA0BD72E551}">
            <xm:f>OR(April!$C14="Skema 1")</xm:f>
            <x14:dxf>
              <font>
                <color theme="1"/>
              </font>
              <fill>
                <patternFill patternType="solid">
                  <fgColor indexed="64"/>
                  <bgColor theme="4" tint="0.79998168889431442"/>
                </patternFill>
              </fill>
            </x14:dxf>
          </x14:cfRule>
          <xm:sqref>AG3:AJ32</xm:sqref>
        </x14:conditionalFormatting>
        <x14:conditionalFormatting xmlns:xm="http://schemas.microsoft.com/office/excel/2006/main">
          <x14:cfRule type="expression" priority="95" id="{ABF8F2CE-D51D-1244-8F14-515B5A35F404}">
            <xm:f>OR(Maj!$C14="emnedag")</xm:f>
            <x14:dxf>
              <font>
                <color theme="1"/>
              </font>
              <fill>
                <patternFill>
                  <bgColor theme="5" tint="0.59996337778862885"/>
                </patternFill>
              </fill>
            </x14:dxf>
          </x14:cfRule>
          <x14:cfRule type="expression" priority="59" id="{9F40E627-AFD2-FC4B-80E0-F15C70A29DAE}">
            <xm:f>OR(Maj!$C14="Ikke relevant")</xm:f>
            <x14:dxf>
              <font>
                <color theme="0"/>
              </font>
              <fill>
                <patternFill>
                  <bgColor theme="1"/>
                </patternFill>
              </fill>
            </x14:dxf>
          </x14:cfRule>
          <x14:cfRule type="expression" priority="97" id="{24A584C9-FA13-BC4C-A8C5-DF4D17D9AF79}">
            <xm:f>OR(Maj!$C14="feriedag")</xm:f>
            <x14:dxf>
              <font>
                <color theme="1"/>
              </font>
              <fill>
                <patternFill>
                  <bgColor theme="6" tint="0.39994506668294322"/>
                </patternFill>
              </fill>
            </x14:dxf>
          </x14:cfRule>
          <x14:cfRule type="expression" priority="3" id="{2315DCF1-BF9F-D14B-9E32-21F5DAD750E3}">
            <xm:f>OR(Maj!$C14="Orlov")</xm:f>
            <x14:dxf>
              <font>
                <color theme="0"/>
              </font>
              <fill>
                <patternFill patternType="solid">
                  <bgColor theme="6" tint="-0.24994659260841701"/>
                </patternFill>
              </fill>
            </x14:dxf>
          </x14:cfRule>
          <x14:cfRule type="expression" priority="94" id="{82085A1E-7917-F545-8F2E-513CBAD8F553}">
            <xm:f>OR(Maj!$C14="lejrskole")</xm:f>
            <x14:dxf>
              <font>
                <color theme="1"/>
              </font>
              <fill>
                <patternFill>
                  <bgColor theme="8" tint="0.59996337778862885"/>
                </patternFill>
              </fill>
            </x14:dxf>
          </x14:cfRule>
          <x14:cfRule type="expression" priority="93" id="{666D0556-E702-2341-A72E-2B9F13E7FC47}">
            <xm:f>OR(Maj!$C14="ekskursion")</xm:f>
            <x14:dxf>
              <font>
                <color theme="1"/>
              </font>
              <fill>
                <patternFill>
                  <bgColor rgb="FFFFFF00"/>
                </patternFill>
              </fill>
            </x14:dxf>
          </x14:cfRule>
          <x14:cfRule type="expression" priority="92" id="{A9DCD5EC-6BD7-1A4E-82F4-25BE1B79C7A4}">
            <xm:f>OR(Maj!$C14="Nul-dag")</xm:f>
            <x14:dxf>
              <font>
                <color theme="1"/>
              </font>
              <fill>
                <patternFill>
                  <bgColor theme="5" tint="0.79998168889431442"/>
                </patternFill>
              </fill>
            </x14:dxf>
          </x14:cfRule>
          <x14:cfRule type="expression" priority="91" id="{EE91C3FE-C161-E742-80B4-767D59F2B75D}">
            <xm:f>OR(Maj!$C14="SH-dag")</xm:f>
            <x14:dxf>
              <font>
                <color theme="1"/>
              </font>
              <fill>
                <patternFill>
                  <bgColor rgb="FFFF2F82"/>
                </patternFill>
              </fill>
            </x14:dxf>
          </x14:cfRule>
          <x14:cfRule type="expression" priority="90" id="{4CCE6509-99A2-FA48-B709-A287AFDCC9DF}">
            <xm:f>OR(Maj!$C14="pæd.dag")</xm:f>
            <x14:dxf>
              <font>
                <color theme="1"/>
              </font>
              <fill>
                <patternFill>
                  <bgColor theme="7" tint="0.39994506668294322"/>
                </patternFill>
              </fill>
            </x14:dxf>
          </x14:cfRule>
          <x14:cfRule type="expression" priority="89" id="{0DED5A84-E145-8B4F-8BC5-71CD36867E86}">
            <xm:f>OR(Maj!$C14="Skema 4")</xm:f>
            <x14:dxf>
              <font>
                <color theme="0"/>
              </font>
              <fill>
                <patternFill patternType="solid">
                  <bgColor theme="4" tint="-0.24994659260841701"/>
                </patternFill>
              </fill>
            </x14:dxf>
          </x14:cfRule>
          <x14:cfRule type="expression" priority="21" id="{D18964FE-CA8F-614A-98C3-89EAA97B6565}">
            <xm:f>OR(Maj!$C14="Skema 3")</xm:f>
            <x14:dxf>
              <font>
                <color theme="0"/>
              </font>
              <fill>
                <patternFill patternType="solid">
                  <bgColor theme="4" tint="0.39994506668294322"/>
                </patternFill>
              </fill>
            </x14:dxf>
          </x14:cfRule>
          <x14:cfRule type="expression" priority="20" id="{B24CCA6C-10FA-534E-863A-80455DF77438}">
            <xm:f>OR(Maj!$C14="Skema 2")</xm:f>
            <x14:dxf>
              <font>
                <color theme="1"/>
              </font>
              <fill>
                <patternFill patternType="solid">
                  <bgColor theme="4" tint="0.59996337778862885"/>
                </patternFill>
              </fill>
            </x14:dxf>
          </x14:cfRule>
          <x14:cfRule type="expression" priority="19" id="{BAC00EBF-56EA-1E46-BEB1-416A2EA92B89}">
            <xm:f>OR(Maj!$C14="Skema 1")</xm:f>
            <x14:dxf>
              <font>
                <color theme="1"/>
              </font>
              <fill>
                <patternFill patternType="solid">
                  <bgColor theme="4" tint="0.79998168889431442"/>
                </patternFill>
              </fill>
            </x14:dxf>
          </x14:cfRule>
          <x14:cfRule type="expression" priority="98" id="{7E59330B-96DB-C040-A14A-F1A2B9AB4318}">
            <xm:f>OR(Maj!$C14="weekend")</xm:f>
            <x14:dxf>
              <font>
                <color theme="1"/>
              </font>
              <fill>
                <patternFill>
                  <bgColor theme="0" tint="-0.14996795556505021"/>
                </patternFill>
              </fill>
            </x14:dxf>
          </x14:cfRule>
          <x14:cfRule type="expression" priority="96" id="{B865FFC3-5888-8F4D-9AC2-6B57A380533A}">
            <xm:f>OR(Maj!$C14="fagdag")</xm:f>
            <x14:dxf>
              <font>
                <color theme="1"/>
              </font>
              <fill>
                <patternFill>
                  <bgColor theme="9" tint="0.59996337778862885"/>
                </patternFill>
              </fill>
            </x14:dxf>
          </x14:cfRule>
          <xm:sqref>AK3:AN33</xm:sqref>
        </x14:conditionalFormatting>
        <x14:conditionalFormatting xmlns:xm="http://schemas.microsoft.com/office/excel/2006/main">
          <x14:cfRule type="expression" priority="83" id="{39FBE78A-ECFD-E947-AD99-BF353344C554}">
            <xm:f>OR(Juni!$C14="ekskursion")</xm:f>
            <x14:dxf>
              <font>
                <color theme="1"/>
              </font>
              <fill>
                <patternFill>
                  <bgColor rgb="FFFFFF00"/>
                </patternFill>
              </fill>
            </x14:dxf>
          </x14:cfRule>
          <x14:cfRule type="expression" priority="82" id="{537A0E4E-B81E-4042-9968-1A035F7EEA32}">
            <xm:f>OR(Juni!$C14="Nul-dag")</xm:f>
            <x14:dxf>
              <font>
                <color theme="1"/>
              </font>
              <fill>
                <patternFill>
                  <bgColor theme="5" tint="0.79998168889431442"/>
                </patternFill>
              </fill>
            </x14:dxf>
          </x14:cfRule>
          <x14:cfRule type="expression" priority="81" id="{3A3E5335-1566-8A40-BC4C-F00B268940A5}">
            <xm:f>OR(Juni!$C14="SH-dag")</xm:f>
            <x14:dxf>
              <font>
                <color theme="1"/>
              </font>
              <fill>
                <patternFill>
                  <bgColor rgb="FFFF2F82"/>
                </patternFill>
              </fill>
            </x14:dxf>
          </x14:cfRule>
          <x14:cfRule type="expression" priority="80" id="{4AC4C88E-D6F1-4A4D-A4DC-7907E1DC992F}">
            <xm:f>OR(Juni!$C14="pæd.dag")</xm:f>
            <x14:dxf>
              <font>
                <color theme="1"/>
              </font>
              <fill>
                <patternFill>
                  <bgColor theme="7" tint="0.39994506668294322"/>
                </patternFill>
              </fill>
            </x14:dxf>
          </x14:cfRule>
          <x14:cfRule type="expression" priority="79" id="{B9466E91-588B-1145-B919-736AF6B91180}">
            <xm:f>OR(Juni!$C14="Skema 4")</xm:f>
            <x14:dxf>
              <font>
                <color theme="0"/>
              </font>
              <fill>
                <patternFill patternType="solid">
                  <bgColor theme="4" tint="-0.24994659260841701"/>
                </patternFill>
              </fill>
            </x14:dxf>
          </x14:cfRule>
          <x14:cfRule type="expression" priority="2" id="{DD9FB78E-6E03-7949-8A2B-4A342624138D}">
            <xm:f>OR(Juni!$C14="Orlov")</xm:f>
            <x14:dxf>
              <font>
                <color theme="0"/>
              </font>
              <fill>
                <patternFill patternType="solid">
                  <fgColor indexed="64"/>
                  <bgColor theme="6" tint="-0.24994659260841701"/>
                </patternFill>
              </fill>
            </x14:dxf>
          </x14:cfRule>
          <x14:cfRule type="expression" priority="84" id="{DB8EEB9E-E706-F047-91E6-DA12DC040947}">
            <xm:f>OR(Juni!$C14="lejrskole")</xm:f>
            <x14:dxf>
              <font>
                <color theme="1"/>
              </font>
              <fill>
                <patternFill>
                  <bgColor theme="8" tint="0.59996337778862885"/>
                </patternFill>
              </fill>
            </x14:dxf>
          </x14:cfRule>
          <x14:cfRule type="expression" priority="16" id="{805DF385-1BA7-F94D-BB28-D7AA163B94D3}">
            <xm:f>OR(Juni!$C14="Skema 1")</xm:f>
            <x14:dxf>
              <font>
                <color theme="1"/>
              </font>
              <fill>
                <patternFill patternType="solid">
                  <fgColor indexed="64"/>
                  <bgColor theme="4" tint="0.79998168889431442"/>
                </patternFill>
              </fill>
            </x14:dxf>
          </x14:cfRule>
          <x14:cfRule type="expression" priority="85" id="{3D769FF0-D4BB-2949-BA58-D3FBDD560B74}">
            <xm:f>OR(Juni!$C14="emnedag")</xm:f>
            <x14:dxf>
              <font>
                <color theme="1"/>
              </font>
              <fill>
                <patternFill>
                  <bgColor theme="5" tint="0.59996337778862885"/>
                </patternFill>
              </fill>
            </x14:dxf>
          </x14:cfRule>
          <x14:cfRule type="expression" priority="17" id="{6C44B821-4836-2642-9171-9698DDAB80D9}">
            <xm:f>OR(Juni!$C14="Skema 2")</xm:f>
            <x14:dxf>
              <font>
                <color theme="1"/>
              </font>
              <fill>
                <patternFill patternType="solid">
                  <bgColor theme="4" tint="0.59996337778862885"/>
                </patternFill>
              </fill>
            </x14:dxf>
          </x14:cfRule>
          <x14:cfRule type="expression" priority="18" id="{2A790725-BAF3-974B-B84C-7E16FC83C9C0}">
            <xm:f>OR(Juni!$C14="Skema 3")</xm:f>
            <x14:dxf>
              <font>
                <color theme="0"/>
              </font>
              <fill>
                <patternFill patternType="solid">
                  <bgColor theme="4" tint="0.39994506668294322"/>
                </patternFill>
              </fill>
            </x14:dxf>
          </x14:cfRule>
          <x14:cfRule type="expression" priority="86" id="{1D87371B-0089-B543-B1D8-3016783D4A31}">
            <xm:f>OR(Juni!$C14="fagdag")</xm:f>
            <x14:dxf>
              <font>
                <color theme="1"/>
              </font>
              <fill>
                <patternFill>
                  <bgColor theme="9" tint="0.59996337778862885"/>
                </patternFill>
              </fill>
            </x14:dxf>
          </x14:cfRule>
          <x14:cfRule type="expression" priority="87" id="{1B5E7828-6741-2143-A1C5-8297B143A2D3}">
            <xm:f>OR(Juni!$C14="feriedag")</xm:f>
            <x14:dxf>
              <font>
                <color theme="1"/>
              </font>
              <fill>
                <patternFill>
                  <bgColor theme="6" tint="0.39994506668294322"/>
                </patternFill>
              </fill>
            </x14:dxf>
          </x14:cfRule>
          <x14:cfRule type="expression" priority="88" id="{60DDF301-B355-D64D-895B-2BDBE9AD46CB}">
            <xm:f>OR(Juni!$C14="weekend")</xm:f>
            <x14:dxf>
              <font>
                <color theme="1"/>
              </font>
              <fill>
                <patternFill>
                  <bgColor theme="0" tint="-0.14996795556505021"/>
                </patternFill>
              </fill>
            </x14:dxf>
          </x14:cfRule>
          <x14:cfRule type="expression" priority="58" id="{0A1B34DB-0856-5042-814E-734C7A1043A1}">
            <xm:f>OR(Juni!$C14="Ikke relevant")</xm:f>
            <x14:dxf>
              <font>
                <color theme="0"/>
              </font>
              <fill>
                <patternFill>
                  <bgColor theme="1"/>
                </patternFill>
              </fill>
            </x14:dxf>
          </x14:cfRule>
          <xm:sqref>AO3:AR32</xm:sqref>
        </x14:conditionalFormatting>
        <x14:conditionalFormatting xmlns:xm="http://schemas.microsoft.com/office/excel/2006/main">
          <x14:cfRule type="expression" priority="75" id="{42D5756F-6404-4B4B-B504-983F1E95C4DE}">
            <xm:f>OR(Juli!$C14="emnedag")</xm:f>
            <x14:dxf>
              <font>
                <color theme="1"/>
              </font>
              <fill>
                <patternFill>
                  <bgColor theme="5" tint="0.59996337778862885"/>
                </patternFill>
              </fill>
            </x14:dxf>
          </x14:cfRule>
          <x14:cfRule type="expression" priority="69" id="{DD788696-EA6F-AA40-9431-565F2EC8467C}">
            <xm:f>OR(Juli!$C14="Skema 4")</xm:f>
            <x14:dxf>
              <font>
                <color theme="0"/>
              </font>
              <fill>
                <patternFill patternType="solid">
                  <bgColor theme="4" tint="-0.24994659260841701"/>
                </patternFill>
              </fill>
            </x14:dxf>
          </x14:cfRule>
          <x14:cfRule type="expression" priority="57" id="{EFC9AD81-9D7F-8348-BA4D-22C47AD8259C}">
            <xm:f>OR(Juli!$C14="Ikke relevant")</xm:f>
            <x14:dxf>
              <font>
                <color theme="0"/>
              </font>
              <fill>
                <patternFill>
                  <bgColor theme="1"/>
                </patternFill>
              </fill>
            </x14:dxf>
          </x14:cfRule>
          <x14:cfRule type="expression" priority="70" id="{F4BC600F-6F50-8540-AA42-28D963EA94BE}">
            <xm:f>OR(Juli!$C14="pæd.dag")</xm:f>
            <x14:dxf>
              <font>
                <color theme="1"/>
              </font>
              <fill>
                <patternFill>
                  <bgColor theme="7" tint="0.39994506668294322"/>
                </patternFill>
              </fill>
            </x14:dxf>
          </x14:cfRule>
          <x14:cfRule type="expression" priority="71" id="{E5436F53-31EB-3244-A23B-402691DE6732}">
            <xm:f>OR(Juli!$C14="SH-dag")</xm:f>
            <x14:dxf>
              <font>
                <color theme="1"/>
              </font>
              <fill>
                <patternFill>
                  <bgColor rgb="FFFF2F82"/>
                </patternFill>
              </fill>
            </x14:dxf>
          </x14:cfRule>
          <x14:cfRule type="expression" priority="72" id="{8F3DFF6B-F0D6-3B46-9DAA-F8E4498CBBAB}">
            <xm:f>OR(Juli!$C14="Nul-dag")</xm:f>
            <x14:dxf>
              <font>
                <color theme="1"/>
              </font>
              <fill>
                <patternFill>
                  <bgColor theme="5" tint="0.79998168889431442"/>
                </patternFill>
              </fill>
            </x14:dxf>
          </x14:cfRule>
          <x14:cfRule type="expression" priority="73" id="{5DA8D5E7-74E3-0A45-813C-E354F9D32CC5}">
            <xm:f>OR(Juli!$C14="ekskursion")</xm:f>
            <x14:dxf>
              <font>
                <color theme="1"/>
              </font>
              <fill>
                <patternFill>
                  <bgColor rgb="FFFFFF00"/>
                </patternFill>
              </fill>
            </x14:dxf>
          </x14:cfRule>
          <x14:cfRule type="expression" priority="74" id="{E2BDBC6F-606D-DE49-9FAA-ADECC50DD0C4}">
            <xm:f>OR(Juli!$C14="lejrskole")</xm:f>
            <x14:dxf>
              <font>
                <color theme="1"/>
              </font>
              <fill>
                <patternFill>
                  <bgColor theme="8" tint="0.59996337778862885"/>
                </patternFill>
              </fill>
            </x14:dxf>
          </x14:cfRule>
          <x14:cfRule type="expression" priority="76" id="{4A50585A-46E7-C14D-A57F-625777D1D131}">
            <xm:f>OR(Juli!$C14="fagdag")</xm:f>
            <x14:dxf>
              <font>
                <color theme="1"/>
              </font>
              <fill>
                <patternFill>
                  <bgColor theme="9" tint="0.59996337778862885"/>
                </patternFill>
              </fill>
            </x14:dxf>
          </x14:cfRule>
          <x14:cfRule type="expression" priority="15" id="{B80C61EE-18B4-9D48-90B7-ACECD20D73F5}">
            <xm:f>OR(Juli!$C14="Skema 3")</xm:f>
            <x14:dxf>
              <font>
                <color theme="0"/>
              </font>
              <fill>
                <patternFill patternType="solid">
                  <bgColor theme="4" tint="0.39994506668294322"/>
                </patternFill>
              </fill>
            </x14:dxf>
          </x14:cfRule>
          <x14:cfRule type="expression" priority="14" id="{8A5B3FE1-EBFC-A04A-9492-2F2429165AC5}">
            <xm:f>OR(Juli!$C14="Skema 2")</xm:f>
            <x14:dxf>
              <font>
                <color theme="1"/>
              </font>
              <fill>
                <patternFill patternType="solid">
                  <bgColor theme="4" tint="0.59996337778862885"/>
                </patternFill>
              </fill>
            </x14:dxf>
          </x14:cfRule>
          <x14:cfRule type="expression" priority="13" id="{8BD64C64-9CD9-D84D-A525-D1C55CB5B2BD}">
            <xm:f>OR(Juli!$C14="Skema 1")</xm:f>
            <x14:dxf>
              <font>
                <color theme="1"/>
              </font>
              <fill>
                <patternFill patternType="solid">
                  <bgColor theme="4" tint="0.79998168889431442"/>
                </patternFill>
              </fill>
            </x14:dxf>
          </x14:cfRule>
          <x14:cfRule type="expression" priority="77" id="{D57FEC54-25BE-0941-AACE-37E91C55E9ED}">
            <xm:f>OR(Juli!$C14="feriedag")</xm:f>
            <x14:dxf>
              <font>
                <color theme="1"/>
              </font>
              <fill>
                <patternFill>
                  <bgColor theme="6" tint="0.39994506668294322"/>
                </patternFill>
              </fill>
            </x14:dxf>
          </x14:cfRule>
          <x14:cfRule type="expression" priority="78" id="{F32BF492-1A71-F04B-81AF-EF80576A4DAE}">
            <xm:f>OR(Juli!$C14="weekend")</xm:f>
            <x14:dxf>
              <font>
                <color theme="1"/>
              </font>
              <fill>
                <patternFill>
                  <bgColor theme="0" tint="-0.14996795556505021"/>
                </patternFill>
              </fill>
            </x14:dxf>
          </x14:cfRule>
          <x14:cfRule type="expression" priority="1" id="{2A4C769B-E6AC-6B44-BC58-01081A6A70AB}">
            <xm:f>OR(Juli!$C14="Orlov")</xm:f>
            <x14:dxf>
              <font>
                <color theme="0"/>
              </font>
              <fill>
                <patternFill patternType="solid">
                  <bgColor theme="6" tint="-0.24994659260841701"/>
                </patternFill>
              </fill>
            </x14:dxf>
          </x14:cfRule>
          <xm:sqref>AS3:AV33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81401-5EA6-FC49-A282-861E98E14056}">
  <sheetPr>
    <tabColor rgb="FFFFFF00"/>
    <pageSetUpPr fitToPage="1"/>
  </sheetPr>
  <dimension ref="A1:I13"/>
  <sheetViews>
    <sheetView zoomScaleNormal="100" workbookViewId="0">
      <selection activeCell="A8" sqref="A8:I8"/>
    </sheetView>
  </sheetViews>
  <sheetFormatPr baseColWidth="10" defaultRowHeight="16"/>
  <sheetData>
    <row r="1" spans="1:9" ht="51" customHeight="1">
      <c r="A1" s="883" t="str">
        <f>"Ændringer i planlægningsværktøjet "&amp;Vejledning!B2&amp;" i forhold til sidste skoleår"</f>
        <v>Ændringer i planlægningsværktøjet 2026-2027 i forhold til sidste skoleår</v>
      </c>
      <c r="B1" s="883"/>
      <c r="C1" s="883"/>
      <c r="D1" s="883"/>
      <c r="E1" s="883"/>
      <c r="F1" s="883"/>
      <c r="G1" s="883"/>
      <c r="H1" s="883"/>
      <c r="I1" s="883"/>
    </row>
    <row r="2" spans="1:9">
      <c r="A2" s="837"/>
      <c r="B2" s="837"/>
      <c r="C2" s="837"/>
      <c r="D2" s="837"/>
      <c r="E2" s="837"/>
      <c r="F2" s="837"/>
      <c r="G2" s="837"/>
      <c r="H2" s="837"/>
      <c r="I2" s="837"/>
    </row>
    <row r="3" spans="1:9" ht="21">
      <c r="A3" s="882" t="s">
        <v>744</v>
      </c>
      <c r="B3" s="882"/>
      <c r="C3" s="882"/>
      <c r="D3" s="882"/>
      <c r="E3" s="882"/>
      <c r="F3" s="882"/>
      <c r="G3" s="882"/>
      <c r="H3" s="882"/>
      <c r="I3" s="882"/>
    </row>
    <row r="4" spans="1:9" ht="117" customHeight="1">
      <c r="A4" s="881" t="s">
        <v>745</v>
      </c>
      <c r="B4" s="881"/>
      <c r="C4" s="881"/>
      <c r="D4" s="881"/>
      <c r="E4" s="881"/>
      <c r="F4" s="881"/>
      <c r="G4" s="881"/>
      <c r="H4" s="881"/>
      <c r="I4" s="881"/>
    </row>
    <row r="5" spans="1:9" ht="26" customHeight="1">
      <c r="A5" s="884"/>
      <c r="B5" s="884"/>
      <c r="C5" s="884"/>
      <c r="D5" s="884"/>
      <c r="E5" s="884"/>
      <c r="F5" s="884"/>
      <c r="G5" s="884"/>
      <c r="H5" s="884"/>
      <c r="I5" s="884"/>
    </row>
    <row r="6" spans="1:9" ht="21">
      <c r="A6" s="882" t="s">
        <v>746</v>
      </c>
      <c r="B6" s="882"/>
      <c r="C6" s="882"/>
      <c r="D6" s="882"/>
      <c r="E6" s="882"/>
      <c r="F6" s="882"/>
      <c r="G6" s="882"/>
      <c r="H6" s="882"/>
      <c r="I6" s="882"/>
    </row>
    <row r="7" spans="1:9" ht="39" customHeight="1">
      <c r="A7" s="881" t="s">
        <v>747</v>
      </c>
      <c r="B7" s="881"/>
      <c r="C7" s="881"/>
      <c r="D7" s="881"/>
      <c r="E7" s="881"/>
      <c r="F7" s="881"/>
      <c r="G7" s="881"/>
      <c r="H7" s="881"/>
      <c r="I7" s="881"/>
    </row>
    <row r="8" spans="1:9" ht="20" customHeight="1">
      <c r="A8" s="884"/>
      <c r="B8" s="884"/>
      <c r="C8" s="884"/>
      <c r="D8" s="884"/>
      <c r="E8" s="884"/>
      <c r="F8" s="884"/>
      <c r="G8" s="884"/>
      <c r="H8" s="884"/>
      <c r="I8" s="884"/>
    </row>
    <row r="9" spans="1:9" ht="21">
      <c r="A9" s="882" t="s">
        <v>678</v>
      </c>
      <c r="B9" s="882"/>
      <c r="C9" s="882"/>
      <c r="D9" s="882"/>
      <c r="E9" s="882"/>
      <c r="F9" s="882"/>
      <c r="G9" s="882"/>
      <c r="H9" s="882"/>
      <c r="I9" s="882"/>
    </row>
    <row r="10" spans="1:9" ht="32" customHeight="1">
      <c r="A10" s="881" t="s">
        <v>505</v>
      </c>
      <c r="B10" s="881"/>
      <c r="C10" s="881"/>
      <c r="D10" s="881"/>
      <c r="E10" s="881"/>
      <c r="F10" s="881"/>
      <c r="G10" s="881"/>
      <c r="H10" s="881"/>
      <c r="I10" s="881"/>
    </row>
    <row r="13" spans="1:9" ht="21">
      <c r="A13" s="880" t="s">
        <v>506</v>
      </c>
      <c r="B13" s="880"/>
      <c r="C13" s="880"/>
      <c r="D13" s="880"/>
      <c r="E13" s="880"/>
      <c r="F13" s="880"/>
      <c r="G13" s="880"/>
      <c r="H13" s="880"/>
      <c r="I13" s="880"/>
    </row>
  </sheetData>
  <mergeCells count="11">
    <mergeCell ref="A13:I13"/>
    <mergeCell ref="A10:I10"/>
    <mergeCell ref="A9:I9"/>
    <mergeCell ref="A1:I1"/>
    <mergeCell ref="A2:I2"/>
    <mergeCell ref="A6:I6"/>
    <mergeCell ref="A7:I7"/>
    <mergeCell ref="A3:I3"/>
    <mergeCell ref="A4:I4"/>
    <mergeCell ref="A5:I5"/>
    <mergeCell ref="A8:I8"/>
  </mergeCells>
  <pageMargins left="0.7" right="0.7" top="0.75" bottom="0.75" header="0.3" footer="0.3"/>
  <pageSetup paperSize="9" scale="84" orientation="portrait" horizontalDpi="0" verticalDpi="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pageSetUpPr fitToPage="1"/>
  </sheetPr>
  <dimension ref="A1:AD41"/>
  <sheetViews>
    <sheetView showGridLines="0" showZeros="0" topLeftCell="A2" zoomScale="125" zoomScaleNormal="80" zoomScalePageLayoutView="80" workbookViewId="0">
      <selection activeCell="A35" sqref="A35:U35"/>
    </sheetView>
  </sheetViews>
  <sheetFormatPr baseColWidth="10" defaultRowHeight="36" customHeight="1"/>
  <cols>
    <col min="1" max="2" width="4.33203125" style="72" customWidth="1"/>
    <col min="3" max="3" width="8.33203125" style="73" customWidth="1"/>
    <col min="4" max="4" width="20.1640625" style="73" customWidth="1"/>
    <col min="5" max="5" width="4" style="71" customWidth="1"/>
    <col min="6" max="7" width="4.33203125" style="72" customWidth="1"/>
    <col min="8" max="8" width="8.33203125" style="73" customWidth="1"/>
    <col min="9" max="9" width="20.1640625" style="73" customWidth="1"/>
    <col min="10" max="10" width="4" style="71" customWidth="1"/>
    <col min="11" max="12" width="4.33203125" style="72" customWidth="1"/>
    <col min="13" max="13" width="8.5" style="73" customWidth="1"/>
    <col min="14" max="14" width="20.1640625" style="73" customWidth="1"/>
    <col min="15" max="15" width="4" style="71" customWidth="1"/>
    <col min="16" max="17" width="4.33203125" style="72" customWidth="1"/>
    <col min="18" max="18" width="8.5" style="73" customWidth="1"/>
    <col min="19" max="19" width="20.1640625" style="73" customWidth="1"/>
    <col min="20" max="20" width="3.5" style="71" customWidth="1"/>
    <col min="21" max="21" width="5.6640625" style="72" customWidth="1"/>
    <col min="22" max="22" width="4.33203125" style="72" customWidth="1"/>
    <col min="23" max="23" width="8.33203125" style="73" customWidth="1"/>
    <col min="24" max="24" width="20.33203125" style="73" customWidth="1"/>
    <col min="25" max="25" width="4" style="71" customWidth="1"/>
    <col min="26" max="27" width="4.33203125" style="72" customWidth="1"/>
    <col min="28" max="28" width="8.5" style="73" customWidth="1"/>
    <col min="29" max="29" width="20.33203125" style="73" customWidth="1"/>
    <col min="30" max="30" width="3.1640625" style="71" customWidth="1"/>
    <col min="31" max="34" width="10.83203125" style="60"/>
    <col min="35" max="35" width="26.6640625" style="60" customWidth="1"/>
    <col min="36" max="16384" width="10.83203125" style="60"/>
  </cols>
  <sheetData>
    <row r="1" spans="1:30" s="58" customFormat="1" ht="36" customHeight="1">
      <c r="A1" s="581" t="str">
        <f>"Halvårskalender for "&amp;Stamoplysninger!E13&amp;" vedr. skoleåret "&amp;Vejledning!B2&amp;""</f>
        <v>Halvårskalender for Beate Simonsen vedr. skoleåret 2026-2027</v>
      </c>
      <c r="B1" s="582"/>
      <c r="C1" s="583"/>
      <c r="D1" s="583"/>
      <c r="E1" s="586"/>
      <c r="F1" s="585"/>
      <c r="G1" s="582"/>
      <c r="H1" s="583"/>
      <c r="I1" s="583"/>
      <c r="J1" s="586"/>
      <c r="K1" s="585"/>
      <c r="L1" s="582"/>
      <c r="M1" s="583"/>
      <c r="N1" s="583"/>
      <c r="O1" s="586"/>
      <c r="P1" s="585"/>
      <c r="Q1" s="582"/>
      <c r="R1" s="583"/>
      <c r="S1" s="583"/>
      <c r="T1" s="586"/>
      <c r="U1" s="585"/>
      <c r="V1" s="582"/>
      <c r="W1" s="583"/>
      <c r="X1" s="583"/>
      <c r="Y1" s="586"/>
      <c r="Z1" s="585"/>
      <c r="AA1" s="582"/>
      <c r="AB1" s="583"/>
      <c r="AC1" s="583"/>
      <c r="AD1" s="584"/>
    </row>
    <row r="2" spans="1:30" s="59" customFormat="1" ht="23" customHeight="1">
      <c r="A2" s="570" t="s">
        <v>90</v>
      </c>
      <c r="B2" s="571"/>
      <c r="C2" s="572"/>
      <c r="D2" s="572"/>
      <c r="E2" s="573"/>
      <c r="F2" s="574" t="s">
        <v>91</v>
      </c>
      <c r="G2" s="571"/>
      <c r="H2" s="572"/>
      <c r="I2" s="572"/>
      <c r="J2" s="573"/>
      <c r="K2" s="575" t="s">
        <v>92</v>
      </c>
      <c r="L2" s="571"/>
      <c r="M2" s="572"/>
      <c r="N2" s="572"/>
      <c r="O2" s="573"/>
      <c r="P2" s="570" t="s">
        <v>93</v>
      </c>
      <c r="Q2" s="571"/>
      <c r="R2" s="572"/>
      <c r="S2" s="572"/>
      <c r="T2" s="573"/>
      <c r="U2" s="570" t="s">
        <v>94</v>
      </c>
      <c r="V2" s="571"/>
      <c r="W2" s="572"/>
      <c r="X2" s="572"/>
      <c r="Y2" s="573"/>
      <c r="Z2" s="570" t="s">
        <v>95</v>
      </c>
      <c r="AA2" s="571"/>
      <c r="AB2" s="572"/>
      <c r="AC2" s="572"/>
      <c r="AD2" s="573"/>
    </row>
    <row r="3" spans="1:30" ht="23" customHeight="1">
      <c r="A3" s="560">
        <f>Aar!A3</f>
        <v>1</v>
      </c>
      <c r="B3" s="125" t="str">
        <f>Aar!B3</f>
        <v>lø</v>
      </c>
      <c r="C3" s="126" t="str">
        <f>August!C15</f>
        <v>Weekend</v>
      </c>
      <c r="D3" s="567" t="str">
        <f>August!DN15</f>
        <v/>
      </c>
      <c r="E3" s="563" t="str">
        <f>Aar!D3</f>
        <v/>
      </c>
      <c r="F3" s="125">
        <f>Aar!E3</f>
        <v>1</v>
      </c>
      <c r="G3" s="125" t="str">
        <f>Aar!F3</f>
        <v>ti</v>
      </c>
      <c r="H3" s="126" t="str">
        <f>September!C14</f>
        <v>Skema 1</v>
      </c>
      <c r="I3" s="567" t="str">
        <f>September!DN14</f>
        <v/>
      </c>
      <c r="J3" s="563" t="str">
        <f>Aar!H3</f>
        <v/>
      </c>
      <c r="K3" s="125">
        <f>Aar!I3</f>
        <v>1</v>
      </c>
      <c r="L3" s="125" t="str">
        <f>Aar!J3</f>
        <v>to</v>
      </c>
      <c r="M3" s="126" t="str">
        <f>Oktober!C14</f>
        <v>Skema 1</v>
      </c>
      <c r="N3" s="567" t="str">
        <f>Oktober!DN14</f>
        <v/>
      </c>
      <c r="O3" s="562" t="str">
        <f>Aar!L3</f>
        <v/>
      </c>
      <c r="P3" s="560">
        <f>Aar!M3</f>
        <v>1</v>
      </c>
      <c r="Q3" s="125" t="str">
        <f>Aar!N3</f>
        <v>sø</v>
      </c>
      <c r="R3" s="126" t="str">
        <f>November!C14</f>
        <v>Weekend</v>
      </c>
      <c r="S3" s="569" t="str">
        <f>November!DN14</f>
        <v/>
      </c>
      <c r="T3" s="563" t="str">
        <f>Aar!P3</f>
        <v/>
      </c>
      <c r="U3" s="560">
        <f>Aar!Q3</f>
        <v>1</v>
      </c>
      <c r="V3" s="125" t="str">
        <f>Aar!R3</f>
        <v>ti</v>
      </c>
      <c r="W3" s="126" t="str">
        <f>December!C14</f>
        <v>Emnedag</v>
      </c>
      <c r="X3" s="567" t="str">
        <f>December!DN14</f>
        <v>Juleklippedag</v>
      </c>
      <c r="Y3" s="563" t="str">
        <f>Aar!T3</f>
        <v/>
      </c>
      <c r="Z3" s="560">
        <f>Aar!U3</f>
        <v>1</v>
      </c>
      <c r="AA3" s="125" t="str">
        <f>Aar!V3</f>
        <v>fr</v>
      </c>
      <c r="AB3" s="126" t="str">
        <f>Januar!C14</f>
        <v>SH-dag</v>
      </c>
      <c r="AC3" s="567" t="str">
        <f>Januar!DN14</f>
        <v>Nytårsdag</v>
      </c>
      <c r="AD3" s="563" t="str">
        <f>Aar!X3</f>
        <v/>
      </c>
    </row>
    <row r="4" spans="1:30" ht="23" customHeight="1">
      <c r="A4" s="560">
        <f>Aar!A4</f>
        <v>2</v>
      </c>
      <c r="B4" s="125" t="str">
        <f>Aar!B4</f>
        <v>sø</v>
      </c>
      <c r="C4" s="126" t="str">
        <f>August!C16</f>
        <v>Weekend</v>
      </c>
      <c r="D4" s="567" t="str">
        <f>August!DN16</f>
        <v/>
      </c>
      <c r="E4" s="563" t="str">
        <f>Aar!D4</f>
        <v/>
      </c>
      <c r="F4" s="125">
        <f>Aar!E4</f>
        <v>2</v>
      </c>
      <c r="G4" s="125" t="str">
        <f>Aar!F4</f>
        <v>on</v>
      </c>
      <c r="H4" s="126" t="str">
        <f>September!C15</f>
        <v>Skema 1</v>
      </c>
      <c r="I4" s="567" t="str">
        <f>September!DN15</f>
        <v/>
      </c>
      <c r="J4" s="563" t="str">
        <f>Aar!H4</f>
        <v/>
      </c>
      <c r="K4" s="125">
        <f>Aar!I4</f>
        <v>2</v>
      </c>
      <c r="L4" s="125" t="str">
        <f>Aar!J4</f>
        <v>fr</v>
      </c>
      <c r="M4" s="126" t="str">
        <f>Oktober!C15</f>
        <v>Skema 1</v>
      </c>
      <c r="N4" s="567" t="str">
        <f>Oktober!DN15</f>
        <v/>
      </c>
      <c r="O4" s="562" t="str">
        <f>Aar!L4</f>
        <v/>
      </c>
      <c r="P4" s="560">
        <f>Aar!M4</f>
        <v>2</v>
      </c>
      <c r="Q4" s="125" t="str">
        <f>Aar!N4</f>
        <v>ma</v>
      </c>
      <c r="R4" s="126" t="str">
        <f>November!C15</f>
        <v>Skema 1</v>
      </c>
      <c r="S4" s="569" t="str">
        <f>November!DN15</f>
        <v/>
      </c>
      <c r="T4" s="563">
        <f>Aar!P4</f>
        <v>44.571428571428569</v>
      </c>
      <c r="U4" s="560">
        <f>Aar!Q4</f>
        <v>2</v>
      </c>
      <c r="V4" s="125" t="str">
        <f>Aar!R4</f>
        <v>on</v>
      </c>
      <c r="W4" s="126" t="str">
        <f>December!C15</f>
        <v>Skema 1</v>
      </c>
      <c r="X4" s="567" t="str">
        <f>December!DN15</f>
        <v/>
      </c>
      <c r="Y4" s="563" t="str">
        <f>Aar!T4</f>
        <v/>
      </c>
      <c r="Z4" s="560">
        <f>Aar!U4</f>
        <v>2</v>
      </c>
      <c r="AA4" s="125" t="str">
        <f>Aar!V4</f>
        <v>lø</v>
      </c>
      <c r="AB4" s="126" t="str">
        <f>Januar!C15</f>
        <v>Weekend</v>
      </c>
      <c r="AC4" s="567" t="str">
        <f>Januar!DN15</f>
        <v/>
      </c>
      <c r="AD4" s="563" t="str">
        <f>Aar!X4</f>
        <v/>
      </c>
    </row>
    <row r="5" spans="1:30" ht="23" customHeight="1">
      <c r="A5" s="560">
        <f>Aar!A5</f>
        <v>3</v>
      </c>
      <c r="B5" s="125" t="str">
        <f>Aar!B5</f>
        <v>ma</v>
      </c>
      <c r="C5" s="126" t="str">
        <f>August!C17</f>
        <v>Feriedag</v>
      </c>
      <c r="D5" s="567" t="str">
        <f>August!DN17</f>
        <v>Sommerferie</v>
      </c>
      <c r="E5" s="563">
        <f>Aar!D5</f>
        <v>31.571428571428573</v>
      </c>
      <c r="F5" s="125">
        <f>Aar!E5</f>
        <v>3</v>
      </c>
      <c r="G5" s="125" t="str">
        <f>Aar!F5</f>
        <v>to</v>
      </c>
      <c r="H5" s="126" t="str">
        <f>September!C16</f>
        <v>Skema 1</v>
      </c>
      <c r="I5" s="567" t="str">
        <f>September!DN16</f>
        <v>Skolehjem</v>
      </c>
      <c r="J5" s="563" t="str">
        <f>Aar!H5</f>
        <v/>
      </c>
      <c r="K5" s="125">
        <f>Aar!I5</f>
        <v>3</v>
      </c>
      <c r="L5" s="125" t="str">
        <f>Aar!J5</f>
        <v>lø</v>
      </c>
      <c r="M5" s="126" t="str">
        <f>Oktober!C16</f>
        <v>Weekend</v>
      </c>
      <c r="N5" s="567" t="str">
        <f>Oktober!DN16</f>
        <v/>
      </c>
      <c r="O5" s="562" t="str">
        <f>Aar!L5</f>
        <v/>
      </c>
      <c r="P5" s="560">
        <f>Aar!M5</f>
        <v>3</v>
      </c>
      <c r="Q5" s="125" t="str">
        <f>Aar!N5</f>
        <v>ti</v>
      </c>
      <c r="R5" s="126" t="str">
        <f>November!C16</f>
        <v>Fagdag</v>
      </c>
      <c r="S5" s="569" t="str">
        <f>November!DN16</f>
        <v>dansk</v>
      </c>
      <c r="T5" s="563" t="str">
        <f>Aar!P5</f>
        <v/>
      </c>
      <c r="U5" s="560">
        <f>Aar!Q5</f>
        <v>3</v>
      </c>
      <c r="V5" s="125" t="str">
        <f>Aar!R5</f>
        <v>to</v>
      </c>
      <c r="W5" s="126" t="str">
        <f>December!C16</f>
        <v>Skema 1</v>
      </c>
      <c r="X5" s="567" t="str">
        <f>December!DN16</f>
        <v/>
      </c>
      <c r="Y5" s="563" t="str">
        <f>Aar!T5</f>
        <v/>
      </c>
      <c r="Z5" s="560">
        <f>Aar!U5</f>
        <v>3</v>
      </c>
      <c r="AA5" s="125" t="str">
        <f>Aar!V5</f>
        <v>sø</v>
      </c>
      <c r="AB5" s="126" t="str">
        <f>Januar!C16</f>
        <v>Weekend</v>
      </c>
      <c r="AC5" s="567" t="str">
        <f>Januar!DN16</f>
        <v/>
      </c>
      <c r="AD5" s="563" t="str">
        <f>Aar!X5</f>
        <v/>
      </c>
    </row>
    <row r="6" spans="1:30" ht="23" customHeight="1">
      <c r="A6" s="560">
        <f>Aar!A6</f>
        <v>4</v>
      </c>
      <c r="B6" s="125" t="str">
        <f>Aar!B6</f>
        <v>ti</v>
      </c>
      <c r="C6" s="126" t="str">
        <f>August!C18</f>
        <v>Feriedag</v>
      </c>
      <c r="D6" s="567" t="str">
        <f>August!DN18</f>
        <v>Sommerferie</v>
      </c>
      <c r="E6" s="563" t="str">
        <f>Aar!D6</f>
        <v/>
      </c>
      <c r="F6" s="125">
        <f>Aar!E6</f>
        <v>4</v>
      </c>
      <c r="G6" s="125" t="str">
        <f>Aar!F6</f>
        <v>fr</v>
      </c>
      <c r="H6" s="126" t="str">
        <f>September!C17</f>
        <v>Skema 1</v>
      </c>
      <c r="I6" s="567" t="str">
        <f>September!DN17</f>
        <v/>
      </c>
      <c r="J6" s="563" t="str">
        <f>Aar!H6</f>
        <v/>
      </c>
      <c r="K6" s="125">
        <f>Aar!I6</f>
        <v>4</v>
      </c>
      <c r="L6" s="125" t="str">
        <f>Aar!J6</f>
        <v>sø</v>
      </c>
      <c r="M6" s="126" t="str">
        <f>Oktober!C17</f>
        <v>Weekend</v>
      </c>
      <c r="N6" s="567" t="str">
        <f>Oktober!DN17</f>
        <v/>
      </c>
      <c r="O6" s="562" t="str">
        <f>Aar!L6</f>
        <v/>
      </c>
      <c r="P6" s="560">
        <f>Aar!M6</f>
        <v>4</v>
      </c>
      <c r="Q6" s="125" t="str">
        <f>Aar!N6</f>
        <v>on</v>
      </c>
      <c r="R6" s="126" t="str">
        <f>November!C17</f>
        <v>Skema 1</v>
      </c>
      <c r="S6" s="569" t="str">
        <f>November!DN17</f>
        <v/>
      </c>
      <c r="T6" s="563" t="str">
        <f>Aar!P6</f>
        <v/>
      </c>
      <c r="U6" s="560">
        <f>Aar!Q6</f>
        <v>4</v>
      </c>
      <c r="V6" s="125" t="str">
        <f>Aar!R6</f>
        <v>fr</v>
      </c>
      <c r="W6" s="126" t="str">
        <f>December!C17</f>
        <v>Skema 1</v>
      </c>
      <c r="X6" s="567" t="str">
        <f>December!DN17</f>
        <v/>
      </c>
      <c r="Y6" s="563" t="str">
        <f>Aar!T6</f>
        <v/>
      </c>
      <c r="Z6" s="560">
        <f>Aar!U6</f>
        <v>4</v>
      </c>
      <c r="AA6" s="125" t="str">
        <f>Aar!V6</f>
        <v>ma</v>
      </c>
      <c r="AB6" s="126" t="str">
        <f>Januar!C17</f>
        <v>Nul-dag</v>
      </c>
      <c r="AC6" s="567" t="str">
        <f>Januar!DN17</f>
        <v/>
      </c>
      <c r="AD6" s="563">
        <f>Aar!X6</f>
        <v>1.4285714285714286</v>
      </c>
    </row>
    <row r="7" spans="1:30" ht="23" customHeight="1">
      <c r="A7" s="560">
        <f>Aar!A7</f>
        <v>5</v>
      </c>
      <c r="B7" s="125" t="str">
        <f>Aar!B7</f>
        <v>on</v>
      </c>
      <c r="C7" s="126" t="str">
        <f>August!C19</f>
        <v>Nul-dag</v>
      </c>
      <c r="D7" s="567" t="str">
        <f>August!DN19</f>
        <v/>
      </c>
      <c r="E7" s="563" t="str">
        <f>Aar!D7</f>
        <v/>
      </c>
      <c r="F7" s="125">
        <f>Aar!E7</f>
        <v>5</v>
      </c>
      <c r="G7" s="125" t="str">
        <f>Aar!F7</f>
        <v>lø</v>
      </c>
      <c r="H7" s="126" t="str">
        <f>September!C18</f>
        <v>Weekend</v>
      </c>
      <c r="I7" s="567" t="str">
        <f>September!DN18</f>
        <v/>
      </c>
      <c r="J7" s="563" t="str">
        <f>Aar!H7</f>
        <v/>
      </c>
      <c r="K7" s="125">
        <f>Aar!I7</f>
        <v>5</v>
      </c>
      <c r="L7" s="125" t="str">
        <f>Aar!J7</f>
        <v>ma</v>
      </c>
      <c r="M7" s="126" t="str">
        <f>Oktober!C18</f>
        <v>Emnedag</v>
      </c>
      <c r="N7" s="567" t="str">
        <f>Oktober!DN18</f>
        <v>Naturfaglig uge</v>
      </c>
      <c r="O7" s="562">
        <f>Aar!L7</f>
        <v>40.571428571428569</v>
      </c>
      <c r="P7" s="560">
        <f>Aar!M7</f>
        <v>5</v>
      </c>
      <c r="Q7" s="125" t="str">
        <f>Aar!N7</f>
        <v>to</v>
      </c>
      <c r="R7" s="126" t="str">
        <f>November!C18</f>
        <v>Skema 1</v>
      </c>
      <c r="S7" s="569" t="str">
        <f>November!DN18</f>
        <v/>
      </c>
      <c r="T7" s="563" t="str">
        <f>Aar!P7</f>
        <v/>
      </c>
      <c r="U7" s="560">
        <f>Aar!Q7</f>
        <v>5</v>
      </c>
      <c r="V7" s="125" t="str">
        <f>Aar!R7</f>
        <v>lø</v>
      </c>
      <c r="W7" s="126" t="str">
        <f>December!C18</f>
        <v>Weekend</v>
      </c>
      <c r="X7" s="567" t="str">
        <f>December!DN18</f>
        <v/>
      </c>
      <c r="Y7" s="563" t="str">
        <f>Aar!T7</f>
        <v/>
      </c>
      <c r="Z7" s="560">
        <f>Aar!U7</f>
        <v>5</v>
      </c>
      <c r="AA7" s="125" t="str">
        <f>Aar!V7</f>
        <v>ti</v>
      </c>
      <c r="AB7" s="126" t="str">
        <f>Januar!C18</f>
        <v>Skema 1</v>
      </c>
      <c r="AC7" s="567" t="str">
        <f>Januar!DN18</f>
        <v/>
      </c>
      <c r="AD7" s="563" t="str">
        <f>Aar!X7</f>
        <v/>
      </c>
    </row>
    <row r="8" spans="1:30" ht="23" customHeight="1">
      <c r="A8" s="560">
        <f>Aar!A8</f>
        <v>6</v>
      </c>
      <c r="B8" s="125" t="str">
        <f>Aar!B8</f>
        <v>to</v>
      </c>
      <c r="C8" s="126" t="str">
        <f>August!C20</f>
        <v>Pæd.dag</v>
      </c>
      <c r="D8" s="567" t="str">
        <f>August!DN20</f>
        <v>Forbereder os til det kommende skoleår 9-15</v>
      </c>
      <c r="E8" s="563" t="str">
        <f>Aar!D8</f>
        <v/>
      </c>
      <c r="F8" s="125">
        <f>Aar!E8</f>
        <v>6</v>
      </c>
      <c r="G8" s="125" t="str">
        <f>Aar!F8</f>
        <v>sø</v>
      </c>
      <c r="H8" s="126" t="str">
        <f>September!C19</f>
        <v>Weekend</v>
      </c>
      <c r="I8" s="567" t="str">
        <f>September!DN19</f>
        <v/>
      </c>
      <c r="J8" s="563" t="str">
        <f>Aar!H8</f>
        <v/>
      </c>
      <c r="K8" s="125">
        <f>Aar!I8</f>
        <v>6</v>
      </c>
      <c r="L8" s="125" t="str">
        <f>Aar!J8</f>
        <v>ti</v>
      </c>
      <c r="M8" s="126" t="str">
        <f>Oktober!C19</f>
        <v>Emnedag</v>
      </c>
      <c r="N8" s="567" t="str">
        <f>Oktober!DN19</f>
        <v>Naturfaglig uge</v>
      </c>
      <c r="O8" s="562" t="str">
        <f>Aar!L8</f>
        <v/>
      </c>
      <c r="P8" s="560">
        <f>Aar!M8</f>
        <v>6</v>
      </c>
      <c r="Q8" s="125" t="str">
        <f>Aar!N8</f>
        <v>fr</v>
      </c>
      <c r="R8" s="126" t="str">
        <f>November!C19</f>
        <v>Skema 1</v>
      </c>
      <c r="S8" s="569" t="str">
        <f>November!DN19</f>
        <v/>
      </c>
      <c r="T8" s="563" t="str">
        <f>Aar!P8</f>
        <v/>
      </c>
      <c r="U8" s="560">
        <f>Aar!Q8</f>
        <v>6</v>
      </c>
      <c r="V8" s="125" t="str">
        <f>Aar!R8</f>
        <v>sø</v>
      </c>
      <c r="W8" s="126" t="str">
        <f>December!C19</f>
        <v>Weekend</v>
      </c>
      <c r="X8" s="567" t="str">
        <f>December!DN19</f>
        <v/>
      </c>
      <c r="Y8" s="563" t="str">
        <f>Aar!T8</f>
        <v/>
      </c>
      <c r="Z8" s="560">
        <f>Aar!U8</f>
        <v>6</v>
      </c>
      <c r="AA8" s="125" t="str">
        <f>Aar!V8</f>
        <v>on</v>
      </c>
      <c r="AB8" s="126" t="str">
        <f>Januar!C19</f>
        <v>Skema 1</v>
      </c>
      <c r="AC8" s="567" t="str">
        <f>Januar!DN19</f>
        <v/>
      </c>
      <c r="AD8" s="563" t="str">
        <f>Aar!X8</f>
        <v/>
      </c>
    </row>
    <row r="9" spans="1:30" ht="23" customHeight="1">
      <c r="A9" s="560">
        <f>Aar!A9</f>
        <v>7</v>
      </c>
      <c r="B9" s="125" t="str">
        <f>Aar!B9</f>
        <v>fr</v>
      </c>
      <c r="C9" s="126" t="str">
        <f>August!C21</f>
        <v>Pæd.dag</v>
      </c>
      <c r="D9" s="567" t="str">
        <f>August!DN21</f>
        <v>Forbereder os til det kommende skoleår 9-15</v>
      </c>
      <c r="E9" s="563" t="str">
        <f>Aar!D9</f>
        <v/>
      </c>
      <c r="F9" s="125">
        <f>Aar!E9</f>
        <v>7</v>
      </c>
      <c r="G9" s="125" t="str">
        <f>Aar!F9</f>
        <v>ma</v>
      </c>
      <c r="H9" s="126" t="str">
        <f>September!C20</f>
        <v>Lejrskole</v>
      </c>
      <c r="I9" s="567" t="str">
        <f>September!DN20</f>
        <v>Bornholm afsted kl 08:00</v>
      </c>
      <c r="J9" s="563">
        <f>Aar!H9</f>
        <v>36.571428571428569</v>
      </c>
      <c r="K9" s="125">
        <f>Aar!I9</f>
        <v>7</v>
      </c>
      <c r="L9" s="125" t="str">
        <f>Aar!J9</f>
        <v>on</v>
      </c>
      <c r="M9" s="126" t="str">
        <f>Oktober!C20</f>
        <v>Emnedag</v>
      </c>
      <c r="N9" s="567" t="str">
        <f>Oktober!DN20</f>
        <v>Naturfaglig uge</v>
      </c>
      <c r="O9" s="562" t="str">
        <f>Aar!L9</f>
        <v/>
      </c>
      <c r="P9" s="560">
        <f>Aar!M9</f>
        <v>7</v>
      </c>
      <c r="Q9" s="125" t="str">
        <f>Aar!N9</f>
        <v>lø</v>
      </c>
      <c r="R9" s="126" t="str">
        <f>November!C20</f>
        <v>Weekend</v>
      </c>
      <c r="S9" s="569" t="str">
        <f>November!DN20</f>
        <v/>
      </c>
      <c r="T9" s="563" t="str">
        <f>Aar!P9</f>
        <v/>
      </c>
      <c r="U9" s="560">
        <f>Aar!Q9</f>
        <v>7</v>
      </c>
      <c r="V9" s="125" t="str">
        <f>Aar!R9</f>
        <v>ma</v>
      </c>
      <c r="W9" s="126" t="str">
        <f>December!C20</f>
        <v>Skema 1</v>
      </c>
      <c r="X9" s="567" t="str">
        <f>December!DN20</f>
        <v/>
      </c>
      <c r="Y9" s="563">
        <f>Aar!T9</f>
        <v>49.571428571428569</v>
      </c>
      <c r="Z9" s="560">
        <f>Aar!U9</f>
        <v>7</v>
      </c>
      <c r="AA9" s="125" t="str">
        <f>Aar!V9</f>
        <v>to</v>
      </c>
      <c r="AB9" s="126" t="str">
        <f>Januar!C20</f>
        <v>Skema 1</v>
      </c>
      <c r="AC9" s="567" t="str">
        <f>Januar!DN20</f>
        <v/>
      </c>
      <c r="AD9" s="563" t="str">
        <f>Aar!X9</f>
        <v/>
      </c>
    </row>
    <row r="10" spans="1:30" ht="23" customHeight="1">
      <c r="A10" s="560">
        <f>Aar!A10</f>
        <v>8</v>
      </c>
      <c r="B10" s="125" t="str">
        <f>Aar!B10</f>
        <v>lø</v>
      </c>
      <c r="C10" s="126" t="str">
        <f>August!C22</f>
        <v>Weekend</v>
      </c>
      <c r="D10" s="567" t="str">
        <f>August!DN22</f>
        <v/>
      </c>
      <c r="E10" s="563" t="str">
        <f>Aar!D10</f>
        <v/>
      </c>
      <c r="F10" s="125">
        <f>Aar!E10</f>
        <v>8</v>
      </c>
      <c r="G10" s="125" t="str">
        <f>Aar!F10</f>
        <v>ti</v>
      </c>
      <c r="H10" s="126" t="str">
        <f>September!C21</f>
        <v>Lejrskole</v>
      </c>
      <c r="I10" s="567" t="str">
        <f>September!DN21</f>
        <v xml:space="preserve">Bornholm  </v>
      </c>
      <c r="J10" s="563" t="str">
        <f>Aar!H10</f>
        <v/>
      </c>
      <c r="K10" s="125">
        <f>Aar!I10</f>
        <v>8</v>
      </c>
      <c r="L10" s="125" t="str">
        <f>Aar!J10</f>
        <v>to</v>
      </c>
      <c r="M10" s="126" t="str">
        <f>Oktober!C21</f>
        <v>Emnedag</v>
      </c>
      <c r="N10" s="567" t="str">
        <f>Oktober!DN21</f>
        <v>Naturfaglig uge</v>
      </c>
      <c r="O10" s="562" t="str">
        <f>Aar!L10</f>
        <v/>
      </c>
      <c r="P10" s="560">
        <f>Aar!M10</f>
        <v>8</v>
      </c>
      <c r="Q10" s="125" t="str">
        <f>Aar!N10</f>
        <v>sø</v>
      </c>
      <c r="R10" s="126" t="str">
        <f>November!C21</f>
        <v>Weekend</v>
      </c>
      <c r="S10" s="569" t="str">
        <f>November!DN21</f>
        <v/>
      </c>
      <c r="T10" s="563" t="str">
        <f>Aar!P10</f>
        <v/>
      </c>
      <c r="U10" s="560">
        <f>Aar!Q10</f>
        <v>8</v>
      </c>
      <c r="V10" s="125" t="str">
        <f>Aar!R10</f>
        <v>ti</v>
      </c>
      <c r="W10" s="126" t="str">
        <f>December!C21</f>
        <v>Skema 1</v>
      </c>
      <c r="X10" s="567" t="str">
        <f>December!DN21</f>
        <v/>
      </c>
      <c r="Y10" s="563" t="str">
        <f>Aar!T10</f>
        <v/>
      </c>
      <c r="Z10" s="560">
        <f>Aar!U10</f>
        <v>8</v>
      </c>
      <c r="AA10" s="125" t="str">
        <f>Aar!V10</f>
        <v>fr</v>
      </c>
      <c r="AB10" s="126" t="str">
        <f>Januar!C21</f>
        <v>Skema 1</v>
      </c>
      <c r="AC10" s="567" t="str">
        <f>Januar!DN21</f>
        <v/>
      </c>
      <c r="AD10" s="563" t="str">
        <f>Aar!X10</f>
        <v/>
      </c>
    </row>
    <row r="11" spans="1:30" ht="23" customHeight="1">
      <c r="A11" s="560">
        <f>Aar!A11</f>
        <v>9</v>
      </c>
      <c r="B11" s="125" t="str">
        <f>Aar!B11</f>
        <v>sø</v>
      </c>
      <c r="C11" s="126" t="str">
        <f>August!C23</f>
        <v>Weekend</v>
      </c>
      <c r="D11" s="567" t="str">
        <f>August!DN23</f>
        <v/>
      </c>
      <c r="E11" s="563" t="str">
        <f>Aar!D11</f>
        <v/>
      </c>
      <c r="F11" s="125">
        <f>Aar!E11</f>
        <v>9</v>
      </c>
      <c r="G11" s="125" t="str">
        <f>Aar!F11</f>
        <v>on</v>
      </c>
      <c r="H11" s="126" t="str">
        <f>September!C22</f>
        <v>Lejrskole</v>
      </c>
      <c r="I11" s="567" t="str">
        <f>September!DN22</f>
        <v xml:space="preserve">Bornholm  </v>
      </c>
      <c r="J11" s="563" t="str">
        <f>Aar!H11</f>
        <v/>
      </c>
      <c r="K11" s="125">
        <f>Aar!I11</f>
        <v>9</v>
      </c>
      <c r="L11" s="125" t="str">
        <f>Aar!J11</f>
        <v>fr</v>
      </c>
      <c r="M11" s="126" t="str">
        <f>Oktober!C22</f>
        <v>Emnedag</v>
      </c>
      <c r="N11" s="567" t="str">
        <f>Oktober!DN22</f>
        <v xml:space="preserve">Naturfaglig uge og fremvisning </v>
      </c>
      <c r="O11" s="562" t="str">
        <f>Aar!L11</f>
        <v/>
      </c>
      <c r="P11" s="560">
        <f>Aar!M11</f>
        <v>9</v>
      </c>
      <c r="Q11" s="125" t="str">
        <f>Aar!N11</f>
        <v>ma</v>
      </c>
      <c r="R11" s="126" t="str">
        <f>November!C22</f>
        <v>Skema 1</v>
      </c>
      <c r="S11" s="569" t="str">
        <f>November!DN22</f>
        <v/>
      </c>
      <c r="T11" s="563">
        <f>Aar!P11</f>
        <v>45.571428571428569</v>
      </c>
      <c r="U11" s="560">
        <f>Aar!Q11</f>
        <v>9</v>
      </c>
      <c r="V11" s="125" t="str">
        <f>Aar!R11</f>
        <v>on</v>
      </c>
      <c r="W11" s="126" t="str">
        <f>December!C22</f>
        <v>Skema 1</v>
      </c>
      <c r="X11" s="567" t="str">
        <f>December!DN22</f>
        <v/>
      </c>
      <c r="Y11" s="563" t="str">
        <f>Aar!T11</f>
        <v/>
      </c>
      <c r="Z11" s="560">
        <f>Aar!U11</f>
        <v>9</v>
      </c>
      <c r="AA11" s="125" t="str">
        <f>Aar!V11</f>
        <v>lø</v>
      </c>
      <c r="AB11" s="126" t="str">
        <f>Januar!C22</f>
        <v>Weekend</v>
      </c>
      <c r="AC11" s="567" t="str">
        <f>Januar!DN22</f>
        <v/>
      </c>
      <c r="AD11" s="563" t="str">
        <f>Aar!X11</f>
        <v/>
      </c>
    </row>
    <row r="12" spans="1:30" ht="23" customHeight="1">
      <c r="A12" s="560">
        <f>Aar!A12</f>
        <v>10</v>
      </c>
      <c r="B12" s="125" t="str">
        <f>Aar!B12</f>
        <v>ma</v>
      </c>
      <c r="C12" s="126" t="str">
        <f>August!C24</f>
        <v>Emnedag</v>
      </c>
      <c r="D12" s="567" t="str">
        <f>August!DN24</f>
        <v>Første skoledag 8-15 (elever 9-13)</v>
      </c>
      <c r="E12" s="563">
        <f>Aar!D12</f>
        <v>32.571428571428569</v>
      </c>
      <c r="F12" s="125">
        <f>Aar!E12</f>
        <v>10</v>
      </c>
      <c r="G12" s="125" t="str">
        <f>Aar!F12</f>
        <v>to</v>
      </c>
      <c r="H12" s="126" t="str">
        <f>September!C23</f>
        <v>Lejrskole</v>
      </c>
      <c r="I12" s="567" t="str">
        <f>September!DN23</f>
        <v xml:space="preserve">Bornholm  </v>
      </c>
      <c r="J12" s="563" t="str">
        <f>Aar!H12</f>
        <v/>
      </c>
      <c r="K12" s="125">
        <f>Aar!I12</f>
        <v>10</v>
      </c>
      <c r="L12" s="125" t="str">
        <f>Aar!J12</f>
        <v>lø</v>
      </c>
      <c r="M12" s="126" t="str">
        <f>Oktober!C23</f>
        <v>Weekend</v>
      </c>
      <c r="N12" s="567" t="str">
        <f>Oktober!DN23</f>
        <v/>
      </c>
      <c r="O12" s="562" t="str">
        <f>Aar!L12</f>
        <v/>
      </c>
      <c r="P12" s="560">
        <f>Aar!M12</f>
        <v>10</v>
      </c>
      <c r="Q12" s="125" t="str">
        <f>Aar!N12</f>
        <v>ti</v>
      </c>
      <c r="R12" s="126" t="str">
        <f>November!C23</f>
        <v>Skema 1</v>
      </c>
      <c r="S12" s="569" t="str">
        <f>November!DN23</f>
        <v/>
      </c>
      <c r="T12" s="563" t="str">
        <f>Aar!P12</f>
        <v/>
      </c>
      <c r="U12" s="560">
        <f>Aar!Q12</f>
        <v>10</v>
      </c>
      <c r="V12" s="125" t="str">
        <f>Aar!R12</f>
        <v>to</v>
      </c>
      <c r="W12" s="126" t="str">
        <f>December!C23</f>
        <v>Skema 1</v>
      </c>
      <c r="X12" s="567" t="str">
        <f>December!DN23</f>
        <v>Lærermøde</v>
      </c>
      <c r="Y12" s="563" t="str">
        <f>Aar!T12</f>
        <v/>
      </c>
      <c r="Z12" s="560">
        <f>Aar!U12</f>
        <v>10</v>
      </c>
      <c r="AA12" s="125" t="str">
        <f>Aar!V12</f>
        <v>sø</v>
      </c>
      <c r="AB12" s="126" t="str">
        <f>Januar!C23</f>
        <v>Weekend</v>
      </c>
      <c r="AC12" s="567" t="str">
        <f>Januar!DN23</f>
        <v/>
      </c>
      <c r="AD12" s="563" t="str">
        <f>Aar!X12</f>
        <v/>
      </c>
    </row>
    <row r="13" spans="1:30" ht="23" customHeight="1">
      <c r="A13" s="560">
        <f>Aar!A13</f>
        <v>11</v>
      </c>
      <c r="B13" s="125" t="str">
        <f>Aar!B13</f>
        <v>ti</v>
      </c>
      <c r="C13" s="126" t="str">
        <f>August!C25</f>
        <v>Skema 1</v>
      </c>
      <c r="D13" s="567" t="str">
        <f>August!DN25</f>
        <v/>
      </c>
      <c r="E13" s="563" t="str">
        <f>Aar!D13</f>
        <v/>
      </c>
      <c r="F13" s="125">
        <f>Aar!E13</f>
        <v>11</v>
      </c>
      <c r="G13" s="125" t="str">
        <f>Aar!F13</f>
        <v>fr</v>
      </c>
      <c r="H13" s="126" t="str">
        <f>September!C24</f>
        <v>Lejrskole</v>
      </c>
      <c r="I13" s="567" t="str">
        <f>September!DN24</f>
        <v>Bornholm - Forventet hjemkomst kl. 19:00</v>
      </c>
      <c r="J13" s="563" t="str">
        <f>Aar!H13</f>
        <v/>
      </c>
      <c r="K13" s="125">
        <f>Aar!I13</f>
        <v>11</v>
      </c>
      <c r="L13" s="125" t="str">
        <f>Aar!J13</f>
        <v>sø</v>
      </c>
      <c r="M13" s="126" t="str">
        <f>Oktober!C24</f>
        <v>Weekend</v>
      </c>
      <c r="N13" s="567" t="str">
        <f>Oktober!DN24</f>
        <v/>
      </c>
      <c r="O13" s="562" t="str">
        <f>Aar!L13</f>
        <v/>
      </c>
      <c r="P13" s="560">
        <f>Aar!M13</f>
        <v>11</v>
      </c>
      <c r="Q13" s="125" t="str">
        <f>Aar!N13</f>
        <v>on</v>
      </c>
      <c r="R13" s="126" t="str">
        <f>November!C24</f>
        <v>Skema 1</v>
      </c>
      <c r="S13" s="569" t="str">
        <f>November!DN24</f>
        <v/>
      </c>
      <c r="T13" s="563" t="str">
        <f>Aar!P13</f>
        <v/>
      </c>
      <c r="U13" s="560">
        <f>Aar!Q13</f>
        <v>11</v>
      </c>
      <c r="V13" s="125" t="str">
        <f>Aar!R13</f>
        <v>fr</v>
      </c>
      <c r="W13" s="126" t="str">
        <f>December!C24</f>
        <v>Skema 1</v>
      </c>
      <c r="X13" s="567" t="str">
        <f>December!DN24</f>
        <v/>
      </c>
      <c r="Y13" s="563" t="str">
        <f>Aar!T13</f>
        <v/>
      </c>
      <c r="Z13" s="560">
        <f>Aar!U13</f>
        <v>11</v>
      </c>
      <c r="AA13" s="125" t="str">
        <f>Aar!V13</f>
        <v>ma</v>
      </c>
      <c r="AB13" s="126" t="str">
        <f>Januar!C24</f>
        <v>Skema 1</v>
      </c>
      <c r="AC13" s="567" t="str">
        <f>Januar!DN24</f>
        <v/>
      </c>
      <c r="AD13" s="563">
        <f>Aar!X13</f>
        <v>2.4285714285714284</v>
      </c>
    </row>
    <row r="14" spans="1:30" ht="23" customHeight="1">
      <c r="A14" s="560">
        <f>Aar!A14</f>
        <v>12</v>
      </c>
      <c r="B14" s="125" t="str">
        <f>Aar!B14</f>
        <v>on</v>
      </c>
      <c r="C14" s="126" t="str">
        <f>August!C26</f>
        <v>Skema 1</v>
      </c>
      <c r="D14" s="567" t="str">
        <f>August!DN26</f>
        <v/>
      </c>
      <c r="E14" s="563" t="str">
        <f>Aar!D14</f>
        <v/>
      </c>
      <c r="F14" s="125">
        <f>Aar!E14</f>
        <v>12</v>
      </c>
      <c r="G14" s="125" t="str">
        <f>Aar!F14</f>
        <v>lø</v>
      </c>
      <c r="H14" s="126" t="str">
        <f>September!C25</f>
        <v>Weekend</v>
      </c>
      <c r="I14" s="567" t="str">
        <f>September!DN25</f>
        <v/>
      </c>
      <c r="J14" s="563" t="str">
        <f>Aar!H14</f>
        <v/>
      </c>
      <c r="K14" s="125">
        <f>Aar!I14</f>
        <v>12</v>
      </c>
      <c r="L14" s="125" t="str">
        <f>Aar!J14</f>
        <v>ma</v>
      </c>
      <c r="M14" s="126" t="str">
        <f>Oktober!C25</f>
        <v>Feriedag</v>
      </c>
      <c r="N14" s="567" t="str">
        <f>Oktober!DN25</f>
        <v>Efterårsferie</v>
      </c>
      <c r="O14" s="562">
        <f>Aar!L14</f>
        <v>41.571428571428569</v>
      </c>
      <c r="P14" s="560">
        <f>Aar!M14</f>
        <v>12</v>
      </c>
      <c r="Q14" s="125" t="str">
        <f>Aar!N14</f>
        <v>to</v>
      </c>
      <c r="R14" s="126" t="str">
        <f>November!C25</f>
        <v>Skema 1</v>
      </c>
      <c r="S14" s="569" t="str">
        <f>November!DN25</f>
        <v/>
      </c>
      <c r="T14" s="563" t="str">
        <f>Aar!P14</f>
        <v/>
      </c>
      <c r="U14" s="560">
        <f>Aar!Q14</f>
        <v>12</v>
      </c>
      <c r="V14" s="125" t="str">
        <f>Aar!R14</f>
        <v>lø</v>
      </c>
      <c r="W14" s="126" t="str">
        <f>December!C25</f>
        <v>Weekend</v>
      </c>
      <c r="X14" s="567" t="str">
        <f>December!DN25</f>
        <v/>
      </c>
      <c r="Y14" s="563" t="str">
        <f>Aar!T14</f>
        <v/>
      </c>
      <c r="Z14" s="560">
        <f>Aar!U14</f>
        <v>12</v>
      </c>
      <c r="AA14" s="125" t="str">
        <f>Aar!V14</f>
        <v>ti</v>
      </c>
      <c r="AB14" s="126" t="str">
        <f>Januar!C25</f>
        <v>Skema 1</v>
      </c>
      <c r="AC14" s="567" t="str">
        <f>Januar!DN25</f>
        <v/>
      </c>
      <c r="AD14" s="563" t="str">
        <f>Aar!X14</f>
        <v/>
      </c>
    </row>
    <row r="15" spans="1:30" ht="23" customHeight="1">
      <c r="A15" s="560">
        <f>Aar!A15</f>
        <v>13</v>
      </c>
      <c r="B15" s="125" t="str">
        <f>Aar!B15</f>
        <v>to</v>
      </c>
      <c r="C15" s="126" t="str">
        <f>August!C27</f>
        <v>Skema 1</v>
      </c>
      <c r="D15" s="567" t="str">
        <f>August!DN27</f>
        <v/>
      </c>
      <c r="E15" s="563" t="str">
        <f>Aar!D15</f>
        <v/>
      </c>
      <c r="F15" s="125">
        <f>Aar!E15</f>
        <v>13</v>
      </c>
      <c r="G15" s="125" t="str">
        <f>Aar!F15</f>
        <v>sø</v>
      </c>
      <c r="H15" s="126" t="str">
        <f>September!C26</f>
        <v>Weekend</v>
      </c>
      <c r="I15" s="567" t="str">
        <f>September!DN26</f>
        <v/>
      </c>
      <c r="J15" s="563" t="str">
        <f>Aar!H15</f>
        <v/>
      </c>
      <c r="K15" s="125">
        <f>Aar!I15</f>
        <v>13</v>
      </c>
      <c r="L15" s="125" t="str">
        <f>Aar!J15</f>
        <v>ti</v>
      </c>
      <c r="M15" s="126" t="str">
        <f>Oktober!C26</f>
        <v>Feriedag</v>
      </c>
      <c r="N15" s="567" t="str">
        <f>Oktober!DN26</f>
        <v>Efterårsferie</v>
      </c>
      <c r="O15" s="562" t="str">
        <f>Aar!L15</f>
        <v/>
      </c>
      <c r="P15" s="560">
        <f>Aar!M15</f>
        <v>13</v>
      </c>
      <c r="Q15" s="125" t="str">
        <f>Aar!N15</f>
        <v>fr</v>
      </c>
      <c r="R15" s="126" t="str">
        <f>November!C26</f>
        <v>Skema 1</v>
      </c>
      <c r="S15" s="569" t="str">
        <f>November!DN26</f>
        <v/>
      </c>
      <c r="T15" s="563" t="str">
        <f>Aar!P15</f>
        <v/>
      </c>
      <c r="U15" s="560">
        <f>Aar!Q15</f>
        <v>13</v>
      </c>
      <c r="V15" s="125" t="str">
        <f>Aar!R15</f>
        <v>sø</v>
      </c>
      <c r="W15" s="126" t="str">
        <f>December!C26</f>
        <v>Weekend</v>
      </c>
      <c r="X15" s="567" t="str">
        <f>December!DN26</f>
        <v/>
      </c>
      <c r="Y15" s="563" t="str">
        <f>Aar!T15</f>
        <v/>
      </c>
      <c r="Z15" s="560">
        <f>Aar!U15</f>
        <v>13</v>
      </c>
      <c r="AA15" s="125" t="str">
        <f>Aar!V15</f>
        <v>on</v>
      </c>
      <c r="AB15" s="126" t="str">
        <f>Januar!C26</f>
        <v>Skema 1</v>
      </c>
      <c r="AC15" s="567" t="str">
        <f>Januar!DN26</f>
        <v/>
      </c>
      <c r="AD15" s="563" t="str">
        <f>Aar!X15</f>
        <v/>
      </c>
    </row>
    <row r="16" spans="1:30" ht="23" customHeight="1">
      <c r="A16" s="560">
        <f>Aar!A16</f>
        <v>14</v>
      </c>
      <c r="B16" s="125" t="str">
        <f>Aar!B16</f>
        <v>fr</v>
      </c>
      <c r="C16" s="126" t="str">
        <f>August!C28</f>
        <v>Skema 1</v>
      </c>
      <c r="D16" s="567" t="str">
        <f>August!DN28</f>
        <v/>
      </c>
      <c r="E16" s="563" t="str">
        <f>Aar!D16</f>
        <v/>
      </c>
      <c r="F16" s="125">
        <f>Aar!E16</f>
        <v>14</v>
      </c>
      <c r="G16" s="125" t="str">
        <f>Aar!F16</f>
        <v>ma</v>
      </c>
      <c r="H16" s="126" t="str">
        <f>September!C27</f>
        <v>Skema 1</v>
      </c>
      <c r="I16" s="567" t="str">
        <f>September!DN27</f>
        <v/>
      </c>
      <c r="J16" s="563">
        <f>Aar!H16</f>
        <v>37.571428571428569</v>
      </c>
      <c r="K16" s="125">
        <f>Aar!I16</f>
        <v>14</v>
      </c>
      <c r="L16" s="125" t="str">
        <f>Aar!J16</f>
        <v>on</v>
      </c>
      <c r="M16" s="126" t="str">
        <f>Oktober!C27</f>
        <v>Feriedag</v>
      </c>
      <c r="N16" s="567" t="str">
        <f>Oktober!DN27</f>
        <v>Efterårsferie</v>
      </c>
      <c r="O16" s="562" t="str">
        <f>Aar!L16</f>
        <v/>
      </c>
      <c r="P16" s="560">
        <f>Aar!M16</f>
        <v>14</v>
      </c>
      <c r="Q16" s="125" t="str">
        <f>Aar!N16</f>
        <v>lø</v>
      </c>
      <c r="R16" s="126" t="str">
        <f>November!C27</f>
        <v>Weekend</v>
      </c>
      <c r="S16" s="569" t="str">
        <f>November!DN27</f>
        <v/>
      </c>
      <c r="T16" s="563" t="str">
        <f>Aar!P16</f>
        <v/>
      </c>
      <c r="U16" s="560">
        <f>Aar!Q16</f>
        <v>14</v>
      </c>
      <c r="V16" s="125" t="str">
        <f>Aar!R16</f>
        <v>ma</v>
      </c>
      <c r="W16" s="126" t="str">
        <f>December!C27</f>
        <v>Skema 1</v>
      </c>
      <c r="X16" s="567" t="str">
        <f>December!DN27</f>
        <v>Julehygge med lucia</v>
      </c>
      <c r="Y16" s="563">
        <f>Aar!T16</f>
        <v>50.571428571428569</v>
      </c>
      <c r="Z16" s="560">
        <f>Aar!U16</f>
        <v>14</v>
      </c>
      <c r="AA16" s="125" t="str">
        <f>Aar!V16</f>
        <v>to</v>
      </c>
      <c r="AB16" s="126" t="str">
        <f>Januar!C27</f>
        <v>Skema 1</v>
      </c>
      <c r="AC16" s="567" t="str">
        <f>Januar!DN27</f>
        <v/>
      </c>
      <c r="AD16" s="563" t="str">
        <f>Aar!X16</f>
        <v/>
      </c>
    </row>
    <row r="17" spans="1:30" ht="23" customHeight="1">
      <c r="A17" s="560">
        <f>Aar!A17</f>
        <v>15</v>
      </c>
      <c r="B17" s="125" t="str">
        <f>Aar!B17</f>
        <v>lø</v>
      </c>
      <c r="C17" s="126" t="str">
        <f>August!C29</f>
        <v>Weekend</v>
      </c>
      <c r="D17" s="567" t="str">
        <f>August!DN29</f>
        <v/>
      </c>
      <c r="E17" s="563" t="str">
        <f>Aar!D17</f>
        <v/>
      </c>
      <c r="F17" s="125">
        <f>Aar!E17</f>
        <v>15</v>
      </c>
      <c r="G17" s="125" t="str">
        <f>Aar!F17</f>
        <v>ti</v>
      </c>
      <c r="H17" s="126" t="str">
        <f>September!C28</f>
        <v>Skema 1</v>
      </c>
      <c r="I17" s="567" t="str">
        <f>September!DN28</f>
        <v/>
      </c>
      <c r="J17" s="563" t="str">
        <f>Aar!H17</f>
        <v/>
      </c>
      <c r="K17" s="125">
        <f>Aar!I17</f>
        <v>15</v>
      </c>
      <c r="L17" s="125" t="str">
        <f>Aar!J17</f>
        <v>to</v>
      </c>
      <c r="M17" s="126" t="str">
        <f>Oktober!C28</f>
        <v>Feriedag</v>
      </c>
      <c r="N17" s="567" t="str">
        <f>Oktober!DN28</f>
        <v>Efterårsferie</v>
      </c>
      <c r="O17" s="562" t="str">
        <f>Aar!L17</f>
        <v/>
      </c>
      <c r="P17" s="560">
        <f>Aar!M17</f>
        <v>15</v>
      </c>
      <c r="Q17" s="125" t="str">
        <f>Aar!N17</f>
        <v>sø</v>
      </c>
      <c r="R17" s="126" t="str">
        <f>November!C28</f>
        <v>Weekend</v>
      </c>
      <c r="S17" s="569" t="str">
        <f>November!DN28</f>
        <v/>
      </c>
      <c r="T17" s="563" t="str">
        <f>Aar!P17</f>
        <v/>
      </c>
      <c r="U17" s="560">
        <f>Aar!Q17</f>
        <v>15</v>
      </c>
      <c r="V17" s="125" t="str">
        <f>Aar!R17</f>
        <v>ti</v>
      </c>
      <c r="W17" s="126" t="str">
        <f>December!C28</f>
        <v>Skema 1</v>
      </c>
      <c r="X17" s="567" t="str">
        <f>December!DN28</f>
        <v/>
      </c>
      <c r="Y17" s="563" t="str">
        <f>Aar!T17</f>
        <v/>
      </c>
      <c r="Z17" s="560">
        <f>Aar!U17</f>
        <v>15</v>
      </c>
      <c r="AA17" s="125" t="str">
        <f>Aar!V17</f>
        <v>fr</v>
      </c>
      <c r="AB17" s="126" t="str">
        <f>Januar!C28</f>
        <v>Skema 1</v>
      </c>
      <c r="AC17" s="567" t="str">
        <f>Januar!DN28</f>
        <v/>
      </c>
      <c r="AD17" s="563" t="str">
        <f>Aar!X17</f>
        <v/>
      </c>
    </row>
    <row r="18" spans="1:30" ht="23" customHeight="1">
      <c r="A18" s="560">
        <f>Aar!A18</f>
        <v>16</v>
      </c>
      <c r="B18" s="125" t="str">
        <f>Aar!B18</f>
        <v>sø</v>
      </c>
      <c r="C18" s="126" t="str">
        <f>August!C30</f>
        <v>Weekend</v>
      </c>
      <c r="D18" s="567" t="str">
        <f>August!DN30</f>
        <v/>
      </c>
      <c r="E18" s="563" t="str">
        <f>Aar!D18</f>
        <v/>
      </c>
      <c r="F18" s="125">
        <f>Aar!E18</f>
        <v>16</v>
      </c>
      <c r="G18" s="125" t="str">
        <f>Aar!F18</f>
        <v>on</v>
      </c>
      <c r="H18" s="126" t="str">
        <f>September!C29</f>
        <v>Skema 1</v>
      </c>
      <c r="I18" s="567" t="str">
        <f>September!DN29</f>
        <v/>
      </c>
      <c r="J18" s="563" t="str">
        <f>Aar!H18</f>
        <v/>
      </c>
      <c r="K18" s="125">
        <f>Aar!I18</f>
        <v>16</v>
      </c>
      <c r="L18" s="125" t="str">
        <f>Aar!J18</f>
        <v>fr</v>
      </c>
      <c r="M18" s="126" t="str">
        <f>Oktober!C29</f>
        <v>Feriedag</v>
      </c>
      <c r="N18" s="567" t="str">
        <f>Oktober!DN29</f>
        <v>Efterårsferie</v>
      </c>
      <c r="O18" s="562" t="str">
        <f>Aar!L18</f>
        <v/>
      </c>
      <c r="P18" s="560">
        <f>Aar!M18</f>
        <v>16</v>
      </c>
      <c r="Q18" s="125" t="str">
        <f>Aar!N18</f>
        <v>ma</v>
      </c>
      <c r="R18" s="126" t="str">
        <f>November!C29</f>
        <v>Skema 1</v>
      </c>
      <c r="S18" s="569" t="str">
        <f>November!DN29</f>
        <v/>
      </c>
      <c r="T18" s="563">
        <f>Aar!P18</f>
        <v>46.571428571428569</v>
      </c>
      <c r="U18" s="560">
        <f>Aar!Q18</f>
        <v>16</v>
      </c>
      <c r="V18" s="125" t="str">
        <f>Aar!R18</f>
        <v>on</v>
      </c>
      <c r="W18" s="126" t="str">
        <f>December!C29</f>
        <v>Skema 1</v>
      </c>
      <c r="X18" s="567" t="str">
        <f>December!DN29</f>
        <v/>
      </c>
      <c r="Y18" s="563" t="str">
        <f>Aar!T18</f>
        <v/>
      </c>
      <c r="Z18" s="560">
        <f>Aar!U18</f>
        <v>16</v>
      </c>
      <c r="AA18" s="125" t="str">
        <f>Aar!V18</f>
        <v>lø</v>
      </c>
      <c r="AB18" s="126" t="str">
        <f>Januar!C29</f>
        <v>Weekend</v>
      </c>
      <c r="AC18" s="567" t="str">
        <f>Januar!DN29</f>
        <v/>
      </c>
      <c r="AD18" s="563" t="str">
        <f>Aar!X18</f>
        <v/>
      </c>
    </row>
    <row r="19" spans="1:30" ht="23" customHeight="1">
      <c r="A19" s="560">
        <f>Aar!A19</f>
        <v>17</v>
      </c>
      <c r="B19" s="125" t="str">
        <f>Aar!B19</f>
        <v>ma</v>
      </c>
      <c r="C19" s="126" t="str">
        <f>August!C31</f>
        <v>Skema 1</v>
      </c>
      <c r="D19" s="567" t="str">
        <f>August!DN31</f>
        <v/>
      </c>
      <c r="E19" s="563">
        <f>Aar!D19</f>
        <v>33.571428571428569</v>
      </c>
      <c r="F19" s="125">
        <f>Aar!E19</f>
        <v>17</v>
      </c>
      <c r="G19" s="125" t="str">
        <f>Aar!F19</f>
        <v>to</v>
      </c>
      <c r="H19" s="126" t="str">
        <f>September!C30</f>
        <v>Skema 1</v>
      </c>
      <c r="I19" s="567" t="str">
        <f>September!DN30</f>
        <v>Lærermøde</v>
      </c>
      <c r="J19" s="563" t="str">
        <f>Aar!H19</f>
        <v/>
      </c>
      <c r="K19" s="125">
        <f>Aar!I19</f>
        <v>17</v>
      </c>
      <c r="L19" s="125" t="str">
        <f>Aar!J19</f>
        <v>lø</v>
      </c>
      <c r="M19" s="126" t="str">
        <f>Oktober!C30</f>
        <v>Weekend</v>
      </c>
      <c r="N19" s="567" t="str">
        <f>Oktober!DN30</f>
        <v/>
      </c>
      <c r="O19" s="562" t="str">
        <f>Aar!L19</f>
        <v/>
      </c>
      <c r="P19" s="560">
        <f>Aar!M19</f>
        <v>17</v>
      </c>
      <c r="Q19" s="125" t="str">
        <f>Aar!N19</f>
        <v>ti</v>
      </c>
      <c r="R19" s="126" t="str">
        <f>November!C30</f>
        <v>Skema 1</v>
      </c>
      <c r="S19" s="569" t="str">
        <f>November!DN30</f>
        <v/>
      </c>
      <c r="T19" s="563" t="str">
        <f>Aar!P19</f>
        <v/>
      </c>
      <c r="U19" s="560">
        <f>Aar!Q19</f>
        <v>17</v>
      </c>
      <c r="V19" s="125" t="str">
        <f>Aar!R19</f>
        <v>to</v>
      </c>
      <c r="W19" s="126" t="str">
        <f>December!C30</f>
        <v>Skema 1</v>
      </c>
      <c r="X19" s="567" t="str">
        <f>December!DN30</f>
        <v/>
      </c>
      <c r="Y19" s="563" t="str">
        <f>Aar!T19</f>
        <v/>
      </c>
      <c r="Z19" s="560">
        <f>Aar!U19</f>
        <v>17</v>
      </c>
      <c r="AA19" s="125" t="str">
        <f>Aar!V19</f>
        <v>sø</v>
      </c>
      <c r="AB19" s="126" t="str">
        <f>Januar!C30</f>
        <v>Weekend</v>
      </c>
      <c r="AC19" s="567" t="str">
        <f>Januar!DN30</f>
        <v/>
      </c>
      <c r="AD19" s="563" t="str">
        <f>Aar!X19</f>
        <v/>
      </c>
    </row>
    <row r="20" spans="1:30" ht="23" customHeight="1">
      <c r="A20" s="560">
        <f>Aar!A20</f>
        <v>18</v>
      </c>
      <c r="B20" s="125" t="str">
        <f>Aar!B20</f>
        <v>ti</v>
      </c>
      <c r="C20" s="126" t="str">
        <f>August!C32</f>
        <v>Skema 1</v>
      </c>
      <c r="D20" s="567" t="str">
        <f>August!DN32</f>
        <v/>
      </c>
      <c r="E20" s="563" t="str">
        <f>Aar!D20</f>
        <v/>
      </c>
      <c r="F20" s="125">
        <f>Aar!E20</f>
        <v>18</v>
      </c>
      <c r="G20" s="125" t="str">
        <f>Aar!F20</f>
        <v>fr</v>
      </c>
      <c r="H20" s="126" t="str">
        <f>September!C31</f>
        <v>Skema 1</v>
      </c>
      <c r="I20" s="567" t="str">
        <f>September!DN31</f>
        <v/>
      </c>
      <c r="J20" s="563" t="str">
        <f>Aar!H20</f>
        <v/>
      </c>
      <c r="K20" s="125">
        <f>Aar!I20</f>
        <v>18</v>
      </c>
      <c r="L20" s="125" t="str">
        <f>Aar!J20</f>
        <v>sø</v>
      </c>
      <c r="M20" s="126" t="str">
        <f>Oktober!C31</f>
        <v>Weekend</v>
      </c>
      <c r="N20" s="567" t="str">
        <f>Oktober!DN31</f>
        <v/>
      </c>
      <c r="O20" s="562" t="str">
        <f>Aar!L20</f>
        <v/>
      </c>
      <c r="P20" s="560">
        <f>Aar!M20</f>
        <v>18</v>
      </c>
      <c r="Q20" s="125" t="str">
        <f>Aar!N20</f>
        <v>on</v>
      </c>
      <c r="R20" s="126" t="str">
        <f>November!C31</f>
        <v>Skema 1</v>
      </c>
      <c r="S20" s="569" t="str">
        <f>November!DN31</f>
        <v/>
      </c>
      <c r="T20" s="563" t="str">
        <f>Aar!P20</f>
        <v/>
      </c>
      <c r="U20" s="560">
        <f>Aar!Q20</f>
        <v>18</v>
      </c>
      <c r="V20" s="125" t="str">
        <f>Aar!R20</f>
        <v>fr</v>
      </c>
      <c r="W20" s="126" t="str">
        <f>December!C31</f>
        <v>Emnedag</v>
      </c>
      <c r="X20" s="567" t="str">
        <f>December!DN31</f>
        <v>Juleafslutning</v>
      </c>
      <c r="Y20" s="563" t="str">
        <f>Aar!T20</f>
        <v/>
      </c>
      <c r="Z20" s="560">
        <f>Aar!U20</f>
        <v>18</v>
      </c>
      <c r="AA20" s="125" t="str">
        <f>Aar!V20</f>
        <v>ma</v>
      </c>
      <c r="AB20" s="126" t="str">
        <f>Januar!C31</f>
        <v>Skema 1</v>
      </c>
      <c r="AC20" s="567" t="str">
        <f>Januar!DN31</f>
        <v/>
      </c>
      <c r="AD20" s="563">
        <f>Aar!X20</f>
        <v>3.4285714285714284</v>
      </c>
    </row>
    <row r="21" spans="1:30" ht="23" customHeight="1">
      <c r="A21" s="560">
        <f>Aar!A21</f>
        <v>19</v>
      </c>
      <c r="B21" s="125" t="str">
        <f>Aar!B21</f>
        <v>on</v>
      </c>
      <c r="C21" s="126" t="str">
        <f>August!C33</f>
        <v>Skema 1</v>
      </c>
      <c r="D21" s="567" t="str">
        <f>August!DN33</f>
        <v/>
      </c>
      <c r="E21" s="563" t="str">
        <f>Aar!D21</f>
        <v/>
      </c>
      <c r="F21" s="125">
        <f>Aar!E21</f>
        <v>19</v>
      </c>
      <c r="G21" s="125" t="str">
        <f>Aar!F21</f>
        <v>lø</v>
      </c>
      <c r="H21" s="126" t="str">
        <f>September!C32</f>
        <v>Weekend</v>
      </c>
      <c r="I21" s="567" t="str">
        <f>September!DN32</f>
        <v/>
      </c>
      <c r="J21" s="563" t="str">
        <f>Aar!H21</f>
        <v/>
      </c>
      <c r="K21" s="125">
        <f>Aar!I21</f>
        <v>19</v>
      </c>
      <c r="L21" s="125" t="str">
        <f>Aar!J21</f>
        <v>ma</v>
      </c>
      <c r="M21" s="126" t="str">
        <f>Oktober!C32</f>
        <v>Skema 1</v>
      </c>
      <c r="N21" s="567" t="str">
        <f>Oktober!DN32</f>
        <v/>
      </c>
      <c r="O21" s="562">
        <f>Aar!L21</f>
        <v>42.571428571428569</v>
      </c>
      <c r="P21" s="560">
        <f>Aar!M21</f>
        <v>19</v>
      </c>
      <c r="Q21" s="125" t="str">
        <f>Aar!N21</f>
        <v>to</v>
      </c>
      <c r="R21" s="126" t="str">
        <f>November!C32</f>
        <v>Skema 1</v>
      </c>
      <c r="S21" s="569" t="str">
        <f>November!DN32</f>
        <v>Lærermøde</v>
      </c>
      <c r="T21" s="563" t="str">
        <f>Aar!P21</f>
        <v/>
      </c>
      <c r="U21" s="560">
        <f>Aar!Q21</f>
        <v>19</v>
      </c>
      <c r="V21" s="125" t="str">
        <f>Aar!R21</f>
        <v>lø</v>
      </c>
      <c r="W21" s="126" t="str">
        <f>December!C32</f>
        <v>Weekend</v>
      </c>
      <c r="X21" s="567" t="str">
        <f>December!DN32</f>
        <v/>
      </c>
      <c r="Y21" s="563" t="str">
        <f>Aar!T21</f>
        <v/>
      </c>
      <c r="Z21" s="560">
        <f>Aar!U21</f>
        <v>19</v>
      </c>
      <c r="AA21" s="125" t="str">
        <f>Aar!V21</f>
        <v>ti</v>
      </c>
      <c r="AB21" s="126" t="str">
        <f>Januar!C32</f>
        <v>Skema 1</v>
      </c>
      <c r="AC21" s="567" t="str">
        <f>Januar!DN32</f>
        <v/>
      </c>
      <c r="AD21" s="563" t="str">
        <f>Aar!X21</f>
        <v/>
      </c>
    </row>
    <row r="22" spans="1:30" ht="23" customHeight="1">
      <c r="A22" s="560">
        <f>Aar!A22</f>
        <v>20</v>
      </c>
      <c r="B22" s="125" t="str">
        <f>Aar!B22</f>
        <v>to</v>
      </c>
      <c r="C22" s="126" t="str">
        <f>August!C34</f>
        <v>Skema 1</v>
      </c>
      <c r="D22" s="567" t="str">
        <f>August!DN34</f>
        <v>Lærermøde</v>
      </c>
      <c r="E22" s="563" t="str">
        <f>Aar!D22</f>
        <v/>
      </c>
      <c r="F22" s="125">
        <f>Aar!E22</f>
        <v>20</v>
      </c>
      <c r="G22" s="125" t="str">
        <f>Aar!F22</f>
        <v>sø</v>
      </c>
      <c r="H22" s="126" t="str">
        <f>September!C33</f>
        <v>Weekend</v>
      </c>
      <c r="I22" s="567" t="str">
        <f>September!DN33</f>
        <v/>
      </c>
      <c r="J22" s="563" t="str">
        <f>Aar!H22</f>
        <v/>
      </c>
      <c r="K22" s="125">
        <f>Aar!I22</f>
        <v>20</v>
      </c>
      <c r="L22" s="125" t="str">
        <f>Aar!J22</f>
        <v>ti</v>
      </c>
      <c r="M22" s="126" t="str">
        <f>Oktober!C33</f>
        <v>Skema 1</v>
      </c>
      <c r="N22" s="567" t="str">
        <f>Oktober!DN33</f>
        <v/>
      </c>
      <c r="O22" s="562" t="str">
        <f>Aar!L22</f>
        <v/>
      </c>
      <c r="P22" s="560">
        <f>Aar!M22</f>
        <v>20</v>
      </c>
      <c r="Q22" s="125" t="str">
        <f>Aar!N22</f>
        <v>fr</v>
      </c>
      <c r="R22" s="126" t="str">
        <f>November!C33</f>
        <v>Skema 1</v>
      </c>
      <c r="S22" s="569" t="str">
        <f>November!DN33</f>
        <v/>
      </c>
      <c r="T22" s="563" t="str">
        <f>Aar!P22</f>
        <v/>
      </c>
      <c r="U22" s="560">
        <f>Aar!Q22</f>
        <v>20</v>
      </c>
      <c r="V22" s="125" t="str">
        <f>Aar!R22</f>
        <v>sø</v>
      </c>
      <c r="W22" s="126" t="str">
        <f>December!C33</f>
        <v>Weekend</v>
      </c>
      <c r="X22" s="567" t="str">
        <f>December!DN33</f>
        <v/>
      </c>
      <c r="Y22" s="563" t="str">
        <f>Aar!T22</f>
        <v/>
      </c>
      <c r="Z22" s="560">
        <f>Aar!U22</f>
        <v>20</v>
      </c>
      <c r="AA22" s="125" t="str">
        <f>Aar!V22</f>
        <v>on</v>
      </c>
      <c r="AB22" s="126" t="str">
        <f>Januar!C33</f>
        <v>Skema 1</v>
      </c>
      <c r="AC22" s="567" t="str">
        <f>Januar!DN33</f>
        <v/>
      </c>
      <c r="AD22" s="563" t="str">
        <f>Aar!X22</f>
        <v/>
      </c>
    </row>
    <row r="23" spans="1:30" ht="23" customHeight="1">
      <c r="A23" s="560">
        <f>Aar!A23</f>
        <v>21</v>
      </c>
      <c r="B23" s="125" t="str">
        <f>Aar!B23</f>
        <v>fr</v>
      </c>
      <c r="C23" s="126" t="str">
        <f>August!C35</f>
        <v>Skema 1</v>
      </c>
      <c r="D23" s="567" t="str">
        <f>August!DN35</f>
        <v/>
      </c>
      <c r="E23" s="563" t="str">
        <f>Aar!D23</f>
        <v/>
      </c>
      <c r="F23" s="125">
        <f>Aar!E23</f>
        <v>21</v>
      </c>
      <c r="G23" s="125" t="str">
        <f>Aar!F23</f>
        <v>ma</v>
      </c>
      <c r="H23" s="126" t="str">
        <f>September!C34</f>
        <v>Skema 1</v>
      </c>
      <c r="I23" s="567" t="str">
        <f>September!DN34</f>
        <v/>
      </c>
      <c r="J23" s="563">
        <f>Aar!H23</f>
        <v>38.571428571428569</v>
      </c>
      <c r="K23" s="125">
        <f>Aar!I23</f>
        <v>21</v>
      </c>
      <c r="L23" s="125" t="str">
        <f>Aar!J23</f>
        <v>on</v>
      </c>
      <c r="M23" s="126" t="str">
        <f>Oktober!C34</f>
        <v>Skema 1</v>
      </c>
      <c r="N23" s="567" t="str">
        <f>Oktober!DN34</f>
        <v/>
      </c>
      <c r="O23" s="562" t="str">
        <f>Aar!L23</f>
        <v/>
      </c>
      <c r="P23" s="560">
        <f>Aar!M23</f>
        <v>21</v>
      </c>
      <c r="Q23" s="125" t="str">
        <f>Aar!N23</f>
        <v>lø</v>
      </c>
      <c r="R23" s="126" t="str">
        <f>November!C34</f>
        <v>Weekend</v>
      </c>
      <c r="S23" s="569" t="str">
        <f>November!DN34</f>
        <v/>
      </c>
      <c r="T23" s="563" t="str">
        <f>Aar!P23</f>
        <v/>
      </c>
      <c r="U23" s="560">
        <f>Aar!Q23</f>
        <v>21</v>
      </c>
      <c r="V23" s="125" t="str">
        <f>Aar!R23</f>
        <v>ma</v>
      </c>
      <c r="W23" s="126" t="str">
        <f>December!C34</f>
        <v>Nul-dag</v>
      </c>
      <c r="X23" s="567" t="str">
        <f>December!DN34</f>
        <v/>
      </c>
      <c r="Y23" s="563">
        <f>Aar!T23</f>
        <v>51.571428571428569</v>
      </c>
      <c r="Z23" s="560">
        <f>Aar!U23</f>
        <v>21</v>
      </c>
      <c r="AA23" s="125" t="str">
        <f>Aar!V23</f>
        <v>to</v>
      </c>
      <c r="AB23" s="126" t="str">
        <f>Januar!C34</f>
        <v>Skema 1</v>
      </c>
      <c r="AC23" s="567" t="str">
        <f>Januar!DN34</f>
        <v>Lærermøde</v>
      </c>
      <c r="AD23" s="563" t="str">
        <f>Aar!X23</f>
        <v/>
      </c>
    </row>
    <row r="24" spans="1:30" ht="23" customHeight="1">
      <c r="A24" s="560">
        <f>Aar!A24</f>
        <v>22</v>
      </c>
      <c r="B24" s="125" t="str">
        <f>Aar!B24</f>
        <v>lø</v>
      </c>
      <c r="C24" s="126" t="str">
        <f>August!C36</f>
        <v>Weekend</v>
      </c>
      <c r="D24" s="567" t="str">
        <f>August!DN36</f>
        <v/>
      </c>
      <c r="E24" s="563" t="str">
        <f>Aar!D24</f>
        <v/>
      </c>
      <c r="F24" s="125">
        <f>Aar!E24</f>
        <v>22</v>
      </c>
      <c r="G24" s="125" t="str">
        <f>Aar!F24</f>
        <v>ti</v>
      </c>
      <c r="H24" s="126" t="str">
        <f>September!C35</f>
        <v>Skema 1</v>
      </c>
      <c r="I24" s="567" t="str">
        <f>September!DN35</f>
        <v/>
      </c>
      <c r="J24" s="563" t="str">
        <f>Aar!H24</f>
        <v/>
      </c>
      <c r="K24" s="125">
        <f>Aar!I24</f>
        <v>22</v>
      </c>
      <c r="L24" s="125" t="str">
        <f>Aar!J24</f>
        <v>to</v>
      </c>
      <c r="M24" s="126" t="str">
        <f>Oktober!C35</f>
        <v>Skema 1</v>
      </c>
      <c r="N24" s="567" t="str">
        <f>Oktober!DN35</f>
        <v>Lærermøde</v>
      </c>
      <c r="O24" s="562" t="str">
        <f>Aar!L24</f>
        <v/>
      </c>
      <c r="P24" s="560">
        <f>Aar!M24</f>
        <v>22</v>
      </c>
      <c r="Q24" s="125" t="str">
        <f>Aar!N24</f>
        <v>sø</v>
      </c>
      <c r="R24" s="126" t="str">
        <f>November!C35</f>
        <v>Weekend</v>
      </c>
      <c r="S24" s="569" t="str">
        <f>November!DN35</f>
        <v/>
      </c>
      <c r="T24" s="563" t="str">
        <f>Aar!P24</f>
        <v/>
      </c>
      <c r="U24" s="560">
        <f>Aar!Q24</f>
        <v>22</v>
      </c>
      <c r="V24" s="125" t="str">
        <f>Aar!R24</f>
        <v>ti</v>
      </c>
      <c r="W24" s="126" t="str">
        <f>December!C35</f>
        <v>Nul-dag</v>
      </c>
      <c r="X24" s="567" t="str">
        <f>December!DN35</f>
        <v/>
      </c>
      <c r="Y24" s="563" t="str">
        <f>Aar!T24</f>
        <v/>
      </c>
      <c r="Z24" s="560">
        <f>Aar!U24</f>
        <v>22</v>
      </c>
      <c r="AA24" s="125" t="str">
        <f>Aar!V24</f>
        <v>fr</v>
      </c>
      <c r="AB24" s="126" t="str">
        <f>Januar!C35</f>
        <v>Skema 1</v>
      </c>
      <c r="AC24" s="567" t="str">
        <f>Januar!DN35</f>
        <v/>
      </c>
      <c r="AD24" s="563" t="str">
        <f>Aar!X24</f>
        <v/>
      </c>
    </row>
    <row r="25" spans="1:30" ht="23" customHeight="1">
      <c r="A25" s="560">
        <f>Aar!A25</f>
        <v>23</v>
      </c>
      <c r="B25" s="125" t="str">
        <f>Aar!B25</f>
        <v>sø</v>
      </c>
      <c r="C25" s="126" t="str">
        <f>August!C37</f>
        <v>Weekend</v>
      </c>
      <c r="D25" s="567" t="str">
        <f>August!DN37</f>
        <v/>
      </c>
      <c r="E25" s="563" t="str">
        <f>Aar!D25</f>
        <v/>
      </c>
      <c r="F25" s="125">
        <f>Aar!E25</f>
        <v>23</v>
      </c>
      <c r="G25" s="125" t="str">
        <f>Aar!F25</f>
        <v>on</v>
      </c>
      <c r="H25" s="126" t="str">
        <f>September!C36</f>
        <v>Skema 1</v>
      </c>
      <c r="I25" s="567" t="str">
        <f>September!DN36</f>
        <v/>
      </c>
      <c r="J25" s="563" t="str">
        <f>Aar!H25</f>
        <v/>
      </c>
      <c r="K25" s="125">
        <f>Aar!I25</f>
        <v>23</v>
      </c>
      <c r="L25" s="125" t="str">
        <f>Aar!J25</f>
        <v>fr</v>
      </c>
      <c r="M25" s="126" t="str">
        <f>Oktober!C36</f>
        <v>Skema 1</v>
      </c>
      <c r="N25" s="567" t="str">
        <f>Oktober!DN36</f>
        <v/>
      </c>
      <c r="O25" s="562" t="str">
        <f>Aar!L25</f>
        <v/>
      </c>
      <c r="P25" s="560">
        <f>Aar!M25</f>
        <v>23</v>
      </c>
      <c r="Q25" s="125" t="str">
        <f>Aar!N25</f>
        <v>ma</v>
      </c>
      <c r="R25" s="126" t="str">
        <f>November!C36</f>
        <v>Skema 1</v>
      </c>
      <c r="S25" s="569" t="str">
        <f>November!DN36</f>
        <v/>
      </c>
      <c r="T25" s="563">
        <f>Aar!P25</f>
        <v>47.571428571428569</v>
      </c>
      <c r="U25" s="560">
        <f>Aar!Q25</f>
        <v>23</v>
      </c>
      <c r="V25" s="125" t="str">
        <f>Aar!R25</f>
        <v>on</v>
      </c>
      <c r="W25" s="126" t="str">
        <f>December!C36</f>
        <v>Nul-dag</v>
      </c>
      <c r="X25" s="567" t="str">
        <f>December!DN36</f>
        <v/>
      </c>
      <c r="Y25" s="563" t="str">
        <f>Aar!T25</f>
        <v/>
      </c>
      <c r="Z25" s="560">
        <f>Aar!U25</f>
        <v>23</v>
      </c>
      <c r="AA25" s="125" t="str">
        <f>Aar!V25</f>
        <v>lø</v>
      </c>
      <c r="AB25" s="126" t="str">
        <f>Januar!C36</f>
        <v>Weekend</v>
      </c>
      <c r="AC25" s="567" t="str">
        <f>Januar!DN36</f>
        <v/>
      </c>
      <c r="AD25" s="563" t="str">
        <f>Aar!X25</f>
        <v/>
      </c>
    </row>
    <row r="26" spans="1:30" ht="23" customHeight="1">
      <c r="A26" s="560">
        <f>Aar!A26</f>
        <v>24</v>
      </c>
      <c r="B26" s="125" t="str">
        <f>Aar!B26</f>
        <v>ma</v>
      </c>
      <c r="C26" s="126" t="str">
        <f>August!C38</f>
        <v>Skema 1</v>
      </c>
      <c r="D26" s="567" t="str">
        <f>August!DN38</f>
        <v/>
      </c>
      <c r="E26" s="563">
        <f>Aar!D26</f>
        <v>34.571428571428569</v>
      </c>
      <c r="F26" s="125">
        <f>Aar!E26</f>
        <v>24</v>
      </c>
      <c r="G26" s="125" t="str">
        <f>Aar!F26</f>
        <v>to</v>
      </c>
      <c r="H26" s="126" t="str">
        <f>September!C37</f>
        <v>Skema 1</v>
      </c>
      <c r="I26" s="567" t="str">
        <f>September!DN37</f>
        <v/>
      </c>
      <c r="J26" s="563" t="str">
        <f>Aar!H26</f>
        <v/>
      </c>
      <c r="K26" s="125">
        <f>Aar!I26</f>
        <v>24</v>
      </c>
      <c r="L26" s="125" t="str">
        <f>Aar!J26</f>
        <v>lø</v>
      </c>
      <c r="M26" s="126" t="str">
        <f>Oktober!C37</f>
        <v>Weekend</v>
      </c>
      <c r="N26" s="567" t="str">
        <f>Oktober!DN37</f>
        <v/>
      </c>
      <c r="O26" s="562" t="str">
        <f>Aar!L26</f>
        <v/>
      </c>
      <c r="P26" s="560">
        <f>Aar!M26</f>
        <v>24</v>
      </c>
      <c r="Q26" s="125" t="str">
        <f>Aar!N26</f>
        <v>ti</v>
      </c>
      <c r="R26" s="126" t="str">
        <f>November!C37</f>
        <v>Skema 1</v>
      </c>
      <c r="S26" s="569" t="str">
        <f>November!DN37</f>
        <v/>
      </c>
      <c r="T26" s="563" t="str">
        <f>Aar!P26</f>
        <v/>
      </c>
      <c r="U26" s="560">
        <f>Aar!Q26</f>
        <v>24</v>
      </c>
      <c r="V26" s="125" t="str">
        <f>Aar!R26</f>
        <v>to</v>
      </c>
      <c r="W26" s="126" t="str">
        <f>December!C37</f>
        <v>Nul-dag</v>
      </c>
      <c r="X26" s="567" t="str">
        <f>December!DN37</f>
        <v>Juleaftensdag</v>
      </c>
      <c r="Y26" s="563" t="str">
        <f>Aar!T26</f>
        <v/>
      </c>
      <c r="Z26" s="560">
        <f>Aar!U26</f>
        <v>24</v>
      </c>
      <c r="AA26" s="125" t="str">
        <f>Aar!V26</f>
        <v>sø</v>
      </c>
      <c r="AB26" s="126" t="str">
        <f>Januar!C37</f>
        <v>Weekend</v>
      </c>
      <c r="AC26" s="567" t="str">
        <f>Januar!DN37</f>
        <v/>
      </c>
      <c r="AD26" s="563" t="str">
        <f>Aar!X26</f>
        <v/>
      </c>
    </row>
    <row r="27" spans="1:30" ht="23" customHeight="1">
      <c r="A27" s="560">
        <f>Aar!A27</f>
        <v>25</v>
      </c>
      <c r="B27" s="125" t="str">
        <f>Aar!B27</f>
        <v>ti</v>
      </c>
      <c r="C27" s="126" t="str">
        <f>August!C39</f>
        <v>Skema 1</v>
      </c>
      <c r="D27" s="567" t="str">
        <f>August!DN39</f>
        <v/>
      </c>
      <c r="E27" s="563" t="str">
        <f>Aar!D27</f>
        <v/>
      </c>
      <c r="F27" s="125">
        <f>Aar!E27</f>
        <v>25</v>
      </c>
      <c r="G27" s="125" t="str">
        <f>Aar!F27</f>
        <v>fr</v>
      </c>
      <c r="H27" s="126" t="str">
        <f>September!C38</f>
        <v>Skema 1</v>
      </c>
      <c r="I27" s="567" t="str">
        <f>September!DN38</f>
        <v/>
      </c>
      <c r="J27" s="563" t="str">
        <f>Aar!H27</f>
        <v/>
      </c>
      <c r="K27" s="125">
        <f>Aar!I27</f>
        <v>25</v>
      </c>
      <c r="L27" s="125" t="str">
        <f>Aar!J27</f>
        <v>sø</v>
      </c>
      <c r="M27" s="126" t="str">
        <f>Oktober!C38</f>
        <v>Weekend</v>
      </c>
      <c r="N27" s="567" t="str">
        <f>Oktober!DN38</f>
        <v/>
      </c>
      <c r="O27" s="562" t="str">
        <f>Aar!L27</f>
        <v/>
      </c>
      <c r="P27" s="560">
        <f>Aar!M27</f>
        <v>25</v>
      </c>
      <c r="Q27" s="125" t="str">
        <f>Aar!N27</f>
        <v>on</v>
      </c>
      <c r="R27" s="126" t="str">
        <f>November!C38</f>
        <v>Skema 1</v>
      </c>
      <c r="S27" s="569" t="str">
        <f>November!DN38</f>
        <v/>
      </c>
      <c r="T27" s="563" t="str">
        <f>Aar!P27</f>
        <v/>
      </c>
      <c r="U27" s="560">
        <f>Aar!Q27</f>
        <v>25</v>
      </c>
      <c r="V27" s="125" t="str">
        <f>Aar!R27</f>
        <v>fr</v>
      </c>
      <c r="W27" s="126" t="str">
        <f>December!C38</f>
        <v>SH-dag</v>
      </c>
      <c r="X27" s="567" t="str">
        <f>December!DN38</f>
        <v>Juledag</v>
      </c>
      <c r="Y27" s="563" t="str">
        <f>Aar!T27</f>
        <v/>
      </c>
      <c r="Z27" s="560">
        <f>Aar!U27</f>
        <v>25</v>
      </c>
      <c r="AA27" s="125" t="str">
        <f>Aar!V27</f>
        <v>ma</v>
      </c>
      <c r="AB27" s="126" t="str">
        <f>Januar!C38</f>
        <v>Emnedag</v>
      </c>
      <c r="AC27" s="567" t="str">
        <f>Januar!DN38</f>
        <v>Musicaluge</v>
      </c>
      <c r="AD27" s="563">
        <f>Aar!X27</f>
        <v>4.4285714285714288</v>
      </c>
    </row>
    <row r="28" spans="1:30" ht="23" customHeight="1">
      <c r="A28" s="560">
        <f>Aar!A28</f>
        <v>26</v>
      </c>
      <c r="B28" s="125" t="str">
        <f>Aar!B28</f>
        <v>on</v>
      </c>
      <c r="C28" s="126" t="str">
        <f>August!C40</f>
        <v>Skema 1</v>
      </c>
      <c r="D28" s="567" t="str">
        <f>August!DN40</f>
        <v/>
      </c>
      <c r="E28" s="563" t="str">
        <f>Aar!D28</f>
        <v/>
      </c>
      <c r="F28" s="125">
        <f>Aar!E28</f>
        <v>26</v>
      </c>
      <c r="G28" s="125" t="str">
        <f>Aar!F28</f>
        <v>lø</v>
      </c>
      <c r="H28" s="126" t="str">
        <f>September!C39</f>
        <v>Weekend</v>
      </c>
      <c r="I28" s="567" t="str">
        <f>September!DN39</f>
        <v/>
      </c>
      <c r="J28" s="563" t="str">
        <f>Aar!H28</f>
        <v/>
      </c>
      <c r="K28" s="125">
        <f>Aar!I28</f>
        <v>26</v>
      </c>
      <c r="L28" s="125" t="str">
        <f>Aar!J28</f>
        <v>ma</v>
      </c>
      <c r="M28" s="126" t="str">
        <f>Oktober!C39</f>
        <v>Skema 1</v>
      </c>
      <c r="N28" s="567" t="str">
        <f>Oktober!DN39</f>
        <v/>
      </c>
      <c r="O28" s="562">
        <f>Aar!L28</f>
        <v>43.571428571428569</v>
      </c>
      <c r="P28" s="560">
        <f>Aar!M28</f>
        <v>26</v>
      </c>
      <c r="Q28" s="125" t="str">
        <f>Aar!N28</f>
        <v>to</v>
      </c>
      <c r="R28" s="126" t="str">
        <f>November!C39</f>
        <v>Skema 1</v>
      </c>
      <c r="S28" s="569" t="str">
        <f>November!DN39</f>
        <v/>
      </c>
      <c r="T28" s="563" t="str">
        <f>Aar!P28</f>
        <v/>
      </c>
      <c r="U28" s="560">
        <f>Aar!Q28</f>
        <v>26</v>
      </c>
      <c r="V28" s="125" t="str">
        <f>Aar!R28</f>
        <v>lø</v>
      </c>
      <c r="W28" s="126" t="str">
        <f>December!C39</f>
        <v>Weekend</v>
      </c>
      <c r="X28" s="567" t="str">
        <f>December!DN39</f>
        <v>2. juledag</v>
      </c>
      <c r="Y28" s="563" t="str">
        <f>Aar!T28</f>
        <v/>
      </c>
      <c r="Z28" s="560">
        <f>Aar!U28</f>
        <v>26</v>
      </c>
      <c r="AA28" s="125" t="str">
        <f>Aar!V28</f>
        <v>ti</v>
      </c>
      <c r="AB28" s="126" t="str">
        <f>Januar!C39</f>
        <v>Emnedag</v>
      </c>
      <c r="AC28" s="567" t="str">
        <f>Januar!DN39</f>
        <v>Musicaluge</v>
      </c>
      <c r="AD28" s="563" t="str">
        <f>Aar!X28</f>
        <v/>
      </c>
    </row>
    <row r="29" spans="1:30" ht="23" customHeight="1">
      <c r="A29" s="560">
        <f>Aar!A29</f>
        <v>27</v>
      </c>
      <c r="B29" s="125" t="str">
        <f>Aar!B29</f>
        <v>to</v>
      </c>
      <c r="C29" s="126" t="str">
        <f>August!C41</f>
        <v>Skema 1</v>
      </c>
      <c r="D29" s="567" t="str">
        <f>August!DN41</f>
        <v/>
      </c>
      <c r="E29" s="563" t="str">
        <f>Aar!D29</f>
        <v/>
      </c>
      <c r="F29" s="125">
        <f>Aar!E29</f>
        <v>27</v>
      </c>
      <c r="G29" s="125" t="str">
        <f>Aar!F29</f>
        <v>sø</v>
      </c>
      <c r="H29" s="126" t="str">
        <f>September!C40</f>
        <v>Weekend</v>
      </c>
      <c r="I29" s="567" t="str">
        <f>September!DN40</f>
        <v/>
      </c>
      <c r="J29" s="563" t="str">
        <f>Aar!H29</f>
        <v/>
      </c>
      <c r="K29" s="125">
        <f>Aar!I29</f>
        <v>27</v>
      </c>
      <c r="L29" s="125" t="str">
        <f>Aar!J29</f>
        <v>ti</v>
      </c>
      <c r="M29" s="126" t="str">
        <f>Oktober!C40</f>
        <v>Skema 1</v>
      </c>
      <c r="N29" s="567" t="str">
        <f>Oktober!DN40</f>
        <v/>
      </c>
      <c r="O29" s="562" t="str">
        <f>Aar!L29</f>
        <v/>
      </c>
      <c r="P29" s="560">
        <f>Aar!M29</f>
        <v>27</v>
      </c>
      <c r="Q29" s="125" t="str">
        <f>Aar!N29</f>
        <v>fr</v>
      </c>
      <c r="R29" s="126" t="str">
        <f>November!C40</f>
        <v>Skema 1</v>
      </c>
      <c r="S29" s="569" t="str">
        <f>November!DN40</f>
        <v/>
      </c>
      <c r="T29" s="563" t="str">
        <f>Aar!P29</f>
        <v/>
      </c>
      <c r="U29" s="560">
        <f>Aar!Q29</f>
        <v>27</v>
      </c>
      <c r="V29" s="125" t="str">
        <f>Aar!R29</f>
        <v>sø</v>
      </c>
      <c r="W29" s="126" t="str">
        <f>December!C40</f>
        <v>Weekend</v>
      </c>
      <c r="X29" s="567" t="str">
        <f>December!DN40</f>
        <v/>
      </c>
      <c r="Y29" s="563" t="str">
        <f>Aar!T29</f>
        <v/>
      </c>
      <c r="Z29" s="560">
        <f>Aar!U29</f>
        <v>27</v>
      </c>
      <c r="AA29" s="125" t="str">
        <f>Aar!V29</f>
        <v>on</v>
      </c>
      <c r="AB29" s="126" t="str">
        <f>Januar!C40</f>
        <v>Emnedag</v>
      </c>
      <c r="AC29" s="567" t="str">
        <f>Januar!DN40</f>
        <v>Musicaluge</v>
      </c>
      <c r="AD29" s="563" t="str">
        <f>Aar!X29</f>
        <v/>
      </c>
    </row>
    <row r="30" spans="1:30" ht="23" customHeight="1">
      <c r="A30" s="560">
        <f>Aar!A30</f>
        <v>28</v>
      </c>
      <c r="B30" s="125" t="str">
        <f>Aar!B30</f>
        <v>fr</v>
      </c>
      <c r="C30" s="126" t="str">
        <f>August!C42</f>
        <v>Skema 1</v>
      </c>
      <c r="D30" s="567" t="str">
        <f>August!DN42</f>
        <v/>
      </c>
      <c r="E30" s="563" t="str">
        <f>Aar!D30</f>
        <v/>
      </c>
      <c r="F30" s="125">
        <f>Aar!E30</f>
        <v>28</v>
      </c>
      <c r="G30" s="125" t="str">
        <f>Aar!F30</f>
        <v>ma</v>
      </c>
      <c r="H30" s="126" t="str">
        <f>September!C41</f>
        <v>Skema 1</v>
      </c>
      <c r="I30" s="567" t="str">
        <f>September!DN41</f>
        <v/>
      </c>
      <c r="J30" s="563">
        <f>Aar!H30</f>
        <v>39.571428571428569</v>
      </c>
      <c r="K30" s="125">
        <f>Aar!I30</f>
        <v>28</v>
      </c>
      <c r="L30" s="125" t="str">
        <f>Aar!J30</f>
        <v>on</v>
      </c>
      <c r="M30" s="126" t="str">
        <f>Oktober!C41</f>
        <v>Skema 1</v>
      </c>
      <c r="N30" s="567" t="str">
        <f>Oktober!DN41</f>
        <v/>
      </c>
      <c r="O30" s="562" t="str">
        <f>Aar!L30</f>
        <v/>
      </c>
      <c r="P30" s="560">
        <f>Aar!M30</f>
        <v>28</v>
      </c>
      <c r="Q30" s="125" t="str">
        <f>Aar!N30</f>
        <v>lø</v>
      </c>
      <c r="R30" s="126" t="str">
        <f>November!C41</f>
        <v>Weekend</v>
      </c>
      <c r="S30" s="569" t="str">
        <f>November!DN41</f>
        <v/>
      </c>
      <c r="T30" s="563" t="str">
        <f>Aar!P30</f>
        <v/>
      </c>
      <c r="U30" s="560">
        <f>Aar!Q30</f>
        <v>28</v>
      </c>
      <c r="V30" s="125" t="str">
        <f>Aar!R30</f>
        <v>ma</v>
      </c>
      <c r="W30" s="126" t="str">
        <f>December!C41</f>
        <v>Nul-dag</v>
      </c>
      <c r="X30" s="567" t="str">
        <f>December!DN41</f>
        <v/>
      </c>
      <c r="Y30" s="563">
        <f>Aar!T30</f>
        <v>52.571428571428569</v>
      </c>
      <c r="Z30" s="560">
        <f>Aar!U30</f>
        <v>28</v>
      </c>
      <c r="AA30" s="125" t="str">
        <f>Aar!V30</f>
        <v>to</v>
      </c>
      <c r="AB30" s="126" t="str">
        <f>Januar!C41</f>
        <v>Emnedag</v>
      </c>
      <c r="AC30" s="567" t="str">
        <f>Januar!DN41</f>
        <v>Musicaluge</v>
      </c>
      <c r="AD30" s="563" t="str">
        <f>Aar!X30</f>
        <v/>
      </c>
    </row>
    <row r="31" spans="1:30" ht="23" customHeight="1">
      <c r="A31" s="560">
        <f>Aar!A31</f>
        <v>29</v>
      </c>
      <c r="B31" s="125" t="str">
        <f>Aar!B31</f>
        <v>lø</v>
      </c>
      <c r="C31" s="126" t="str">
        <f>August!C43</f>
        <v>Weekend</v>
      </c>
      <c r="D31" s="567" t="str">
        <f>August!DN43</f>
        <v/>
      </c>
      <c r="E31" s="563" t="str">
        <f>Aar!D31</f>
        <v/>
      </c>
      <c r="F31" s="125">
        <f>Aar!E31</f>
        <v>29</v>
      </c>
      <c r="G31" s="125" t="str">
        <f>Aar!F31</f>
        <v>ti</v>
      </c>
      <c r="H31" s="126" t="str">
        <f>September!C42</f>
        <v>Skema 1</v>
      </c>
      <c r="I31" s="567" t="str">
        <f>September!DN42</f>
        <v/>
      </c>
      <c r="J31" s="563" t="str">
        <f>Aar!H31</f>
        <v/>
      </c>
      <c r="K31" s="125">
        <f>Aar!I31</f>
        <v>29</v>
      </c>
      <c r="L31" s="125" t="str">
        <f>Aar!J31</f>
        <v>to</v>
      </c>
      <c r="M31" s="126" t="str">
        <f>Oktober!C42</f>
        <v>Skema 1</v>
      </c>
      <c r="N31" s="567" t="str">
        <f>Oktober!DN42</f>
        <v/>
      </c>
      <c r="O31" s="562" t="str">
        <f>Aar!L31</f>
        <v/>
      </c>
      <c r="P31" s="560">
        <f>Aar!M31</f>
        <v>29</v>
      </c>
      <c r="Q31" s="125" t="str">
        <f>Aar!N31</f>
        <v>sø</v>
      </c>
      <c r="R31" s="126" t="str">
        <f>November!C42</f>
        <v>Weekend</v>
      </c>
      <c r="S31" s="569" t="str">
        <f>November!DN42</f>
        <v/>
      </c>
      <c r="T31" s="563" t="str">
        <f>Aar!P31</f>
        <v/>
      </c>
      <c r="U31" s="560">
        <f>Aar!Q31</f>
        <v>29</v>
      </c>
      <c r="V31" s="125" t="str">
        <f>Aar!R31</f>
        <v>ti</v>
      </c>
      <c r="W31" s="126" t="str">
        <f>December!C42</f>
        <v>Nul-dag</v>
      </c>
      <c r="X31" s="567" t="str">
        <f>December!DN42</f>
        <v/>
      </c>
      <c r="Y31" s="563" t="str">
        <f>Aar!T31</f>
        <v/>
      </c>
      <c r="Z31" s="560">
        <f>Aar!U31</f>
        <v>29</v>
      </c>
      <c r="AA31" s="125" t="str">
        <f>Aar!V31</f>
        <v>fr</v>
      </c>
      <c r="AB31" s="126" t="str">
        <f>Januar!C42</f>
        <v>Emnedag</v>
      </c>
      <c r="AC31" s="567" t="str">
        <f>Januar!DN42</f>
        <v>Musicaluge og Skolefest</v>
      </c>
      <c r="AD31" s="563" t="str">
        <f>Aar!X31</f>
        <v/>
      </c>
    </row>
    <row r="32" spans="1:30" ht="23" customHeight="1">
      <c r="A32" s="560">
        <f>Aar!A32</f>
        <v>30</v>
      </c>
      <c r="B32" s="125" t="str">
        <f>Aar!B32</f>
        <v>sø</v>
      </c>
      <c r="C32" s="126" t="str">
        <f>August!C44</f>
        <v>Weekend</v>
      </c>
      <c r="D32" s="567" t="str">
        <f>August!DN44</f>
        <v/>
      </c>
      <c r="E32" s="563" t="str">
        <f>Aar!D32</f>
        <v/>
      </c>
      <c r="F32" s="125">
        <f>Aar!E32</f>
        <v>30</v>
      </c>
      <c r="G32" s="125" t="str">
        <f>Aar!F32</f>
        <v>on</v>
      </c>
      <c r="H32" s="126" t="str">
        <f>September!C43</f>
        <v>Skema 1</v>
      </c>
      <c r="I32" s="567" t="str">
        <f>September!DN43</f>
        <v/>
      </c>
      <c r="J32" s="563" t="str">
        <f>Aar!H32</f>
        <v/>
      </c>
      <c r="K32" s="125">
        <f>Aar!I32</f>
        <v>30</v>
      </c>
      <c r="L32" s="125" t="str">
        <f>Aar!J32</f>
        <v>fr</v>
      </c>
      <c r="M32" s="126" t="str">
        <f>Oktober!C43</f>
        <v>Skema 1</v>
      </c>
      <c r="N32" s="567" t="str">
        <f>Oktober!DN43</f>
        <v/>
      </c>
      <c r="O32" s="562" t="str">
        <f>Aar!L32</f>
        <v/>
      </c>
      <c r="P32" s="560">
        <f>Aar!M32</f>
        <v>30</v>
      </c>
      <c r="Q32" s="125" t="str">
        <f>Aar!N32</f>
        <v>ma</v>
      </c>
      <c r="R32" s="126" t="str">
        <f>November!C43</f>
        <v>Skema 1</v>
      </c>
      <c r="S32" s="569" t="str">
        <f>November!DN43</f>
        <v/>
      </c>
      <c r="T32" s="563">
        <f>Aar!P32</f>
        <v>48.571428571428569</v>
      </c>
      <c r="U32" s="560">
        <f>Aar!Q32</f>
        <v>30</v>
      </c>
      <c r="V32" s="125" t="str">
        <f>Aar!R32</f>
        <v>on</v>
      </c>
      <c r="W32" s="126" t="str">
        <f>December!C43</f>
        <v>Nul-dag</v>
      </c>
      <c r="X32" s="567" t="str">
        <f>December!DN43</f>
        <v/>
      </c>
      <c r="Y32" s="563">
        <f>Aar!T32</f>
        <v>0</v>
      </c>
      <c r="Z32" s="560">
        <f>Aar!U32</f>
        <v>30</v>
      </c>
      <c r="AA32" s="125" t="str">
        <f>Aar!V32</f>
        <v>lø</v>
      </c>
      <c r="AB32" s="126" t="str">
        <f>Januar!C43</f>
        <v>Weekend</v>
      </c>
      <c r="AC32" s="567" t="str">
        <f>Januar!DN43</f>
        <v/>
      </c>
      <c r="AD32" s="563" t="str">
        <f>Aar!X32</f>
        <v/>
      </c>
    </row>
    <row r="33" spans="1:30" ht="23" customHeight="1" thickBot="1">
      <c r="A33" s="560">
        <f>Aar!A33</f>
        <v>31</v>
      </c>
      <c r="B33" s="125" t="str">
        <f>Aar!B33</f>
        <v>ma</v>
      </c>
      <c r="C33" s="126" t="str">
        <f>August!C45</f>
        <v>Skema 1</v>
      </c>
      <c r="D33" s="567" t="str">
        <f>August!DN45</f>
        <v/>
      </c>
      <c r="E33" s="563">
        <f>Aar!D33</f>
        <v>35.571428571428569</v>
      </c>
      <c r="F33" s="76"/>
      <c r="G33" s="76"/>
      <c r="H33" s="77"/>
      <c r="I33" s="77"/>
      <c r="J33" s="444"/>
      <c r="K33" s="536">
        <f>Aar!I33</f>
        <v>31</v>
      </c>
      <c r="L33" s="537" t="str">
        <f>Aar!J33</f>
        <v>lø</v>
      </c>
      <c r="M33" s="538" t="str">
        <f>Oktober!C44</f>
        <v>Weekend</v>
      </c>
      <c r="N33" s="568" t="str">
        <f>Oktober!DN44</f>
        <v/>
      </c>
      <c r="O33" s="539" t="str">
        <f>Aar!L33</f>
        <v/>
      </c>
      <c r="P33" s="76"/>
      <c r="Q33" s="76"/>
      <c r="R33" s="77"/>
      <c r="S33" s="77"/>
      <c r="T33" s="445"/>
      <c r="U33" s="560">
        <f>Aar!Q33</f>
        <v>31</v>
      </c>
      <c r="V33" s="125" t="str">
        <f>Aar!R33</f>
        <v>to</v>
      </c>
      <c r="W33" s="126" t="str">
        <f>December!C44</f>
        <v>Nul-dag</v>
      </c>
      <c r="X33" s="567" t="str">
        <f>December!DN44</f>
        <v>Nytårsaftensdag</v>
      </c>
      <c r="Y33" s="563" t="str">
        <f>Aar!T33</f>
        <v/>
      </c>
      <c r="Z33" s="560">
        <f>Aar!U33</f>
        <v>31</v>
      </c>
      <c r="AA33" s="125" t="str">
        <f>Aar!V33</f>
        <v>sø</v>
      </c>
      <c r="AB33" s="126" t="str">
        <f>Januar!C44</f>
        <v>Weekend</v>
      </c>
      <c r="AC33" s="567" t="str">
        <f>Januar!DN44</f>
        <v/>
      </c>
      <c r="AD33" s="563" t="str">
        <f>Aar!X33</f>
        <v/>
      </c>
    </row>
    <row r="34" spans="1:30" ht="23" customHeight="1" thickBot="1">
      <c r="A34" s="68"/>
      <c r="B34" s="68"/>
      <c r="C34" s="68">
        <f>Aar!B34</f>
        <v>21</v>
      </c>
      <c r="D34" s="68" t="str">
        <f>Aar!C34</f>
        <v xml:space="preserve"> arbejdsdage</v>
      </c>
      <c r="E34" s="68"/>
      <c r="F34" s="68"/>
      <c r="G34" s="68"/>
      <c r="H34" s="68">
        <f>Aar!F34</f>
        <v>22</v>
      </c>
      <c r="I34" s="68" t="str">
        <f>Aar!G34</f>
        <v xml:space="preserve"> arbejdsdage</v>
      </c>
      <c r="J34" s="68">
        <f>Aar!H34</f>
        <v>0</v>
      </c>
      <c r="K34" s="68">
        <f>Aar!I34</f>
        <v>0</v>
      </c>
      <c r="L34" s="68"/>
      <c r="M34" s="68">
        <f>Aar!J34</f>
        <v>22</v>
      </c>
      <c r="N34" s="68" t="str">
        <f>Aar!K34</f>
        <v xml:space="preserve"> arbejdsdage</v>
      </c>
      <c r="O34" s="68">
        <f>Aar!M34</f>
        <v>0</v>
      </c>
      <c r="P34" s="68"/>
      <c r="Q34" s="68"/>
      <c r="R34" s="68">
        <f>Aar!N34</f>
        <v>21</v>
      </c>
      <c r="S34" s="68" t="str">
        <f>Aar!O34</f>
        <v xml:space="preserve"> arbejdsdage</v>
      </c>
      <c r="T34" s="68"/>
      <c r="U34" s="68"/>
      <c r="V34" s="68"/>
      <c r="W34" s="68">
        <f>Aar!R34</f>
        <v>22</v>
      </c>
      <c r="X34" s="68" t="str">
        <f>Aar!S34</f>
        <v xml:space="preserve"> arbejdsdage</v>
      </c>
      <c r="Y34" s="68"/>
      <c r="Z34" s="107"/>
      <c r="AA34" s="107"/>
      <c r="AB34" s="68">
        <f>Aar!V34</f>
        <v>20</v>
      </c>
      <c r="AC34" s="68" t="str">
        <f>Aar!W34</f>
        <v xml:space="preserve"> arbejdsdage</v>
      </c>
      <c r="AD34" s="106"/>
    </row>
    <row r="35" spans="1:30" ht="31" customHeight="1" thickBot="1">
      <c r="A35" s="1611" t="str">
        <f>"I alt for hele skoleåret "&amp;Vejledning!B2&amp;""</f>
        <v>I alt for hele skoleåret 2026-2027</v>
      </c>
      <c r="B35" s="1612"/>
      <c r="C35" s="1612"/>
      <c r="D35" s="1612"/>
      <c r="E35" s="1612"/>
      <c r="F35" s="1612"/>
      <c r="G35" s="1612"/>
      <c r="H35" s="1612"/>
      <c r="I35" s="1612"/>
      <c r="J35" s="1612"/>
      <c r="K35" s="1612"/>
      <c r="L35" s="1612"/>
      <c r="M35" s="1612"/>
      <c r="N35" s="1612"/>
      <c r="O35" s="1612"/>
      <c r="P35" s="1612"/>
      <c r="Q35" s="1612"/>
      <c r="R35" s="1612"/>
      <c r="S35" s="1612"/>
      <c r="T35" s="1612"/>
      <c r="U35" s="1613"/>
      <c r="V35" s="113"/>
      <c r="W35" s="114"/>
      <c r="X35" s="110"/>
      <c r="Y35" s="68"/>
      <c r="Z35" s="107"/>
      <c r="AA35" s="107"/>
      <c r="AB35" s="68"/>
      <c r="AC35" s="68"/>
      <c r="AD35" s="106"/>
    </row>
    <row r="36" spans="1:30" ht="23" customHeight="1">
      <c r="A36" s="1614" t="s">
        <v>116</v>
      </c>
      <c r="B36" s="1615"/>
      <c r="C36" s="1615"/>
      <c r="D36" s="1615"/>
      <c r="E36" s="1615"/>
      <c r="F36" s="1615"/>
      <c r="G36" s="1615"/>
      <c r="H36" s="128">
        <f>Aar!G37</f>
        <v>172</v>
      </c>
      <c r="I36" s="169"/>
      <c r="J36" s="169"/>
      <c r="K36" s="169"/>
      <c r="L36" s="169"/>
      <c r="M36" s="169"/>
      <c r="N36" s="1616" t="s">
        <v>115</v>
      </c>
      <c r="O36" s="1617"/>
      <c r="P36" s="1617"/>
      <c r="Q36" s="1617"/>
      <c r="R36" s="1617"/>
      <c r="S36" s="1617"/>
      <c r="T36" s="1617"/>
      <c r="U36" s="168">
        <f>Aar!AE37</f>
        <v>6</v>
      </c>
      <c r="V36" s="111"/>
      <c r="W36" s="68"/>
      <c r="X36" s="107"/>
      <c r="Y36" s="107"/>
      <c r="Z36" s="68"/>
      <c r="AA36" s="68"/>
      <c r="AB36" s="106"/>
      <c r="AC36" s="60"/>
      <c r="AD36" s="60"/>
    </row>
    <row r="37" spans="1:30" ht="23" customHeight="1">
      <c r="A37" s="1618" t="s">
        <v>114</v>
      </c>
      <c r="B37" s="1619"/>
      <c r="C37" s="1619"/>
      <c r="D37" s="1619"/>
      <c r="E37" s="1619"/>
      <c r="F37" s="1619"/>
      <c r="G37" s="1619"/>
      <c r="H37" s="165">
        <f>Aar!O37</f>
        <v>22</v>
      </c>
      <c r="I37" s="170"/>
      <c r="J37" s="170"/>
      <c r="K37" s="170"/>
      <c r="L37" s="170"/>
      <c r="M37" s="170"/>
      <c r="N37" s="172" t="s">
        <v>141</v>
      </c>
      <c r="O37" s="1626">
        <f>Aar!O35</f>
        <v>105</v>
      </c>
      <c r="P37" s="1626"/>
      <c r="Q37" s="1626"/>
      <c r="R37" s="164" t="s">
        <v>142</v>
      </c>
      <c r="S37" s="164"/>
      <c r="T37" s="1622">
        <f>Aar!W35</f>
        <v>7</v>
      </c>
      <c r="U37" s="1623"/>
      <c r="V37" s="111"/>
      <c r="W37" s="68"/>
      <c r="X37" s="107"/>
      <c r="Y37" s="107"/>
      <c r="Z37" s="68"/>
      <c r="AA37" s="68"/>
      <c r="AB37" s="106"/>
      <c r="AC37" s="60"/>
      <c r="AD37" s="60"/>
    </row>
    <row r="38" spans="1:30" ht="23" customHeight="1">
      <c r="A38" s="1620" t="s">
        <v>119</v>
      </c>
      <c r="B38" s="1621"/>
      <c r="C38" s="1621"/>
      <c r="D38" s="1621"/>
      <c r="E38" s="1621"/>
      <c r="F38" s="1621"/>
      <c r="G38" s="1621"/>
      <c r="H38" s="166">
        <f>Aar!W37</f>
        <v>5</v>
      </c>
      <c r="I38" s="170"/>
      <c r="J38" s="170"/>
      <c r="K38" s="170"/>
      <c r="L38" s="170"/>
      <c r="M38" s="170"/>
      <c r="N38" s="180" t="s">
        <v>161</v>
      </c>
      <c r="O38" s="1624">
        <f>Aar!AE35</f>
        <v>25</v>
      </c>
      <c r="P38" s="1624"/>
      <c r="Q38" s="1625"/>
      <c r="R38" s="178" t="s">
        <v>162</v>
      </c>
      <c r="S38" s="178"/>
      <c r="T38" s="178"/>
      <c r="U38" s="446">
        <f>Aar!AV35</f>
        <v>0</v>
      </c>
      <c r="V38" s="112"/>
      <c r="W38" s="68"/>
      <c r="X38" s="107"/>
      <c r="Y38" s="107"/>
      <c r="Z38" s="68"/>
      <c r="AA38" s="68"/>
      <c r="AB38" s="106"/>
      <c r="AC38" s="60"/>
      <c r="AD38" s="60"/>
    </row>
    <row r="39" spans="1:30" ht="23" customHeight="1" thickBot="1">
      <c r="A39" s="162" t="s">
        <v>149</v>
      </c>
      <c r="B39" s="163"/>
      <c r="C39" s="163"/>
      <c r="D39" s="163"/>
      <c r="E39" s="163"/>
      <c r="F39" s="163"/>
      <c r="G39" s="163"/>
      <c r="H39" s="167">
        <f>SUM(H36:H38)</f>
        <v>199</v>
      </c>
      <c r="I39" s="171"/>
      <c r="J39" s="171"/>
      <c r="K39" s="171"/>
      <c r="L39" s="171"/>
      <c r="M39" s="171"/>
      <c r="N39" s="450" t="s">
        <v>166</v>
      </c>
      <c r="O39" s="451"/>
      <c r="P39" s="451"/>
      <c r="Q39" s="451">
        <f>Aar!AM35</f>
        <v>24</v>
      </c>
      <c r="R39" s="448" t="s">
        <v>409</v>
      </c>
      <c r="S39" s="448"/>
      <c r="T39" s="448"/>
      <c r="U39" s="449">
        <f>Aar!AV37</f>
        <v>0</v>
      </c>
      <c r="V39" s="111"/>
      <c r="W39" s="68"/>
      <c r="X39" s="107"/>
      <c r="Y39" s="107"/>
      <c r="Z39" s="68"/>
      <c r="AA39" s="68"/>
      <c r="AB39" s="106"/>
      <c r="AC39" s="60"/>
      <c r="AD39" s="60"/>
    </row>
    <row r="40" spans="1:30" ht="15" customHeight="1">
      <c r="B40" s="73"/>
      <c r="C40" s="71"/>
      <c r="D40" s="71"/>
      <c r="E40" s="72"/>
      <c r="G40" s="73"/>
      <c r="H40" s="71"/>
      <c r="I40" s="71"/>
      <c r="J40" s="74"/>
      <c r="K40" s="73"/>
      <c r="L40" s="71"/>
      <c r="M40" s="72"/>
      <c r="N40" s="72"/>
      <c r="O40" s="72"/>
      <c r="P40" s="73"/>
      <c r="Q40" s="71"/>
      <c r="R40" s="74"/>
      <c r="S40" s="74"/>
      <c r="T40" s="73"/>
      <c r="U40" s="71"/>
      <c r="W40" s="72"/>
      <c r="X40" s="72"/>
      <c r="Y40" s="73"/>
      <c r="Z40" s="71"/>
      <c r="AA40" s="60"/>
      <c r="AB40" s="60"/>
      <c r="AC40" s="60"/>
      <c r="AD40" s="60"/>
    </row>
    <row r="41" spans="1:30" ht="15" customHeight="1"/>
  </sheetData>
  <sheetProtection sheet="1" formatCells="0" formatColumns="0" formatRows="0" insertColumns="0"/>
  <mergeCells count="8">
    <mergeCell ref="A35:U35"/>
    <mergeCell ref="A36:G36"/>
    <mergeCell ref="N36:T36"/>
    <mergeCell ref="A37:G37"/>
    <mergeCell ref="A38:G38"/>
    <mergeCell ref="T37:U37"/>
    <mergeCell ref="O38:Q38"/>
    <mergeCell ref="O37:Q37"/>
  </mergeCells>
  <phoneticPr fontId="5" type="noConversion"/>
  <printOptions horizontalCentered="1" verticalCentered="1"/>
  <pageMargins left="0.25" right="0.25" top="0.75" bottom="0.75" header="0.3" footer="0.3"/>
  <pageSetup paperSize="9" scale="54" orientation="landscape" horizontalDpi="4294967292" verticalDpi="4294967292"/>
  <ignoredErrors>
    <ignoredError sqref="A2:AD2 F33:J33 P33:T33 B1:AD1" unlockedFormula="1"/>
  </ignoredErrors>
  <drawing r:id="rId1"/>
  <extLst>
    <ext xmlns:x14="http://schemas.microsoft.com/office/spreadsheetml/2009/9/main" uri="{78C0D931-6437-407d-A8EE-F0AAD7539E65}">
      <x14:conditionalFormattings>
        <x14:conditionalFormatting xmlns:xm="http://schemas.microsoft.com/office/excel/2006/main">
          <x14:cfRule type="expression" priority="31" id="{AF9AE05E-3605-5E4C-893C-6819AB1EE948}">
            <xm:f>OR(August!$C15="Ikke relevant")</xm:f>
            <x14:dxf>
              <font>
                <color theme="0"/>
              </font>
              <fill>
                <patternFill>
                  <bgColor theme="1"/>
                </patternFill>
              </fill>
            </x14:dxf>
          </x14:cfRule>
          <x14:cfRule type="expression" priority="110" id="{3D435629-D562-1843-BC8C-C49FD76A418A}">
            <xm:f>OR(August!$C15="weekend")</xm:f>
            <x14:dxf>
              <font>
                <color theme="1"/>
              </font>
              <fill>
                <patternFill>
                  <bgColor theme="0" tint="-0.14996795556505021"/>
                </patternFill>
              </fill>
            </x14:dxf>
          </x14:cfRule>
          <x14:cfRule type="expression" priority="109" id="{BDDE1528-B4C8-F547-9572-1788BDC0DBD0}">
            <xm:f>OR(August!$C15="feriedag")</xm:f>
            <x14:dxf>
              <font>
                <color theme="1"/>
              </font>
              <fill>
                <patternFill>
                  <bgColor theme="6" tint="0.39994506668294322"/>
                </patternFill>
              </fill>
            </x14:dxf>
          </x14:cfRule>
          <x14:cfRule type="expression" priority="108" id="{723F6421-6944-B64B-9A9F-457A9003CABE}">
            <xm:f>OR(August!$C15="fagdag")</xm:f>
            <x14:dxf>
              <font>
                <color theme="1"/>
              </font>
              <fill>
                <patternFill>
                  <bgColor theme="9" tint="0.59996337778862885"/>
                </patternFill>
              </fill>
            </x14:dxf>
          </x14:cfRule>
          <x14:cfRule type="expression" priority="107" id="{BED33284-DDF4-564F-A68F-1D8DD9E13F5F}">
            <xm:f>OR(August!$C15="emnedag")</xm:f>
            <x14:dxf>
              <font>
                <color theme="1"/>
              </font>
              <fill>
                <patternFill>
                  <bgColor theme="5" tint="0.59996337778862885"/>
                </patternFill>
              </fill>
            </x14:dxf>
          </x14:cfRule>
          <x14:cfRule type="expression" priority="106" id="{B3976725-7BC8-274D-A17A-06C54196C59B}">
            <xm:f>OR(August!$C15="lejrskole")</xm:f>
            <x14:dxf>
              <font>
                <color theme="1"/>
              </font>
              <fill>
                <patternFill>
                  <bgColor theme="8" tint="0.59996337778862885"/>
                </patternFill>
              </fill>
            </x14:dxf>
          </x14:cfRule>
          <x14:cfRule type="expression" priority="105" id="{56138BA0-8BE0-4047-9775-0C98271CE80A}">
            <xm:f>OR(August!$C15="ekskursion")</xm:f>
            <x14:dxf>
              <font>
                <color theme="1"/>
              </font>
              <fill>
                <patternFill>
                  <bgColor rgb="FFFFFF00"/>
                </patternFill>
              </fill>
            </x14:dxf>
          </x14:cfRule>
          <x14:cfRule type="expression" priority="104" id="{C726354F-05C3-9C43-946C-A3FB6A43F70E}">
            <xm:f>OR(August!$C15="SH-dag")</xm:f>
            <x14:dxf>
              <font>
                <color theme="1"/>
              </font>
              <fill>
                <patternFill>
                  <bgColor rgb="FFFF2F82"/>
                </patternFill>
              </fill>
            </x14:dxf>
          </x14:cfRule>
          <x14:cfRule type="expression" priority="111" stopIfTrue="1" id="{7E088C76-2C1B-4A4B-B72F-8E38A511E840}">
            <xm:f>OR(August!$C15="Orlov")</xm:f>
            <x14:dxf>
              <font>
                <color theme="0"/>
              </font>
              <fill>
                <patternFill patternType="solid">
                  <bgColor theme="6" tint="-0.24994659260841701"/>
                </patternFill>
              </fill>
            </x14:dxf>
          </x14:cfRule>
          <x14:cfRule type="expression" priority="102" id="{B78C599E-77F1-D644-9FE9-ABD5FC8F382C}">
            <xm:f>OR(August!$C15="pæd.dag")</xm:f>
            <x14:dxf>
              <font>
                <color theme="1"/>
              </font>
              <fill>
                <patternFill>
                  <bgColor theme="7" tint="0.39994506668294322"/>
                </patternFill>
              </fill>
            </x14:dxf>
          </x14:cfRule>
          <x14:cfRule type="expression" priority="103" id="{CDFF70CE-D945-F741-ADF6-03C1B6832B46}">
            <xm:f>OR(August!$C15="nul-dag")</xm:f>
            <x14:dxf>
              <font>
                <color theme="1"/>
              </font>
              <fill>
                <patternFill>
                  <bgColor theme="5" tint="0.79998168889431442"/>
                </patternFill>
              </fill>
            </x14:dxf>
          </x14:cfRule>
          <x14:cfRule type="expression" priority="25" id="{347B9104-5EB7-AA4F-9364-620AC86FE217}">
            <xm:f>OR(August!$C15="Skema 4")</xm:f>
            <x14:dxf>
              <font>
                <color theme="0"/>
              </font>
              <fill>
                <patternFill>
                  <bgColor theme="4" tint="-0.24994659260841701"/>
                </patternFill>
              </fill>
            </x14:dxf>
          </x14:cfRule>
          <x14:cfRule type="expression" priority="24" id="{268CA7B4-52BE-1443-93BC-121DA8356B11}">
            <xm:f>OR(August!$C15="Skema 3")</xm:f>
            <x14:dxf>
              <font>
                <color theme="0"/>
              </font>
              <fill>
                <patternFill>
                  <bgColor theme="4" tint="0.39994506668294322"/>
                </patternFill>
              </fill>
            </x14:dxf>
          </x14:cfRule>
          <x14:cfRule type="expression" priority="23" id="{A1951D69-4ADB-3047-8B42-4A5141429C7B}">
            <xm:f>OR(August!$C15="Skema 2")</xm:f>
            <x14:dxf>
              <font>
                <color theme="1"/>
              </font>
              <fill>
                <patternFill>
                  <bgColor theme="4" tint="0.59996337778862885"/>
                </patternFill>
              </fill>
            </x14:dxf>
          </x14:cfRule>
          <x14:cfRule type="expression" priority="22" stopIfTrue="1" id="{BCD76501-B6F8-B74D-98D4-F3CE391F978C}">
            <xm:f>OR(August!$C15="Skema 1")</xm:f>
            <x14:dxf>
              <font>
                <color theme="1"/>
              </font>
              <fill>
                <patternFill>
                  <bgColor theme="4" tint="0.79998168889431442"/>
                </patternFill>
              </fill>
            </x14:dxf>
          </x14:cfRule>
          <xm:sqref>A3:E33</xm:sqref>
        </x14:conditionalFormatting>
        <x14:conditionalFormatting xmlns:xm="http://schemas.microsoft.com/office/excel/2006/main">
          <x14:cfRule type="expression" priority="98" id="{7078B40A-5F8B-4143-80AA-1AEA7E8FB8A5}">
            <xm:f>OR(September!$C14="fagdag")</xm:f>
            <x14:dxf>
              <font>
                <color theme="1"/>
              </font>
              <fill>
                <patternFill>
                  <bgColor theme="9" tint="0.59996337778862885"/>
                </patternFill>
              </fill>
            </x14:dxf>
          </x14:cfRule>
          <x14:cfRule type="expression" priority="18" id="{A6A54F67-DB22-AB42-B807-1E094C48D97A}">
            <xm:f>OR(September!$C14="Skema 1")</xm:f>
            <x14:dxf>
              <font>
                <color theme="1"/>
              </font>
              <fill>
                <patternFill>
                  <bgColor theme="4" tint="0.79998168889431442"/>
                </patternFill>
              </fill>
            </x14:dxf>
          </x14:cfRule>
          <x14:cfRule type="expression" priority="19" id="{B8481A31-E298-9A4F-9913-506735F80059}">
            <xm:f>OR(September!$C14="Skema 2")</xm:f>
            <x14:dxf>
              <font>
                <color theme="1"/>
              </font>
              <fill>
                <patternFill>
                  <bgColor theme="4" tint="0.59996337778862885"/>
                </patternFill>
              </fill>
            </x14:dxf>
          </x14:cfRule>
          <x14:cfRule type="expression" priority="20" id="{2728A726-CE9E-574C-B3B3-5E1EDD834DDC}">
            <xm:f>OR(September!$C14="Skema 3")</xm:f>
            <x14:dxf>
              <font>
                <color theme="0"/>
              </font>
              <fill>
                <patternFill>
                  <bgColor theme="4" tint="0.39994506668294322"/>
                </patternFill>
              </fill>
            </x14:dxf>
          </x14:cfRule>
          <x14:cfRule type="expression" priority="21" id="{F8AFD9B1-8EEB-C144-83EB-300D51E1A14D}">
            <xm:f>OR(September!$C14="Skema 4")</xm:f>
            <x14:dxf>
              <font>
                <color theme="0"/>
              </font>
              <fill>
                <patternFill>
                  <bgColor theme="4" tint="-0.24994659260841701"/>
                </patternFill>
              </fill>
            </x14:dxf>
          </x14:cfRule>
          <x14:cfRule type="expression" priority="97" id="{A8990905-205C-FF44-8F8F-FEFDE39B50C0}">
            <xm:f>OR(September!$C14="emnedag")</xm:f>
            <x14:dxf>
              <font>
                <color theme="1"/>
              </font>
              <fill>
                <patternFill>
                  <bgColor theme="5" tint="0.59996337778862885"/>
                </patternFill>
              </fill>
            </x14:dxf>
          </x14:cfRule>
          <x14:cfRule type="expression" priority="86" id="{6D234B6D-EBA5-3540-99F2-50B173C63F8E}">
            <xm:f>OR(September!$C14="lejrskole")</xm:f>
            <x14:dxf>
              <font>
                <color theme="1"/>
              </font>
              <fill>
                <patternFill>
                  <bgColor theme="8" tint="0.59996337778862885"/>
                </patternFill>
              </fill>
            </x14:dxf>
          </x14:cfRule>
          <x14:cfRule type="expression" priority="85" id="{EEADB28C-23C5-7D4E-B286-683226DD38E4}">
            <xm:f>OR(September!$C14="ekskursion")</xm:f>
            <x14:dxf>
              <font>
                <color theme="1"/>
              </font>
              <fill>
                <patternFill>
                  <bgColor rgb="FFFFFF00"/>
                </patternFill>
              </fill>
            </x14:dxf>
          </x14:cfRule>
          <x14:cfRule type="expression" priority="84" id="{D026F715-A777-1349-B41E-F963FD6F7EA9}">
            <xm:f>OR(September!$C14="SH-dag")</xm:f>
            <x14:dxf>
              <font>
                <color theme="1"/>
              </font>
              <fill>
                <patternFill>
                  <bgColor rgb="FFFF2F82"/>
                </patternFill>
              </fill>
            </x14:dxf>
          </x14:cfRule>
          <x14:cfRule type="expression" priority="83" id="{DB8C7910-6163-4B4D-9819-AFD0627DBD4D}">
            <xm:f>OR(September!$C14="nul-dag")</xm:f>
            <x14:dxf>
              <font>
                <color theme="1"/>
              </font>
              <fill>
                <patternFill>
                  <bgColor theme="5" tint="0.79998168889431442"/>
                </patternFill>
              </fill>
            </x14:dxf>
          </x14:cfRule>
          <x14:cfRule type="expression" priority="82" id="{DEF77C88-BD3C-6A45-8EEB-7A961DF3A37E}">
            <xm:f>OR(September!$C14="pæd.dag")</xm:f>
            <x14:dxf>
              <font>
                <color theme="1"/>
              </font>
              <fill>
                <patternFill>
                  <bgColor theme="7" tint="0.39994506668294322"/>
                </patternFill>
              </fill>
            </x14:dxf>
          </x14:cfRule>
          <x14:cfRule type="expression" priority="99" id="{3AFDEDB1-87B0-3F45-9813-D01DCEBC4125}">
            <xm:f>OR(September!$C14="feriedag")</xm:f>
            <x14:dxf>
              <font>
                <color theme="1"/>
              </font>
              <fill>
                <patternFill>
                  <bgColor theme="6" tint="0.39994506668294322"/>
                </patternFill>
              </fill>
            </x14:dxf>
          </x14:cfRule>
          <x14:cfRule type="expression" priority="100" id="{F83E5E55-9C4E-3C4E-BD25-E6F58D8EC187}">
            <xm:f>OR(September!$C14="weekend")</xm:f>
            <x14:dxf>
              <font>
                <color theme="1"/>
              </font>
              <fill>
                <patternFill>
                  <bgColor theme="0" tint="-0.14996795556505021"/>
                </patternFill>
              </fill>
            </x14:dxf>
          </x14:cfRule>
          <x14:cfRule type="expression" priority="30" id="{ED26B2E1-0B14-3C45-AF63-E47A1587C77B}">
            <xm:f>OR(September!$C14="Ikke relevant")</xm:f>
            <x14:dxf>
              <font>
                <color theme="0"/>
              </font>
              <fill>
                <patternFill>
                  <bgColor theme="1"/>
                </patternFill>
              </fill>
            </x14:dxf>
          </x14:cfRule>
          <x14:cfRule type="expression" priority="101" stopIfTrue="1" id="{FE91662E-4ED5-BC4E-9D99-6C70386FD5E4}">
            <xm:f>OR(September!$C14="Orlov")</xm:f>
            <x14:dxf>
              <font>
                <color theme="0"/>
              </font>
              <fill>
                <patternFill patternType="solid">
                  <bgColor theme="6" tint="-0.24994659260841701"/>
                </patternFill>
              </fill>
            </x14:dxf>
          </x14:cfRule>
          <xm:sqref>F3:J32</xm:sqref>
        </x14:conditionalFormatting>
        <x14:conditionalFormatting xmlns:xm="http://schemas.microsoft.com/office/excel/2006/main">
          <x14:cfRule type="expression" priority="62" id="{B6C307A1-5DEC-0B42-8D75-84080930A7A4}">
            <xm:f>OR(Oktober!$C14="pæd.dag")</xm:f>
            <x14:dxf>
              <font>
                <color theme="1"/>
              </font>
              <fill>
                <patternFill>
                  <bgColor theme="7" tint="0.39994506668294322"/>
                </patternFill>
              </fill>
            </x14:dxf>
          </x14:cfRule>
          <x14:cfRule type="expression" priority="29" id="{81C04EAD-82C5-6845-A88A-C40691238A86}">
            <xm:f>OR(Oktober!$C14="Ikke relevant")</xm:f>
            <x14:dxf>
              <font>
                <color theme="0"/>
              </font>
              <fill>
                <patternFill>
                  <bgColor theme="1"/>
                </patternFill>
              </fill>
            </x14:dxf>
          </x14:cfRule>
          <x14:cfRule type="expression" priority="63" id="{6A855BD0-BA5F-C34B-B9C3-B5D46D20C054}">
            <xm:f>OR(Oktober!$C14="nul-dag")</xm:f>
            <x14:dxf>
              <font>
                <color theme="1"/>
              </font>
              <fill>
                <patternFill>
                  <bgColor theme="5" tint="0.79998168889431442"/>
                </patternFill>
              </fill>
            </x14:dxf>
          </x14:cfRule>
          <x14:cfRule type="expression" priority="17" id="{61858BDA-AF1E-DA4B-A664-06BA7B26C092}">
            <xm:f>OR(Oktober!$C14="Skema 4")</xm:f>
            <x14:dxf>
              <font>
                <color theme="0"/>
              </font>
              <fill>
                <patternFill>
                  <bgColor theme="4" tint="-0.24994659260841701"/>
                </patternFill>
              </fill>
            </x14:dxf>
          </x14:cfRule>
          <x14:cfRule type="expression" priority="16" id="{1D690458-503E-EF45-9F3E-B7EFCD794C90}">
            <xm:f>OR(Oktober!$C14="Skema 3")</xm:f>
            <x14:dxf>
              <font>
                <color theme="0"/>
              </font>
              <fill>
                <patternFill>
                  <bgColor theme="4" tint="0.39994506668294322"/>
                </patternFill>
              </fill>
            </x14:dxf>
          </x14:cfRule>
          <x14:cfRule type="expression" priority="15" id="{5251657E-5CB4-4F45-8A5D-CC0704DBE973}">
            <xm:f>OR(Oktober!$C14="Skema 2")</xm:f>
            <x14:dxf>
              <font>
                <color theme="1"/>
              </font>
              <fill>
                <patternFill>
                  <bgColor theme="4" tint="0.59996337778862885"/>
                </patternFill>
              </fill>
            </x14:dxf>
          </x14:cfRule>
          <x14:cfRule type="expression" priority="14" id="{4FEE00F1-A8EB-3D44-BE99-A45100690B53}">
            <xm:f>OR(Oktober!$C14="Skema 1")</xm:f>
            <x14:dxf>
              <font>
                <color theme="1"/>
              </font>
              <fill>
                <patternFill>
                  <bgColor theme="4" tint="0.79998168889431442"/>
                </patternFill>
              </fill>
            </x14:dxf>
          </x14:cfRule>
          <x14:cfRule type="expression" priority="64" id="{8AD9A72B-B3A5-4A45-9A4B-A2CCEEAA5CCB}">
            <xm:f>OR(Oktober!$C14="SH-dag")</xm:f>
            <x14:dxf>
              <font>
                <color theme="1"/>
              </font>
              <fill>
                <patternFill>
                  <bgColor rgb="FFFF2F82"/>
                </patternFill>
              </fill>
            </x14:dxf>
          </x14:cfRule>
          <x14:cfRule type="expression" priority="65" id="{37B2E358-D61F-4D4A-83D5-A34D1F5B5CFD}">
            <xm:f>OR(Oktober!$C14="ekskursion")</xm:f>
            <x14:dxf>
              <font>
                <color theme="1"/>
              </font>
              <fill>
                <patternFill>
                  <bgColor rgb="FFFFFF00"/>
                </patternFill>
              </fill>
            </x14:dxf>
          </x14:cfRule>
          <x14:cfRule type="expression" priority="66" id="{D8C38FF2-1905-C041-B360-E398BC807807}">
            <xm:f>OR(Oktober!$C14="lejrskole")</xm:f>
            <x14:dxf>
              <font>
                <color theme="1"/>
              </font>
              <fill>
                <patternFill>
                  <bgColor theme="8" tint="0.59996337778862885"/>
                </patternFill>
              </fill>
            </x14:dxf>
          </x14:cfRule>
          <x14:cfRule type="expression" priority="71" stopIfTrue="1" id="{21A4F459-3DCB-D341-934C-B6DE5F98A19C}">
            <xm:f>OR(Oktober!$C14="Orlov")</xm:f>
            <x14:dxf>
              <font>
                <color theme="0"/>
              </font>
              <fill>
                <patternFill patternType="solid">
                  <bgColor theme="6" tint="-0.24994659260841701"/>
                </patternFill>
              </fill>
            </x14:dxf>
          </x14:cfRule>
          <x14:cfRule type="expression" priority="70" id="{B23AAC2D-795E-5B49-BBFA-D2542B158A75}">
            <xm:f>OR(Oktober!$C14="weekend")</xm:f>
            <x14:dxf>
              <font>
                <color theme="1"/>
              </font>
              <fill>
                <patternFill>
                  <bgColor theme="0" tint="-0.14996795556505021"/>
                </patternFill>
              </fill>
            </x14:dxf>
          </x14:cfRule>
          <x14:cfRule type="expression" priority="69" id="{92238027-AC6B-5740-8C00-B99B2AA7D005}">
            <xm:f>OR(Oktober!$C14="feriedag")</xm:f>
            <x14:dxf>
              <font>
                <color theme="1"/>
              </font>
              <fill>
                <patternFill>
                  <bgColor theme="6" tint="0.39994506668294322"/>
                </patternFill>
              </fill>
            </x14:dxf>
          </x14:cfRule>
          <x14:cfRule type="expression" priority="68" id="{0C13C227-FB10-F94F-A80B-B1E19DFE6F84}">
            <xm:f>OR(Oktober!$C14="fagdag")</xm:f>
            <x14:dxf>
              <font>
                <color theme="1"/>
              </font>
              <fill>
                <patternFill>
                  <bgColor theme="9" tint="0.59996337778862885"/>
                </patternFill>
              </fill>
            </x14:dxf>
          </x14:cfRule>
          <x14:cfRule type="expression" priority="67" id="{709B2BB9-B1AA-814F-A84B-19E766EE7C43}">
            <xm:f>OR(Oktober!$C14="emnedag")</xm:f>
            <x14:dxf>
              <font>
                <color theme="1"/>
              </font>
              <fill>
                <patternFill>
                  <bgColor theme="5" tint="0.59996337778862885"/>
                </patternFill>
              </fill>
            </x14:dxf>
          </x14:cfRule>
          <xm:sqref>K3:O33</xm:sqref>
        </x14:conditionalFormatting>
        <x14:conditionalFormatting xmlns:xm="http://schemas.microsoft.com/office/excel/2006/main">
          <x14:cfRule type="expression" priority="10" id="{317FFB8E-3019-7141-B243-77D777EC5A65}">
            <xm:f>OR(November!$C14="Skema 1")</xm:f>
            <x14:dxf>
              <font>
                <color theme="1"/>
              </font>
              <fill>
                <patternFill>
                  <bgColor theme="4" tint="0.79998168889431442"/>
                </patternFill>
              </fill>
            </x14:dxf>
          </x14:cfRule>
          <x14:cfRule type="expression" priority="11" id="{C39CFCCE-590E-594E-8C8F-DDAEEAB6361A}">
            <xm:f>OR(November!$C14="Skema 2")</xm:f>
            <x14:dxf>
              <font>
                <color theme="1"/>
              </font>
              <fill>
                <patternFill>
                  <bgColor theme="4" tint="0.59996337778862885"/>
                </patternFill>
              </fill>
            </x14:dxf>
          </x14:cfRule>
          <x14:cfRule type="expression" priority="12" id="{969B370B-0733-C84C-A898-E17064F14700}">
            <xm:f>OR(November!$C14="Skema 3")</xm:f>
            <x14:dxf>
              <font>
                <color theme="0"/>
              </font>
              <fill>
                <patternFill>
                  <bgColor theme="4" tint="0.39994506668294322"/>
                </patternFill>
              </fill>
            </x14:dxf>
          </x14:cfRule>
          <x14:cfRule type="expression" priority="13" id="{DD61B19E-8B3C-EF49-802C-8FD3F32076CA}">
            <xm:f>OR(November!$C14="Skema 4")</xm:f>
            <x14:dxf>
              <font>
                <color theme="0"/>
              </font>
              <fill>
                <patternFill>
                  <bgColor theme="4" tint="-0.24994659260841701"/>
                </patternFill>
              </fill>
            </x14:dxf>
          </x14:cfRule>
          <x14:cfRule type="expression" priority="28" id="{A170BAD0-3D79-FB41-B5D8-84995AE84347}">
            <xm:f>OR(November!$C14="Ikke relevant")</xm:f>
            <x14:dxf>
              <font>
                <color theme="0"/>
              </font>
              <fill>
                <patternFill>
                  <bgColor theme="1"/>
                </patternFill>
              </fill>
            </x14:dxf>
          </x14:cfRule>
          <x14:cfRule type="expression" priority="52" id="{CED4A093-82D9-C644-B41E-DD3A41825021}">
            <xm:f>OR(November!$C14="pæd.dag")</xm:f>
            <x14:dxf>
              <font>
                <color theme="1"/>
              </font>
              <fill>
                <patternFill>
                  <bgColor theme="7" tint="0.39994506668294322"/>
                </patternFill>
              </fill>
            </x14:dxf>
          </x14:cfRule>
          <x14:cfRule type="expression" priority="53" id="{0E350EAE-BD99-3A46-9436-D482887C3178}">
            <xm:f>OR(November!$C14="nul-dag")</xm:f>
            <x14:dxf>
              <font>
                <color theme="1"/>
              </font>
              <fill>
                <patternFill>
                  <bgColor theme="5" tint="0.79998168889431442"/>
                </patternFill>
              </fill>
            </x14:dxf>
          </x14:cfRule>
          <x14:cfRule type="expression" priority="54" id="{63CD135A-29CA-194D-840C-48CAFE0078F0}">
            <xm:f>OR(November!$C14="SH-dag")</xm:f>
            <x14:dxf>
              <font>
                <color theme="1"/>
              </font>
              <fill>
                <patternFill>
                  <bgColor rgb="FFFF2F82"/>
                </patternFill>
              </fill>
            </x14:dxf>
          </x14:cfRule>
          <x14:cfRule type="expression" priority="55" id="{B2597A19-09A9-1A4F-A327-F393C182067B}">
            <xm:f>OR(November!$C14="ekskursion")</xm:f>
            <x14:dxf>
              <font>
                <color theme="1"/>
              </font>
              <fill>
                <patternFill>
                  <bgColor rgb="FFFFFF00"/>
                </patternFill>
              </fill>
            </x14:dxf>
          </x14:cfRule>
          <x14:cfRule type="expression" priority="56" id="{55362959-AF26-2744-85D8-C7595B5E2976}">
            <xm:f>OR(November!$C14="lejrskole")</xm:f>
            <x14:dxf>
              <font>
                <color theme="1"/>
              </font>
              <fill>
                <patternFill>
                  <bgColor theme="8" tint="0.59996337778862885"/>
                </patternFill>
              </fill>
            </x14:dxf>
          </x14:cfRule>
          <x14:cfRule type="expression" priority="57" id="{3B5C389C-3B05-4E44-A6F5-C3F1A1F27D69}">
            <xm:f>OR(November!$C14="emnedag")</xm:f>
            <x14:dxf>
              <font>
                <color theme="1"/>
              </font>
              <fill>
                <patternFill>
                  <bgColor theme="5" tint="0.59996337778862885"/>
                </patternFill>
              </fill>
            </x14:dxf>
          </x14:cfRule>
          <x14:cfRule type="expression" priority="58" id="{3F74E116-1BCF-674C-ADEA-3F09A8626D16}">
            <xm:f>OR(November!$C14="fagdag")</xm:f>
            <x14:dxf>
              <font>
                <color theme="1"/>
              </font>
              <fill>
                <patternFill>
                  <bgColor theme="9" tint="0.59996337778862885"/>
                </patternFill>
              </fill>
            </x14:dxf>
          </x14:cfRule>
          <x14:cfRule type="expression" priority="59" id="{3748DFC3-871A-A943-A15C-451B4B624013}">
            <xm:f>OR(November!$C14="feriedag")</xm:f>
            <x14:dxf>
              <font>
                <color theme="1"/>
              </font>
              <fill>
                <patternFill>
                  <bgColor theme="6" tint="0.39994506668294322"/>
                </patternFill>
              </fill>
            </x14:dxf>
          </x14:cfRule>
          <x14:cfRule type="expression" priority="60" id="{DCA403BE-4695-E243-9B31-CDE573D32BF5}">
            <xm:f>OR(November!$C14="weekend")</xm:f>
            <x14:dxf>
              <font>
                <color theme="1"/>
              </font>
              <fill>
                <patternFill>
                  <bgColor theme="0" tint="-0.14996795556505021"/>
                </patternFill>
              </fill>
            </x14:dxf>
          </x14:cfRule>
          <x14:cfRule type="expression" priority="61" stopIfTrue="1" id="{24164010-B51D-2D40-ACA9-B60FB02B040C}">
            <xm:f>OR(November!$C14="Orlov")</xm:f>
            <x14:dxf>
              <font>
                <color theme="0"/>
              </font>
              <fill>
                <patternFill patternType="solid">
                  <bgColor theme="6" tint="-0.24994659260841701"/>
                </patternFill>
              </fill>
            </x14:dxf>
          </x14:cfRule>
          <xm:sqref>P3:T32</xm:sqref>
        </x14:conditionalFormatting>
        <x14:conditionalFormatting xmlns:xm="http://schemas.microsoft.com/office/excel/2006/main">
          <x14:cfRule type="expression" priority="47" id="{31D0F7ED-008C-A643-9630-E35BCC2D5713}">
            <xm:f>OR(December!$C14="emnedag")</xm:f>
            <x14:dxf>
              <font>
                <color theme="1"/>
              </font>
              <fill>
                <patternFill>
                  <bgColor theme="5" tint="0.59996337778862885"/>
                </patternFill>
              </fill>
            </x14:dxf>
          </x14:cfRule>
          <x14:cfRule type="expression" priority="51" stopIfTrue="1" id="{D358BCF8-85AC-BA40-A836-B48949AC57B2}">
            <xm:f>OR(December!$C14="Orlov")</xm:f>
            <x14:dxf>
              <font>
                <color theme="0"/>
              </font>
              <fill>
                <patternFill patternType="solid">
                  <bgColor theme="6" tint="-0.24994659260841701"/>
                </patternFill>
              </fill>
            </x14:dxf>
          </x14:cfRule>
          <x14:cfRule type="expression" priority="50" id="{BDCCCECE-18A6-DD4D-8287-DDB782F9579C}">
            <xm:f>OR(December!$C14="weekend")</xm:f>
            <x14:dxf>
              <font>
                <color theme="1"/>
              </font>
              <fill>
                <patternFill>
                  <bgColor theme="0" tint="-0.14996795556505021"/>
                </patternFill>
              </fill>
            </x14:dxf>
          </x14:cfRule>
          <x14:cfRule type="expression" priority="49" id="{3B95DC54-79FB-6E4F-8DC6-A7F8452A83D1}">
            <xm:f>OR(December!$C14="feriedag")</xm:f>
            <x14:dxf>
              <font>
                <color theme="1"/>
              </font>
              <fill>
                <patternFill>
                  <bgColor theme="6" tint="0.39994506668294322"/>
                </patternFill>
              </fill>
            </x14:dxf>
          </x14:cfRule>
          <x14:cfRule type="expression" priority="48" id="{CA67FB30-F316-FD41-AA7D-A3FFA6ACA202}">
            <xm:f>OR(December!$C14="fagdag")</xm:f>
            <x14:dxf>
              <font>
                <color theme="1"/>
              </font>
              <fill>
                <patternFill>
                  <bgColor theme="9" tint="0.59996337778862885"/>
                </patternFill>
              </fill>
            </x14:dxf>
          </x14:cfRule>
          <x14:cfRule type="expression" priority="46" id="{1F34D948-7D51-6C4D-9C12-EA1C00ECAA0D}">
            <xm:f>OR(December!$C14="lejrskole")</xm:f>
            <x14:dxf>
              <font>
                <color theme="1"/>
              </font>
              <fill>
                <patternFill>
                  <bgColor theme="8" tint="0.59996337778862885"/>
                </patternFill>
              </fill>
            </x14:dxf>
          </x14:cfRule>
          <x14:cfRule type="expression" priority="45" id="{42C6D939-E342-794F-8D68-4D2A92B68661}">
            <xm:f>OR(December!$C14="ekskursion")</xm:f>
            <x14:dxf>
              <font>
                <color theme="1"/>
              </font>
              <fill>
                <patternFill>
                  <bgColor rgb="FFFFFF00"/>
                </patternFill>
              </fill>
            </x14:dxf>
          </x14:cfRule>
          <x14:cfRule type="expression" priority="44" id="{95FF3B6C-9C43-8444-AAF4-1564645F2098}">
            <xm:f>OR(December!$C14="SH-dag")</xm:f>
            <x14:dxf>
              <font>
                <color theme="1"/>
              </font>
              <fill>
                <patternFill>
                  <bgColor rgb="FFFF2F82"/>
                </patternFill>
              </fill>
            </x14:dxf>
          </x14:cfRule>
          <x14:cfRule type="expression" priority="43" id="{B713B3FF-E644-6F43-9A39-F213E292C09D}">
            <xm:f>OR(December!$C14="nul-dag")</xm:f>
            <x14:dxf>
              <font>
                <color theme="1"/>
              </font>
              <fill>
                <patternFill>
                  <bgColor theme="5" tint="0.79998168889431442"/>
                </patternFill>
              </fill>
            </x14:dxf>
          </x14:cfRule>
          <x14:cfRule type="expression" priority="42" id="{07ADBFA5-B73D-CF41-95CD-1AFA8C6192DD}">
            <xm:f>OR(December!$C14="pæd.dag")</xm:f>
            <x14:dxf>
              <font>
                <color theme="1"/>
              </font>
              <fill>
                <patternFill>
                  <bgColor theme="7" tint="0.39994506668294322"/>
                </patternFill>
              </fill>
            </x14:dxf>
          </x14:cfRule>
          <x14:cfRule type="expression" priority="6" id="{D7EBA1BC-C9AE-7D4C-B30E-EC1B416868F4}">
            <xm:f>OR(December!$C14="Skema 1")</xm:f>
            <x14:dxf>
              <font>
                <color theme="1"/>
              </font>
              <fill>
                <patternFill>
                  <bgColor theme="4" tint="0.79998168889431442"/>
                </patternFill>
              </fill>
            </x14:dxf>
          </x14:cfRule>
          <x14:cfRule type="expression" priority="7" id="{FD4C3246-21CD-9743-87F3-620C8162FD86}">
            <xm:f>OR(December!$C14="Skema 2")</xm:f>
            <x14:dxf>
              <font>
                <color theme="1"/>
              </font>
              <fill>
                <patternFill>
                  <bgColor theme="4" tint="0.59996337778862885"/>
                </patternFill>
              </fill>
            </x14:dxf>
          </x14:cfRule>
          <x14:cfRule type="expression" priority="8" id="{502BE986-C74F-B04A-8751-28403A9BF494}">
            <xm:f>OR(December!$C14="Skema 3")</xm:f>
            <x14:dxf>
              <font>
                <color theme="0"/>
              </font>
              <fill>
                <patternFill>
                  <bgColor theme="4" tint="0.39994506668294322"/>
                </patternFill>
              </fill>
            </x14:dxf>
          </x14:cfRule>
          <x14:cfRule type="expression" priority="9" id="{BEEEB4A5-6AC8-FE43-9BC2-6A542C8813C9}">
            <xm:f>OR(December!$C14="Skema 4")</xm:f>
            <x14:dxf>
              <font>
                <color theme="0"/>
              </font>
              <fill>
                <patternFill>
                  <bgColor theme="4" tint="-0.24994659260841701"/>
                </patternFill>
              </fill>
            </x14:dxf>
          </x14:cfRule>
          <x14:cfRule type="expression" priority="27" id="{9B0E3D34-4C10-B641-9750-3FD87A54691D}">
            <xm:f>OR(December!$C14="Ikke relevant")</xm:f>
            <x14:dxf>
              <font>
                <color theme="0"/>
              </font>
              <fill>
                <patternFill>
                  <bgColor theme="1"/>
                </patternFill>
              </fill>
            </x14:dxf>
          </x14:cfRule>
          <xm:sqref>U3:Y33</xm:sqref>
        </x14:conditionalFormatting>
        <x14:conditionalFormatting xmlns:xm="http://schemas.microsoft.com/office/excel/2006/main">
          <x14:cfRule type="expression" priority="36" id="{A0D0FAB6-EDC2-F04E-9AA0-AC37C2D8CFA0}">
            <xm:f>OR(Januar!$C14="lejrskole")</xm:f>
            <x14:dxf>
              <font>
                <color theme="1"/>
              </font>
              <fill>
                <patternFill>
                  <bgColor theme="8" tint="0.59996337778862885"/>
                </patternFill>
              </fill>
            </x14:dxf>
          </x14:cfRule>
          <x14:cfRule type="expression" priority="35" id="{0A364475-486F-F548-AA5E-0240AD74B6F5}">
            <xm:f>OR(Januar!$C14="ekskursion")</xm:f>
            <x14:dxf>
              <font>
                <color theme="1"/>
              </font>
              <fill>
                <patternFill>
                  <bgColor rgb="FFFFFF00"/>
                </patternFill>
              </fill>
            </x14:dxf>
          </x14:cfRule>
          <x14:cfRule type="expression" priority="34" id="{59A55BCC-8EC7-6B46-8D8B-F62C6CFA6265}">
            <xm:f>OR(Januar!$C14="SH-dag")</xm:f>
            <x14:dxf>
              <font>
                <color theme="1"/>
              </font>
              <fill>
                <patternFill>
                  <bgColor rgb="FFFF2F82"/>
                </patternFill>
              </fill>
            </x14:dxf>
          </x14:cfRule>
          <x14:cfRule type="expression" priority="33" id="{52D09256-9D97-6546-A35A-A627276E2390}">
            <xm:f>OR(Januar!$C14="nul-dag")</xm:f>
            <x14:dxf>
              <font>
                <color theme="1"/>
              </font>
              <fill>
                <patternFill>
                  <bgColor theme="5" tint="0.79998168889431442"/>
                </patternFill>
              </fill>
            </x14:dxf>
          </x14:cfRule>
          <x14:cfRule type="expression" priority="32" id="{7DE50EC5-7141-694F-940D-A8D18C9104D2}">
            <xm:f>OR(Januar!$C14="pæd.dag")</xm:f>
            <x14:dxf>
              <font>
                <color theme="1"/>
              </font>
              <fill>
                <patternFill>
                  <bgColor theme="7" tint="0.39994506668294322"/>
                </patternFill>
              </fill>
            </x14:dxf>
          </x14:cfRule>
          <x14:cfRule type="expression" priority="37" id="{C3669A06-ECE3-1C4C-8A9E-AC7AB2A13144}">
            <xm:f>OR(Januar!$C14="emnedag")</xm:f>
            <x14:dxf>
              <font>
                <color theme="1"/>
              </font>
              <fill>
                <patternFill>
                  <bgColor theme="5" tint="0.59996337778862885"/>
                </patternFill>
              </fill>
            </x14:dxf>
          </x14:cfRule>
          <x14:cfRule type="expression" priority="26" id="{FDE39F5A-D65C-1344-816C-86CD370A3ECF}">
            <xm:f>OR(Januar!$C14="Ikke relevant")</xm:f>
            <x14:dxf>
              <font>
                <color theme="0"/>
              </font>
              <fill>
                <patternFill>
                  <bgColor theme="1"/>
                </patternFill>
              </fill>
            </x14:dxf>
          </x14:cfRule>
          <x14:cfRule type="expression" priority="38" id="{2A6AFF4D-71BF-5445-99EA-CFA1FD023307}">
            <xm:f>OR(Januar!$C14="fagdag")</xm:f>
            <x14:dxf>
              <font>
                <color theme="1"/>
              </font>
              <fill>
                <patternFill>
                  <bgColor theme="9" tint="0.59996337778862885"/>
                </patternFill>
              </fill>
            </x14:dxf>
          </x14:cfRule>
          <x14:cfRule type="expression" priority="39" id="{D62CD6F0-FB94-BE49-8742-DBB545E12DAE}">
            <xm:f>OR(Januar!$C14="feriedag")</xm:f>
            <x14:dxf>
              <font>
                <color theme="1"/>
              </font>
              <fill>
                <patternFill>
                  <bgColor theme="6" tint="0.39994506668294322"/>
                </patternFill>
              </fill>
            </x14:dxf>
          </x14:cfRule>
          <x14:cfRule type="expression" priority="40" id="{90360773-D299-7A4E-8D20-330CE4CDECBF}">
            <xm:f>OR(Januar!$C14="weekend")</xm:f>
            <x14:dxf>
              <font>
                <color theme="1"/>
              </font>
              <fill>
                <patternFill>
                  <bgColor theme="0" tint="-0.14996795556505021"/>
                </patternFill>
              </fill>
            </x14:dxf>
          </x14:cfRule>
          <x14:cfRule type="expression" priority="41" stopIfTrue="1" id="{84623046-F60B-3C47-9B00-5232AB04FE96}">
            <xm:f>OR(Januar!$C14="Orlov")</xm:f>
            <x14:dxf>
              <font>
                <color theme="0"/>
              </font>
              <fill>
                <patternFill patternType="solid">
                  <bgColor theme="6" tint="-0.24994659260841701"/>
                </patternFill>
              </fill>
            </x14:dxf>
          </x14:cfRule>
          <x14:cfRule type="expression" priority="5" id="{62F71BAE-4588-E24E-A4E5-F0C02F99DE26}">
            <xm:f>OR(Januar!$C14="Skema 4")</xm:f>
            <x14:dxf>
              <font>
                <color theme="0"/>
              </font>
              <fill>
                <patternFill>
                  <bgColor theme="4" tint="-0.24994659260841701"/>
                </patternFill>
              </fill>
            </x14:dxf>
          </x14:cfRule>
          <x14:cfRule type="expression" priority="4" id="{F39B1262-9811-2243-A35C-56E5B44D5636}">
            <xm:f>OR(Januar!$C14="Skema 3")</xm:f>
            <x14:dxf>
              <font>
                <color theme="0"/>
              </font>
              <fill>
                <patternFill>
                  <bgColor theme="4" tint="0.39994506668294322"/>
                </patternFill>
              </fill>
            </x14:dxf>
          </x14:cfRule>
          <x14:cfRule type="expression" priority="3" id="{40A8624D-C4DB-6E47-AA8C-162FE7A3C02E}">
            <xm:f>OR(Januar!$C14="Skema 2")</xm:f>
            <x14:dxf>
              <font>
                <color theme="1"/>
              </font>
              <fill>
                <patternFill>
                  <bgColor theme="4" tint="0.59996337778862885"/>
                </patternFill>
              </fill>
            </x14:dxf>
          </x14:cfRule>
          <x14:cfRule type="expression" priority="2" id="{574FAC8E-B719-8248-AB94-253102EF7EAF}">
            <xm:f>OR(Januar!$C14="Skema 1")</xm:f>
            <x14:dxf>
              <font>
                <color theme="1"/>
              </font>
              <fill>
                <patternFill>
                  <bgColor theme="4" tint="0.79998168889431442"/>
                </patternFill>
              </fill>
            </x14:dxf>
          </x14:cfRule>
          <xm:sqref>Z3:AD33</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pageSetUpPr fitToPage="1"/>
  </sheetPr>
  <dimension ref="A1:AD40"/>
  <sheetViews>
    <sheetView showGridLines="0" showZeros="0" topLeftCell="A14" zoomScale="111" zoomScaleNormal="80" zoomScalePageLayoutView="80" workbookViewId="0">
      <selection activeCell="C9" sqref="C9"/>
    </sheetView>
  </sheetViews>
  <sheetFormatPr baseColWidth="10" defaultColWidth="12.5" defaultRowHeight="36" customHeight="1"/>
  <cols>
    <col min="1" max="2" width="4.33203125" style="72" customWidth="1"/>
    <col min="3" max="3" width="7.83203125" style="73" customWidth="1"/>
    <col min="4" max="4" width="20.1640625" style="73" customWidth="1"/>
    <col min="5" max="5" width="3.1640625" style="71" customWidth="1"/>
    <col min="6" max="7" width="4.33203125" style="72" customWidth="1"/>
    <col min="8" max="8" width="8" style="73" customWidth="1"/>
    <col min="9" max="9" width="20.33203125" style="73" customWidth="1"/>
    <col min="10" max="10" width="5" style="71" customWidth="1"/>
    <col min="11" max="12" width="4.33203125" style="72" customWidth="1"/>
    <col min="13" max="13" width="7.83203125" style="73" customWidth="1"/>
    <col min="14" max="14" width="20.1640625" style="73" customWidth="1"/>
    <col min="15" max="15" width="4" style="71" customWidth="1"/>
    <col min="16" max="17" width="4.33203125" style="72" customWidth="1"/>
    <col min="18" max="18" width="7.83203125" style="73" customWidth="1"/>
    <col min="19" max="19" width="20.1640625" style="73" customWidth="1"/>
    <col min="20" max="20" width="4" style="71" customWidth="1"/>
    <col min="21" max="21" width="5.33203125" style="72" customWidth="1"/>
    <col min="22" max="22" width="4.33203125" style="72" customWidth="1"/>
    <col min="23" max="23" width="7.83203125" style="73" customWidth="1"/>
    <col min="24" max="24" width="20.1640625" style="73" customWidth="1"/>
    <col min="25" max="25" width="4" style="71" customWidth="1"/>
    <col min="26" max="27" width="4.33203125" style="72" customWidth="1"/>
    <col min="28" max="28" width="7.83203125" style="73" customWidth="1"/>
    <col min="29" max="29" width="20.1640625" style="73" customWidth="1"/>
    <col min="30" max="30" width="4" style="71" customWidth="1"/>
    <col min="31" max="16384" width="12.5" style="60"/>
  </cols>
  <sheetData>
    <row r="1" spans="1:30" ht="36" customHeight="1">
      <c r="A1" s="581" t="str">
        <f>'1.halvaar'!A1</f>
        <v>Halvårskalender for Beate Simonsen vedr. skoleåret 2026-2027</v>
      </c>
      <c r="B1" s="582"/>
      <c r="C1" s="583"/>
      <c r="D1" s="583"/>
      <c r="E1" s="584"/>
      <c r="F1" s="585"/>
      <c r="G1" s="582"/>
      <c r="H1" s="583"/>
      <c r="I1" s="583"/>
      <c r="J1" s="586"/>
      <c r="K1" s="585"/>
      <c r="L1" s="582"/>
      <c r="M1" s="583"/>
      <c r="N1" s="583"/>
      <c r="O1" s="586"/>
      <c r="P1" s="585"/>
      <c r="Q1" s="582"/>
      <c r="R1" s="583"/>
      <c r="S1" s="583"/>
      <c r="T1" s="586"/>
      <c r="U1" s="585"/>
      <c r="V1" s="582"/>
      <c r="W1" s="583"/>
      <c r="X1" s="583"/>
      <c r="Y1" s="586"/>
      <c r="Z1" s="585"/>
      <c r="AA1" s="582"/>
      <c r="AB1" s="583"/>
      <c r="AC1" s="583"/>
      <c r="AD1" s="584"/>
    </row>
    <row r="2" spans="1:30" s="59" customFormat="1" ht="23" customHeight="1">
      <c r="A2" s="575" t="s">
        <v>98</v>
      </c>
      <c r="B2" s="571"/>
      <c r="C2" s="572"/>
      <c r="D2" s="572"/>
      <c r="E2" s="573"/>
      <c r="F2" s="570" t="s">
        <v>99</v>
      </c>
      <c r="G2" s="571"/>
      <c r="H2" s="572"/>
      <c r="I2" s="572"/>
      <c r="J2" s="573"/>
      <c r="K2" s="570" t="s">
        <v>100</v>
      </c>
      <c r="L2" s="571"/>
      <c r="M2" s="572"/>
      <c r="N2" s="572"/>
      <c r="O2" s="573"/>
      <c r="P2" s="570" t="s">
        <v>101</v>
      </c>
      <c r="Q2" s="571"/>
      <c r="R2" s="572"/>
      <c r="S2" s="572"/>
      <c r="T2" s="573"/>
      <c r="U2" s="570" t="s">
        <v>102</v>
      </c>
      <c r="V2" s="571"/>
      <c r="W2" s="572"/>
      <c r="X2" s="572"/>
      <c r="Y2" s="573"/>
      <c r="Z2" s="570" t="s">
        <v>103</v>
      </c>
      <c r="AA2" s="571"/>
      <c r="AB2" s="572"/>
      <c r="AC2" s="572"/>
      <c r="AD2" s="573"/>
    </row>
    <row r="3" spans="1:30" ht="23" customHeight="1">
      <c r="A3" s="576">
        <f>Aar!Y3</f>
        <v>1</v>
      </c>
      <c r="B3" s="577" t="str">
        <f>Aar!Z3</f>
        <v>ma</v>
      </c>
      <c r="C3" s="578" t="str">
        <f>Februar!C14</f>
        <v>Skema 1</v>
      </c>
      <c r="D3" s="579" t="str">
        <f>Februar!DN14</f>
        <v/>
      </c>
      <c r="E3" s="580">
        <f>Februar!D14</f>
        <v>5.4285714285714288</v>
      </c>
      <c r="F3" s="125">
        <f>Aar!AC3</f>
        <v>1</v>
      </c>
      <c r="G3" s="125" t="str">
        <f>Aar!AD3</f>
        <v>ma</v>
      </c>
      <c r="H3" s="125" t="str">
        <f>Aar!AE3</f>
        <v>Skema 1</v>
      </c>
      <c r="I3" s="565" t="str">
        <f>Marts!DN14</f>
        <v/>
      </c>
      <c r="J3" s="561">
        <f>Marts!D14</f>
        <v>9.4285714285714288</v>
      </c>
      <c r="K3" s="125">
        <f>Aar!AG3</f>
        <v>1</v>
      </c>
      <c r="L3" s="125" t="str">
        <f>Aar!AH3</f>
        <v>to</v>
      </c>
      <c r="M3" s="125" t="str">
        <f>Aar!AI3</f>
        <v>Skema 1</v>
      </c>
      <c r="N3" s="565" t="str">
        <f>April!DN14</f>
        <v/>
      </c>
      <c r="O3" s="559" t="str">
        <f>April!D14</f>
        <v/>
      </c>
      <c r="P3" s="560">
        <f>Aar!AK3</f>
        <v>1</v>
      </c>
      <c r="Q3" s="125" t="str">
        <f>Aar!AL3</f>
        <v>lø</v>
      </c>
      <c r="R3" s="125" t="str">
        <f>Aar!AM3</f>
        <v>Weekend</v>
      </c>
      <c r="S3" s="565" t="str">
        <f>Maj!DN14</f>
        <v/>
      </c>
      <c r="T3" s="561" t="str">
        <f>Maj!D14</f>
        <v/>
      </c>
      <c r="U3" s="560">
        <f>Aar!AO3</f>
        <v>1</v>
      </c>
      <c r="V3" s="125" t="str">
        <f>Aar!AP3</f>
        <v>ti</v>
      </c>
      <c r="W3" s="125" t="str">
        <f>Aar!AQ3</f>
        <v>Skema 1</v>
      </c>
      <c r="X3" s="565" t="str">
        <f>Juni!DN14</f>
        <v/>
      </c>
      <c r="Y3" s="559" t="str">
        <f>Juni!D14</f>
        <v/>
      </c>
      <c r="Z3" s="560">
        <f>Aar!AS3</f>
        <v>1</v>
      </c>
      <c r="AA3" s="125" t="str">
        <f>Aar!AT3</f>
        <v>to</v>
      </c>
      <c r="AB3" s="125" t="str">
        <f>Aar!AU3</f>
        <v>Nul-dag</v>
      </c>
      <c r="AC3" s="565" t="str">
        <f>Juli!DN14</f>
        <v/>
      </c>
      <c r="AD3" s="561" t="str">
        <f>Juli!D14</f>
        <v/>
      </c>
    </row>
    <row r="4" spans="1:30" ht="23" customHeight="1">
      <c r="A4" s="560">
        <f>Aar!Y4</f>
        <v>2</v>
      </c>
      <c r="B4" s="125" t="str">
        <f>Aar!Z4</f>
        <v>ti</v>
      </c>
      <c r="C4" s="126" t="str">
        <f>Februar!C15</f>
        <v>Skema 1</v>
      </c>
      <c r="D4" s="564" t="str">
        <f>Februar!DN15</f>
        <v/>
      </c>
      <c r="E4" s="563" t="str">
        <f>Aar!AB4</f>
        <v/>
      </c>
      <c r="F4" s="125">
        <f>Aar!AC4</f>
        <v>2</v>
      </c>
      <c r="G4" s="125" t="str">
        <f>Aar!AD4</f>
        <v>ti</v>
      </c>
      <c r="H4" s="125" t="str">
        <f>Aar!AE4</f>
        <v>Fagdag</v>
      </c>
      <c r="I4" s="565" t="str">
        <f>Marts!DN15</f>
        <v>Matematik i skoven</v>
      </c>
      <c r="J4" s="561" t="str">
        <f>Marts!D15</f>
        <v/>
      </c>
      <c r="K4" s="125">
        <f>Aar!AG4</f>
        <v>2</v>
      </c>
      <c r="L4" s="125" t="str">
        <f>Aar!AH4</f>
        <v>fr</v>
      </c>
      <c r="M4" s="125" t="str">
        <f>Aar!AI4</f>
        <v>Skema 1</v>
      </c>
      <c r="N4" s="565" t="str">
        <f>April!DN15</f>
        <v/>
      </c>
      <c r="O4" s="559" t="str">
        <f>April!D15</f>
        <v/>
      </c>
      <c r="P4" s="560">
        <f>Aar!AK4</f>
        <v>2</v>
      </c>
      <c r="Q4" s="125" t="str">
        <f>Aar!AL4</f>
        <v>sø</v>
      </c>
      <c r="R4" s="125" t="str">
        <f>Aar!AM4</f>
        <v>Weekend</v>
      </c>
      <c r="S4" s="565" t="str">
        <f>Maj!DN15</f>
        <v/>
      </c>
      <c r="T4" s="561" t="str">
        <f>Maj!D15</f>
        <v/>
      </c>
      <c r="U4" s="560">
        <f>Aar!AO4</f>
        <v>2</v>
      </c>
      <c r="V4" s="125" t="str">
        <f>Aar!AP4</f>
        <v>on</v>
      </c>
      <c r="W4" s="125" t="str">
        <f>Aar!AQ4</f>
        <v>Skema 1</v>
      </c>
      <c r="X4" s="565" t="str">
        <f>Juni!DN15</f>
        <v/>
      </c>
      <c r="Y4" s="559" t="str">
        <f>Juni!D15</f>
        <v/>
      </c>
      <c r="Z4" s="560">
        <f>Aar!AS4</f>
        <v>2</v>
      </c>
      <c r="AA4" s="125" t="str">
        <f>Aar!AT4</f>
        <v>fr</v>
      </c>
      <c r="AB4" s="125" t="str">
        <f>Aar!AU4</f>
        <v>Nul-dag</v>
      </c>
      <c r="AC4" s="565" t="str">
        <f>Juli!DN15</f>
        <v/>
      </c>
      <c r="AD4" s="561" t="str">
        <f>Juli!D15</f>
        <v/>
      </c>
    </row>
    <row r="5" spans="1:30" ht="23" customHeight="1">
      <c r="A5" s="560">
        <f>Aar!Y5</f>
        <v>3</v>
      </c>
      <c r="B5" s="125" t="str">
        <f>Aar!Z5</f>
        <v>on</v>
      </c>
      <c r="C5" s="126" t="str">
        <f>Februar!C16</f>
        <v>Skema 1</v>
      </c>
      <c r="D5" s="564" t="str">
        <f>Februar!DN16</f>
        <v/>
      </c>
      <c r="E5" s="563" t="str">
        <f>Aar!AB5</f>
        <v/>
      </c>
      <c r="F5" s="125">
        <f>Aar!AC5</f>
        <v>3</v>
      </c>
      <c r="G5" s="125" t="str">
        <f>Aar!AD5</f>
        <v>on</v>
      </c>
      <c r="H5" s="125" t="str">
        <f>Aar!AE5</f>
        <v>Skema 1</v>
      </c>
      <c r="I5" s="565" t="str">
        <f>Marts!DN16</f>
        <v/>
      </c>
      <c r="J5" s="561" t="str">
        <f>Marts!D16</f>
        <v/>
      </c>
      <c r="K5" s="125">
        <f>Aar!AG5</f>
        <v>3</v>
      </c>
      <c r="L5" s="125" t="str">
        <f>Aar!AH5</f>
        <v>lø</v>
      </c>
      <c r="M5" s="125" t="str">
        <f>Aar!AI5</f>
        <v>Weekend</v>
      </c>
      <c r="N5" s="565" t="str">
        <f>April!DN16</f>
        <v/>
      </c>
      <c r="O5" s="559" t="str">
        <f>April!D16</f>
        <v/>
      </c>
      <c r="P5" s="560">
        <f>Aar!AK5</f>
        <v>3</v>
      </c>
      <c r="Q5" s="125" t="str">
        <f>Aar!AL5</f>
        <v>ma</v>
      </c>
      <c r="R5" s="125" t="str">
        <f>Aar!AM5</f>
        <v>Skema 1</v>
      </c>
      <c r="S5" s="565" t="str">
        <f>Maj!DN16</f>
        <v/>
      </c>
      <c r="T5" s="561">
        <f>Maj!D16</f>
        <v>18.428571428571427</v>
      </c>
      <c r="U5" s="560">
        <f>Aar!AO5</f>
        <v>3</v>
      </c>
      <c r="V5" s="125" t="str">
        <f>Aar!AP5</f>
        <v>to</v>
      </c>
      <c r="W5" s="125" t="str">
        <f>Aar!AQ5</f>
        <v>Skema 1</v>
      </c>
      <c r="X5" s="565" t="str">
        <f>Juni!DN16</f>
        <v/>
      </c>
      <c r="Y5" s="559" t="str">
        <f>Juni!D16</f>
        <v/>
      </c>
      <c r="Z5" s="560">
        <f>Aar!AS5</f>
        <v>3</v>
      </c>
      <c r="AA5" s="125" t="str">
        <f>Aar!AT5</f>
        <v>lø</v>
      </c>
      <c r="AB5" s="125" t="str">
        <f>Aar!AU5</f>
        <v>Weekend</v>
      </c>
      <c r="AC5" s="565" t="str">
        <f>Juli!DN16</f>
        <v/>
      </c>
      <c r="AD5" s="561" t="str">
        <f>Juli!D16</f>
        <v/>
      </c>
    </row>
    <row r="6" spans="1:30" ht="23" customHeight="1">
      <c r="A6" s="560">
        <f>Aar!Y6</f>
        <v>4</v>
      </c>
      <c r="B6" s="125" t="str">
        <f>Aar!Z6</f>
        <v>to</v>
      </c>
      <c r="C6" s="126" t="str">
        <f>Februar!C17</f>
        <v>Skema 1</v>
      </c>
      <c r="D6" s="564" t="str">
        <f>Februar!DN17</f>
        <v/>
      </c>
      <c r="E6" s="563" t="str">
        <f>Aar!AB6</f>
        <v/>
      </c>
      <c r="F6" s="125">
        <f>Aar!AC6</f>
        <v>4</v>
      </c>
      <c r="G6" s="125" t="str">
        <f>Aar!AD6</f>
        <v>to</v>
      </c>
      <c r="H6" s="125" t="str">
        <f>Aar!AE6</f>
        <v>Skema 1</v>
      </c>
      <c r="I6" s="565" t="str">
        <f>Marts!DN17</f>
        <v/>
      </c>
      <c r="J6" s="561" t="str">
        <f>Marts!D17</f>
        <v/>
      </c>
      <c r="K6" s="125">
        <f>Aar!AG6</f>
        <v>4</v>
      </c>
      <c r="L6" s="125" t="str">
        <f>Aar!AH6</f>
        <v>sø</v>
      </c>
      <c r="M6" s="125" t="str">
        <f>Aar!AI6</f>
        <v>Weekend</v>
      </c>
      <c r="N6" s="565" t="str">
        <f>April!DN17</f>
        <v/>
      </c>
      <c r="O6" s="559" t="str">
        <f>April!D17</f>
        <v/>
      </c>
      <c r="P6" s="560">
        <f>Aar!AK6</f>
        <v>4</v>
      </c>
      <c r="Q6" s="125" t="str">
        <f>Aar!AL6</f>
        <v>ti</v>
      </c>
      <c r="R6" s="125" t="str">
        <f>Aar!AM6</f>
        <v>Skema 1</v>
      </c>
      <c r="S6" s="565" t="str">
        <f>Maj!DN17</f>
        <v/>
      </c>
      <c r="T6" s="561" t="str">
        <f>Maj!D17</f>
        <v/>
      </c>
      <c r="U6" s="560">
        <f>Aar!AO6</f>
        <v>4</v>
      </c>
      <c r="V6" s="125" t="str">
        <f>Aar!AP6</f>
        <v>fr</v>
      </c>
      <c r="W6" s="125" t="str">
        <f>Aar!AQ6</f>
        <v>Skema 1</v>
      </c>
      <c r="X6" s="565" t="str">
        <f>Juni!DN17</f>
        <v/>
      </c>
      <c r="Y6" s="559" t="str">
        <f>Juni!D17</f>
        <v/>
      </c>
      <c r="Z6" s="560">
        <f>Aar!AS6</f>
        <v>4</v>
      </c>
      <c r="AA6" s="125" t="str">
        <f>Aar!AT6</f>
        <v>sø</v>
      </c>
      <c r="AB6" s="125" t="str">
        <f>Aar!AU6</f>
        <v>Weekend</v>
      </c>
      <c r="AC6" s="565" t="str">
        <f>Juli!DN17</f>
        <v/>
      </c>
      <c r="AD6" s="561" t="str">
        <f>Juli!D17</f>
        <v/>
      </c>
    </row>
    <row r="7" spans="1:30" ht="23" customHeight="1">
      <c r="A7" s="560">
        <f>Aar!Y7</f>
        <v>5</v>
      </c>
      <c r="B7" s="125" t="str">
        <f>Aar!Z7</f>
        <v>fr</v>
      </c>
      <c r="C7" s="126" t="str">
        <f>Februar!C18</f>
        <v>Skema 1</v>
      </c>
      <c r="D7" s="564" t="str">
        <f>Februar!DN18</f>
        <v/>
      </c>
      <c r="E7" s="563" t="str">
        <f>Aar!AB7</f>
        <v/>
      </c>
      <c r="F7" s="125">
        <f>Aar!AC7</f>
        <v>5</v>
      </c>
      <c r="G7" s="125" t="str">
        <f>Aar!AD7</f>
        <v>fr</v>
      </c>
      <c r="H7" s="125" t="str">
        <f>Aar!AE7</f>
        <v>Pæd.dag</v>
      </c>
      <c r="I7" s="565" t="str">
        <f>Marts!DN18</f>
        <v>Planlægning af det kommende skoleår</v>
      </c>
      <c r="J7" s="561" t="str">
        <f>Marts!D18</f>
        <v/>
      </c>
      <c r="K7" s="125">
        <f>Aar!AG7</f>
        <v>5</v>
      </c>
      <c r="L7" s="125" t="str">
        <f>Aar!AH7</f>
        <v>ma</v>
      </c>
      <c r="M7" s="125" t="str">
        <f>Aar!AI7</f>
        <v>Skema 1</v>
      </c>
      <c r="N7" s="565" t="str">
        <f>April!DN18</f>
        <v/>
      </c>
      <c r="O7" s="559">
        <f>April!D18</f>
        <v>14.428571428571429</v>
      </c>
      <c r="P7" s="560">
        <f>Aar!AK7</f>
        <v>5</v>
      </c>
      <c r="Q7" s="125" t="str">
        <f>Aar!AL7</f>
        <v>on</v>
      </c>
      <c r="R7" s="125" t="str">
        <f>Aar!AM7</f>
        <v>Skema 1</v>
      </c>
      <c r="S7" s="565" t="str">
        <f>Maj!DN18</f>
        <v/>
      </c>
      <c r="T7" s="561" t="str">
        <f>Maj!D18</f>
        <v/>
      </c>
      <c r="U7" s="560">
        <f>Aar!AO7</f>
        <v>5</v>
      </c>
      <c r="V7" s="125" t="str">
        <f>Aar!AP7</f>
        <v>lø</v>
      </c>
      <c r="W7" s="125" t="str">
        <f>Aar!AQ7</f>
        <v>Weekend</v>
      </c>
      <c r="X7" s="565" t="str">
        <f>Juni!DN18</f>
        <v/>
      </c>
      <c r="Y7" s="559" t="str">
        <f>Juni!D18</f>
        <v/>
      </c>
      <c r="Z7" s="560">
        <f>Aar!AS7</f>
        <v>5</v>
      </c>
      <c r="AA7" s="125" t="str">
        <f>Aar!AT7</f>
        <v>ma</v>
      </c>
      <c r="AB7" s="125" t="str">
        <f>Aar!AU7</f>
        <v>Nul-dag</v>
      </c>
      <c r="AC7" s="565" t="str">
        <f>Juli!DN18</f>
        <v/>
      </c>
      <c r="AD7" s="561">
        <f>Juli!D18</f>
        <v>27.428571428571427</v>
      </c>
    </row>
    <row r="8" spans="1:30" ht="23" customHeight="1">
      <c r="A8" s="560">
        <f>Aar!Y8</f>
        <v>6</v>
      </c>
      <c r="B8" s="125" t="str">
        <f>Aar!Z8</f>
        <v>lø</v>
      </c>
      <c r="C8" s="126" t="str">
        <f>Februar!C19</f>
        <v>Weekend</v>
      </c>
      <c r="D8" s="564" t="str">
        <f>Februar!DN19</f>
        <v/>
      </c>
      <c r="E8" s="563" t="str">
        <f>Aar!AB8</f>
        <v/>
      </c>
      <c r="F8" s="125">
        <f>Aar!AC8</f>
        <v>6</v>
      </c>
      <c r="G8" s="125" t="str">
        <f>Aar!AD8</f>
        <v>lø</v>
      </c>
      <c r="H8" s="125" t="str">
        <f>Aar!AE8</f>
        <v>Pæd.dag</v>
      </c>
      <c r="I8" s="565" t="str">
        <f>Marts!DN19</f>
        <v>Planlægning af det kommende skoleår</v>
      </c>
      <c r="J8" s="561" t="str">
        <f>Marts!D19</f>
        <v/>
      </c>
      <c r="K8" s="125">
        <f>Aar!AG8</f>
        <v>6</v>
      </c>
      <c r="L8" s="125" t="str">
        <f>Aar!AH8</f>
        <v>ti</v>
      </c>
      <c r="M8" s="125" t="str">
        <f>Aar!AI8</f>
        <v>Skema 1</v>
      </c>
      <c r="N8" s="565" t="str">
        <f>April!DN19</f>
        <v/>
      </c>
      <c r="O8" s="559" t="str">
        <f>April!D19</f>
        <v/>
      </c>
      <c r="P8" s="560">
        <f>Aar!AK8</f>
        <v>6</v>
      </c>
      <c r="Q8" s="125" t="str">
        <f>Aar!AL8</f>
        <v>to</v>
      </c>
      <c r="R8" s="125" t="str">
        <f>Aar!AM8</f>
        <v>SH-dag</v>
      </c>
      <c r="S8" s="565" t="str">
        <f>Maj!DN19</f>
        <v>Kr. himmelfartsdag</v>
      </c>
      <c r="T8" s="561" t="str">
        <f>Maj!D19</f>
        <v/>
      </c>
      <c r="U8" s="560">
        <f>Aar!AO8</f>
        <v>6</v>
      </c>
      <c r="V8" s="125" t="str">
        <f>Aar!AP8</f>
        <v>sø</v>
      </c>
      <c r="W8" s="125" t="str">
        <f>Aar!AQ8</f>
        <v>Weekend</v>
      </c>
      <c r="X8" s="565" t="str">
        <f>Juni!DN19</f>
        <v/>
      </c>
      <c r="Y8" s="559" t="str">
        <f>Juni!D19</f>
        <v/>
      </c>
      <c r="Z8" s="560">
        <f>Aar!AS8</f>
        <v>6</v>
      </c>
      <c r="AA8" s="125" t="str">
        <f>Aar!AT8</f>
        <v>ti</v>
      </c>
      <c r="AB8" s="125" t="str">
        <f>Aar!AU8</f>
        <v>Nul-dag</v>
      </c>
      <c r="AC8" s="565" t="str">
        <f>Juli!DN19</f>
        <v/>
      </c>
      <c r="AD8" s="561" t="str">
        <f>Juli!D19</f>
        <v/>
      </c>
    </row>
    <row r="9" spans="1:30" ht="23" customHeight="1">
      <c r="A9" s="560">
        <f>Aar!Y9</f>
        <v>7</v>
      </c>
      <c r="B9" s="125" t="str">
        <f>Aar!Z9</f>
        <v>sø</v>
      </c>
      <c r="C9" s="126" t="str">
        <f>Februar!C20</f>
        <v>Weekend</v>
      </c>
      <c r="D9" s="564" t="str">
        <f>Februar!DN20</f>
        <v/>
      </c>
      <c r="E9" s="563" t="str">
        <f>Aar!AB9</f>
        <v/>
      </c>
      <c r="F9" s="125">
        <f>Aar!AC9</f>
        <v>7</v>
      </c>
      <c r="G9" s="125" t="str">
        <f>Aar!AD9</f>
        <v>sø</v>
      </c>
      <c r="H9" s="125" t="str">
        <f>Aar!AE9</f>
        <v>Weekend</v>
      </c>
      <c r="I9" s="565" t="str">
        <f>Marts!DN20</f>
        <v/>
      </c>
      <c r="J9" s="561" t="str">
        <f>Marts!D20</f>
        <v/>
      </c>
      <c r="K9" s="125">
        <f>Aar!AG9</f>
        <v>7</v>
      </c>
      <c r="L9" s="125" t="str">
        <f>Aar!AH9</f>
        <v>on</v>
      </c>
      <c r="M9" s="125" t="str">
        <f>Aar!AI9</f>
        <v>Skema 1</v>
      </c>
      <c r="N9" s="565" t="str">
        <f>April!DN20</f>
        <v/>
      </c>
      <c r="O9" s="559" t="str">
        <f>April!D20</f>
        <v/>
      </c>
      <c r="P9" s="560">
        <f>Aar!AK9</f>
        <v>7</v>
      </c>
      <c r="Q9" s="125" t="str">
        <f>Aar!AL9</f>
        <v>fr</v>
      </c>
      <c r="R9" s="125" t="str">
        <f>Aar!AM9</f>
        <v>Nul-dag</v>
      </c>
      <c r="S9" s="565" t="str">
        <f>Maj!DN20</f>
        <v/>
      </c>
      <c r="T9" s="561" t="str">
        <f>Maj!D20</f>
        <v/>
      </c>
      <c r="U9" s="560">
        <f>Aar!AO9</f>
        <v>7</v>
      </c>
      <c r="V9" s="125" t="str">
        <f>Aar!AP9</f>
        <v>ma</v>
      </c>
      <c r="W9" s="125" t="str">
        <f>Aar!AQ9</f>
        <v>Skema 1</v>
      </c>
      <c r="X9" s="565" t="str">
        <f>Juni!DN20</f>
        <v/>
      </c>
      <c r="Y9" s="559">
        <f>Juni!D20</f>
        <v>23.428571428571427</v>
      </c>
      <c r="Z9" s="560">
        <f>Aar!AS9</f>
        <v>7</v>
      </c>
      <c r="AA9" s="125" t="str">
        <f>Aar!AT9</f>
        <v>on</v>
      </c>
      <c r="AB9" s="125" t="str">
        <f>Aar!AU9</f>
        <v>Feriedag</v>
      </c>
      <c r="AC9" s="565" t="str">
        <f>Juli!DN20</f>
        <v>Sommerferie</v>
      </c>
      <c r="AD9" s="561" t="str">
        <f>Juli!D20</f>
        <v/>
      </c>
    </row>
    <row r="10" spans="1:30" ht="23" customHeight="1">
      <c r="A10" s="560">
        <f>Aar!Y10</f>
        <v>8</v>
      </c>
      <c r="B10" s="125" t="str">
        <f>Aar!Z10</f>
        <v>ma</v>
      </c>
      <c r="C10" s="126" t="str">
        <f>Februar!C21</f>
        <v>Skema 1</v>
      </c>
      <c r="D10" s="564" t="str">
        <f>Februar!DN21</f>
        <v/>
      </c>
      <c r="E10" s="563">
        <f>Aar!AB10</f>
        <v>6.4285714285714288</v>
      </c>
      <c r="F10" s="125">
        <f>Aar!AC10</f>
        <v>8</v>
      </c>
      <c r="G10" s="125" t="str">
        <f>Aar!AD10</f>
        <v>ma</v>
      </c>
      <c r="H10" s="125" t="str">
        <f>Aar!AE10</f>
        <v>Skema 1</v>
      </c>
      <c r="I10" s="565" t="str">
        <f>Marts!DN21</f>
        <v/>
      </c>
      <c r="J10" s="561">
        <f>Marts!D21</f>
        <v>10.428571428571429</v>
      </c>
      <c r="K10" s="125">
        <f>Aar!AG10</f>
        <v>8</v>
      </c>
      <c r="L10" s="125" t="str">
        <f>Aar!AH10</f>
        <v>to</v>
      </c>
      <c r="M10" s="125" t="str">
        <f>Aar!AI10</f>
        <v>Skema 1</v>
      </c>
      <c r="N10" s="565" t="str">
        <f>April!DN21</f>
        <v/>
      </c>
      <c r="O10" s="559" t="str">
        <f>April!D21</f>
        <v/>
      </c>
      <c r="P10" s="560">
        <f>Aar!AK10</f>
        <v>8</v>
      </c>
      <c r="Q10" s="125" t="str">
        <f>Aar!AL10</f>
        <v>lø</v>
      </c>
      <c r="R10" s="125" t="str">
        <f>Aar!AM10</f>
        <v>Weekend</v>
      </c>
      <c r="S10" s="565" t="str">
        <f>Maj!DN21</f>
        <v/>
      </c>
      <c r="T10" s="561" t="str">
        <f>Maj!D21</f>
        <v/>
      </c>
      <c r="U10" s="560">
        <f>Aar!AO10</f>
        <v>8</v>
      </c>
      <c r="V10" s="125" t="str">
        <f>Aar!AP10</f>
        <v>ti</v>
      </c>
      <c r="W10" s="125" t="str">
        <f>Aar!AQ10</f>
        <v>Skema 1</v>
      </c>
      <c r="X10" s="565" t="str">
        <f>Juni!DN21</f>
        <v/>
      </c>
      <c r="Y10" s="559" t="str">
        <f>Juni!D21</f>
        <v/>
      </c>
      <c r="Z10" s="560">
        <f>Aar!AS10</f>
        <v>8</v>
      </c>
      <c r="AA10" s="125" t="str">
        <f>Aar!AT10</f>
        <v>to</v>
      </c>
      <c r="AB10" s="125" t="str">
        <f>Aar!AU10</f>
        <v>Feriedag</v>
      </c>
      <c r="AC10" s="565" t="str">
        <f>Juli!DN21</f>
        <v>Sommerferie</v>
      </c>
      <c r="AD10" s="561" t="str">
        <f>Juli!D21</f>
        <v/>
      </c>
    </row>
    <row r="11" spans="1:30" ht="23" customHeight="1">
      <c r="A11" s="560">
        <f>Aar!Y11</f>
        <v>9</v>
      </c>
      <c r="B11" s="125" t="str">
        <f>Aar!Z11</f>
        <v>ti</v>
      </c>
      <c r="C11" s="126" t="str">
        <f>Februar!C22</f>
        <v>Skema 1</v>
      </c>
      <c r="D11" s="564" t="str">
        <f>Februar!DN22</f>
        <v/>
      </c>
      <c r="E11" s="563" t="str">
        <f>Aar!AB11</f>
        <v/>
      </c>
      <c r="F11" s="125">
        <f>Aar!AC11</f>
        <v>9</v>
      </c>
      <c r="G11" s="125" t="str">
        <f>Aar!AD11</f>
        <v>ti</v>
      </c>
      <c r="H11" s="125" t="str">
        <f>Aar!AE11</f>
        <v>Skema 1</v>
      </c>
      <c r="I11" s="565" t="str">
        <f>Marts!DN22</f>
        <v>Skolehjem</v>
      </c>
      <c r="J11" s="561" t="str">
        <f>Marts!D22</f>
        <v/>
      </c>
      <c r="K11" s="125">
        <f>Aar!AG11</f>
        <v>9</v>
      </c>
      <c r="L11" s="125" t="str">
        <f>Aar!AH11</f>
        <v>fr</v>
      </c>
      <c r="M11" s="125" t="str">
        <f>Aar!AI11</f>
        <v>Skema 1</v>
      </c>
      <c r="N11" s="565" t="str">
        <f>April!DN22</f>
        <v/>
      </c>
      <c r="O11" s="559" t="str">
        <f>April!D22</f>
        <v/>
      </c>
      <c r="P11" s="560">
        <f>Aar!AK11</f>
        <v>9</v>
      </c>
      <c r="Q11" s="125" t="str">
        <f>Aar!AL11</f>
        <v>sø</v>
      </c>
      <c r="R11" s="125" t="str">
        <f>Aar!AM11</f>
        <v>Weekend</v>
      </c>
      <c r="S11" s="565" t="str">
        <f>Maj!DN22</f>
        <v/>
      </c>
      <c r="T11" s="561" t="str">
        <f>Maj!D22</f>
        <v/>
      </c>
      <c r="U11" s="560">
        <f>Aar!AO11</f>
        <v>9</v>
      </c>
      <c r="V11" s="125" t="str">
        <f>Aar!AP11</f>
        <v>on</v>
      </c>
      <c r="W11" s="125" t="str">
        <f>Aar!AQ11</f>
        <v>Skema 1</v>
      </c>
      <c r="X11" s="565" t="str">
        <f>Juni!DN22</f>
        <v/>
      </c>
      <c r="Y11" s="559" t="str">
        <f>Juni!D22</f>
        <v/>
      </c>
      <c r="Z11" s="560">
        <f>Aar!AS11</f>
        <v>9</v>
      </c>
      <c r="AA11" s="125" t="str">
        <f>Aar!AT11</f>
        <v>fr</v>
      </c>
      <c r="AB11" s="125" t="str">
        <f>Aar!AU11</f>
        <v>Feriedag</v>
      </c>
      <c r="AC11" s="565" t="str">
        <f>Juli!DN22</f>
        <v>Sommerferie</v>
      </c>
      <c r="AD11" s="561" t="str">
        <f>Juli!D22</f>
        <v/>
      </c>
    </row>
    <row r="12" spans="1:30" ht="23" customHeight="1">
      <c r="A12" s="560">
        <f>Aar!Y12</f>
        <v>10</v>
      </c>
      <c r="B12" s="125" t="str">
        <f>Aar!Z12</f>
        <v>on</v>
      </c>
      <c r="C12" s="126" t="str">
        <f>Februar!C23</f>
        <v>Skema 1</v>
      </c>
      <c r="D12" s="564" t="str">
        <f>Februar!DN23</f>
        <v/>
      </c>
      <c r="E12" s="563" t="str">
        <f>Aar!AB12</f>
        <v/>
      </c>
      <c r="F12" s="125">
        <f>Aar!AC12</f>
        <v>10</v>
      </c>
      <c r="G12" s="125" t="str">
        <f>Aar!AD12</f>
        <v>on</v>
      </c>
      <c r="H12" s="125" t="str">
        <f>Aar!AE12</f>
        <v>Skema 1</v>
      </c>
      <c r="I12" s="565" t="str">
        <f>Marts!DN23</f>
        <v/>
      </c>
      <c r="J12" s="561" t="str">
        <f>Marts!D23</f>
        <v/>
      </c>
      <c r="K12" s="125">
        <f>Aar!AG12</f>
        <v>10</v>
      </c>
      <c r="L12" s="125" t="str">
        <f>Aar!AH12</f>
        <v>lø</v>
      </c>
      <c r="M12" s="125" t="str">
        <f>Aar!AI12</f>
        <v>Weekend</v>
      </c>
      <c r="N12" s="565" t="str">
        <f>April!DN23</f>
        <v/>
      </c>
      <c r="O12" s="559" t="str">
        <f>April!D23</f>
        <v/>
      </c>
      <c r="P12" s="560">
        <f>Aar!AK12</f>
        <v>10</v>
      </c>
      <c r="Q12" s="125" t="str">
        <f>Aar!AL12</f>
        <v>ma</v>
      </c>
      <c r="R12" s="125" t="str">
        <f>Aar!AM12</f>
        <v>Skema 1</v>
      </c>
      <c r="S12" s="565" t="str">
        <f>Maj!DN23</f>
        <v/>
      </c>
      <c r="T12" s="561">
        <f>Maj!D23</f>
        <v>19.428571428571427</v>
      </c>
      <c r="U12" s="560">
        <f>Aar!AO12</f>
        <v>10</v>
      </c>
      <c r="V12" s="125" t="str">
        <f>Aar!AP12</f>
        <v>to</v>
      </c>
      <c r="W12" s="125" t="str">
        <f>Aar!AQ12</f>
        <v>Skema 1</v>
      </c>
      <c r="X12" s="565" t="str">
        <f>Juni!DN23</f>
        <v>Lærermøde</v>
      </c>
      <c r="Y12" s="559" t="str">
        <f>Juni!D23</f>
        <v/>
      </c>
      <c r="Z12" s="560">
        <f>Aar!AS12</f>
        <v>10</v>
      </c>
      <c r="AA12" s="125" t="str">
        <f>Aar!AT12</f>
        <v>lø</v>
      </c>
      <c r="AB12" s="125" t="str">
        <f>Aar!AU12</f>
        <v>Weekend</v>
      </c>
      <c r="AC12" s="565" t="str">
        <f>Juli!DN23</f>
        <v/>
      </c>
      <c r="AD12" s="561" t="str">
        <f>Juli!D23</f>
        <v/>
      </c>
    </row>
    <row r="13" spans="1:30" ht="23" customHeight="1">
      <c r="A13" s="560">
        <f>Aar!Y13</f>
        <v>11</v>
      </c>
      <c r="B13" s="125" t="str">
        <f>Aar!Z13</f>
        <v>to</v>
      </c>
      <c r="C13" s="126" t="str">
        <f>Februar!C24</f>
        <v>Skema 1</v>
      </c>
      <c r="D13" s="564" t="str">
        <f>Februar!DN24</f>
        <v/>
      </c>
      <c r="E13" s="563" t="str">
        <f>Aar!AB13</f>
        <v/>
      </c>
      <c r="F13" s="125">
        <f>Aar!AC13</f>
        <v>11</v>
      </c>
      <c r="G13" s="125" t="str">
        <f>Aar!AD13</f>
        <v>to</v>
      </c>
      <c r="H13" s="125" t="str">
        <f>Aar!AE13</f>
        <v>Skema 1</v>
      </c>
      <c r="I13" s="565" t="str">
        <f>Marts!DN24</f>
        <v/>
      </c>
      <c r="J13" s="561" t="str">
        <f>Marts!D24</f>
        <v/>
      </c>
      <c r="K13" s="125">
        <f>Aar!AG13</f>
        <v>11</v>
      </c>
      <c r="L13" s="125" t="str">
        <f>Aar!AH13</f>
        <v>sø</v>
      </c>
      <c r="M13" s="125" t="str">
        <f>Aar!AI13</f>
        <v>Weekend</v>
      </c>
      <c r="N13" s="565" t="str">
        <f>April!DN24</f>
        <v/>
      </c>
      <c r="O13" s="559" t="str">
        <f>April!D24</f>
        <v/>
      </c>
      <c r="P13" s="560">
        <f>Aar!AK13</f>
        <v>11</v>
      </c>
      <c r="Q13" s="125" t="str">
        <f>Aar!AL13</f>
        <v>ti</v>
      </c>
      <c r="R13" s="125" t="str">
        <f>Aar!AM13</f>
        <v>Skema 1</v>
      </c>
      <c r="S13" s="565" t="str">
        <f>Maj!DN24</f>
        <v/>
      </c>
      <c r="T13" s="561" t="str">
        <f>Maj!D24</f>
        <v/>
      </c>
      <c r="U13" s="560">
        <f>Aar!AO13</f>
        <v>11</v>
      </c>
      <c r="V13" s="125" t="str">
        <f>Aar!AP13</f>
        <v>fr</v>
      </c>
      <c r="W13" s="125" t="str">
        <f>Aar!AQ13</f>
        <v>Skema 1</v>
      </c>
      <c r="X13" s="565" t="str">
        <f>Juni!DN24</f>
        <v/>
      </c>
      <c r="Y13" s="559" t="str">
        <f>Juni!D24</f>
        <v/>
      </c>
      <c r="Z13" s="560">
        <f>Aar!AS13</f>
        <v>11</v>
      </c>
      <c r="AA13" s="125" t="str">
        <f>Aar!AT13</f>
        <v>sø</v>
      </c>
      <c r="AB13" s="125" t="str">
        <f>Aar!AU13</f>
        <v>Weekend</v>
      </c>
      <c r="AC13" s="565" t="str">
        <f>Juli!DN24</f>
        <v/>
      </c>
      <c r="AD13" s="561" t="str">
        <f>Juli!D24</f>
        <v/>
      </c>
    </row>
    <row r="14" spans="1:30" ht="23" customHeight="1">
      <c r="A14" s="560">
        <f>Aar!Y14</f>
        <v>12</v>
      </c>
      <c r="B14" s="125" t="str">
        <f>Aar!Z14</f>
        <v>fr</v>
      </c>
      <c r="C14" s="126" t="str">
        <f>Februar!C25</f>
        <v>Emnedag</v>
      </c>
      <c r="D14" s="564" t="str">
        <f>Februar!DN25</f>
        <v>Fastelavn</v>
      </c>
      <c r="E14" s="563" t="str">
        <f>Aar!AB14</f>
        <v/>
      </c>
      <c r="F14" s="125">
        <f>Aar!AC14</f>
        <v>12</v>
      </c>
      <c r="G14" s="125" t="str">
        <f>Aar!AD14</f>
        <v>fr</v>
      </c>
      <c r="H14" s="125" t="str">
        <f>Aar!AE14</f>
        <v>Skema 1</v>
      </c>
      <c r="I14" s="565" t="str">
        <f>Marts!DN25</f>
        <v>Gymnastikopvisning i hallen</v>
      </c>
      <c r="J14" s="561" t="str">
        <f>Marts!D25</f>
        <v/>
      </c>
      <c r="K14" s="125">
        <f>Aar!AG14</f>
        <v>12</v>
      </c>
      <c r="L14" s="125" t="str">
        <f>Aar!AH14</f>
        <v>ma</v>
      </c>
      <c r="M14" s="125" t="str">
        <f>Aar!AI14</f>
        <v>Emnedag</v>
      </c>
      <c r="N14" s="565" t="str">
        <f>April!DN25</f>
        <v>Skolen i skoven</v>
      </c>
      <c r="O14" s="559">
        <f>April!D25</f>
        <v>15.428571428571429</v>
      </c>
      <c r="P14" s="560">
        <f>Aar!AK14</f>
        <v>12</v>
      </c>
      <c r="Q14" s="125" t="str">
        <f>Aar!AL14</f>
        <v>on</v>
      </c>
      <c r="R14" s="125" t="str">
        <f>Aar!AM14</f>
        <v>Skema 1</v>
      </c>
      <c r="S14" s="565" t="str">
        <f>Maj!DN25</f>
        <v/>
      </c>
      <c r="T14" s="561" t="str">
        <f>Maj!D25</f>
        <v/>
      </c>
      <c r="U14" s="560">
        <f>Aar!AO14</f>
        <v>12</v>
      </c>
      <c r="V14" s="125" t="str">
        <f>Aar!AP14</f>
        <v>lø</v>
      </c>
      <c r="W14" s="125" t="str">
        <f>Aar!AQ14</f>
        <v>Weekend</v>
      </c>
      <c r="X14" s="565" t="str">
        <f>Juni!DN25</f>
        <v/>
      </c>
      <c r="Y14" s="559" t="str">
        <f>Juni!D25</f>
        <v/>
      </c>
      <c r="Z14" s="560">
        <f>Aar!AS14</f>
        <v>12</v>
      </c>
      <c r="AA14" s="125" t="str">
        <f>Aar!AT14</f>
        <v>ma</v>
      </c>
      <c r="AB14" s="125" t="str">
        <f>Aar!AU14</f>
        <v>Feriedag</v>
      </c>
      <c r="AC14" s="565" t="str">
        <f>Juli!DN25</f>
        <v>Sommerferie</v>
      </c>
      <c r="AD14" s="561">
        <f>Juli!D25</f>
        <v>28.428571428571427</v>
      </c>
    </row>
    <row r="15" spans="1:30" ht="23" customHeight="1">
      <c r="A15" s="560">
        <f>Aar!Y15</f>
        <v>13</v>
      </c>
      <c r="B15" s="125" t="str">
        <f>Aar!Z15</f>
        <v>lø</v>
      </c>
      <c r="C15" s="126" t="str">
        <f>Februar!C26</f>
        <v>Weekend</v>
      </c>
      <c r="D15" s="564" t="str">
        <f>Februar!DN26</f>
        <v/>
      </c>
      <c r="E15" s="563" t="str">
        <f>Aar!AB15</f>
        <v/>
      </c>
      <c r="F15" s="125">
        <f>Aar!AC15</f>
        <v>13</v>
      </c>
      <c r="G15" s="125" t="str">
        <f>Aar!AD15</f>
        <v>lø</v>
      </c>
      <c r="H15" s="125" t="str">
        <f>Aar!AE15</f>
        <v>Weekend</v>
      </c>
      <c r="I15" s="565" t="str">
        <f>Marts!DN26</f>
        <v/>
      </c>
      <c r="J15" s="561" t="str">
        <f>Marts!D26</f>
        <v/>
      </c>
      <c r="K15" s="125">
        <f>Aar!AG15</f>
        <v>13</v>
      </c>
      <c r="L15" s="125" t="str">
        <f>Aar!AH15</f>
        <v>ti</v>
      </c>
      <c r="M15" s="125" t="str">
        <f>Aar!AI15</f>
        <v>Emnedag</v>
      </c>
      <c r="N15" s="565" t="str">
        <f>April!DN26</f>
        <v>Skolen i skoven</v>
      </c>
      <c r="O15" s="559" t="str">
        <f>April!D26</f>
        <v/>
      </c>
      <c r="P15" s="560">
        <f>Aar!AK15</f>
        <v>13</v>
      </c>
      <c r="Q15" s="125" t="str">
        <f>Aar!AL15</f>
        <v>to</v>
      </c>
      <c r="R15" s="125" t="str">
        <f>Aar!AM15</f>
        <v>Skema 1</v>
      </c>
      <c r="S15" s="565" t="str">
        <f>Maj!DN26</f>
        <v/>
      </c>
      <c r="T15" s="561" t="str">
        <f>Maj!D26</f>
        <v/>
      </c>
      <c r="U15" s="560">
        <f>Aar!AO15</f>
        <v>13</v>
      </c>
      <c r="V15" s="125" t="str">
        <f>Aar!AP15</f>
        <v>sø</v>
      </c>
      <c r="W15" s="125" t="str">
        <f>Aar!AQ15</f>
        <v>Weekend</v>
      </c>
      <c r="X15" s="565" t="str">
        <f>Juni!DN26</f>
        <v/>
      </c>
      <c r="Y15" s="559" t="str">
        <f>Juni!D26</f>
        <v/>
      </c>
      <c r="Z15" s="560">
        <f>Aar!AS15</f>
        <v>13</v>
      </c>
      <c r="AA15" s="125" t="str">
        <f>Aar!AT15</f>
        <v>ti</v>
      </c>
      <c r="AB15" s="125" t="str">
        <f>Aar!AU15</f>
        <v>Feriedag</v>
      </c>
      <c r="AC15" s="565" t="str">
        <f>Juli!DN26</f>
        <v>Sommerferie</v>
      </c>
      <c r="AD15" s="561" t="str">
        <f>Juli!D26</f>
        <v/>
      </c>
    </row>
    <row r="16" spans="1:30" ht="23" customHeight="1">
      <c r="A16" s="560">
        <f>Aar!Y16</f>
        <v>14</v>
      </c>
      <c r="B16" s="125" t="str">
        <f>Aar!Z16</f>
        <v>sø</v>
      </c>
      <c r="C16" s="126" t="str">
        <f>Februar!C27</f>
        <v>Weekend</v>
      </c>
      <c r="D16" s="564" t="str">
        <f>Februar!DN27</f>
        <v/>
      </c>
      <c r="E16" s="563" t="str">
        <f>Aar!AB16</f>
        <v/>
      </c>
      <c r="F16" s="125">
        <f>Aar!AC16</f>
        <v>14</v>
      </c>
      <c r="G16" s="125" t="str">
        <f>Aar!AD16</f>
        <v>sø</v>
      </c>
      <c r="H16" s="125" t="str">
        <f>Aar!AE16</f>
        <v>Weekend</v>
      </c>
      <c r="I16" s="565" t="str">
        <f>Marts!DN27</f>
        <v/>
      </c>
      <c r="J16" s="561" t="str">
        <f>Marts!D27</f>
        <v/>
      </c>
      <c r="K16" s="125">
        <f>Aar!AG16</f>
        <v>14</v>
      </c>
      <c r="L16" s="125" t="str">
        <f>Aar!AH16</f>
        <v>on</v>
      </c>
      <c r="M16" s="125" t="str">
        <f>Aar!AI16</f>
        <v>Emnedag</v>
      </c>
      <c r="N16" s="565" t="str">
        <f>April!DN27</f>
        <v>Skolen i skoven</v>
      </c>
      <c r="O16" s="559" t="str">
        <f>April!D27</f>
        <v/>
      </c>
      <c r="P16" s="560">
        <f>Aar!AK16</f>
        <v>14</v>
      </c>
      <c r="Q16" s="125" t="str">
        <f>Aar!AL16</f>
        <v>fr</v>
      </c>
      <c r="R16" s="125" t="str">
        <f>Aar!AM16</f>
        <v>Skema 1</v>
      </c>
      <c r="S16" s="565" t="str">
        <f>Maj!DN27</f>
        <v/>
      </c>
      <c r="T16" s="561" t="str">
        <f>Maj!D27</f>
        <v/>
      </c>
      <c r="U16" s="560">
        <f>Aar!AO16</f>
        <v>14</v>
      </c>
      <c r="V16" s="125" t="str">
        <f>Aar!AP16</f>
        <v>ma</v>
      </c>
      <c r="W16" s="125" t="str">
        <f>Aar!AQ16</f>
        <v>Skema 1</v>
      </c>
      <c r="X16" s="565" t="str">
        <f>Juni!DN27</f>
        <v/>
      </c>
      <c r="Y16" s="559">
        <f>Juni!D27</f>
        <v>24.428571428571427</v>
      </c>
      <c r="Z16" s="560">
        <f>Aar!AS16</f>
        <v>14</v>
      </c>
      <c r="AA16" s="125" t="str">
        <f>Aar!AT16</f>
        <v>on</v>
      </c>
      <c r="AB16" s="125" t="str">
        <f>Aar!AU16</f>
        <v>Feriedag</v>
      </c>
      <c r="AC16" s="565" t="str">
        <f>Juli!DN27</f>
        <v>Sommerferie</v>
      </c>
      <c r="AD16" s="561" t="str">
        <f>Juli!D27</f>
        <v/>
      </c>
    </row>
    <row r="17" spans="1:30" ht="23" customHeight="1">
      <c r="A17" s="560">
        <f>Aar!Y17</f>
        <v>15</v>
      </c>
      <c r="B17" s="125" t="str">
        <f>Aar!Z17</f>
        <v>ma</v>
      </c>
      <c r="C17" s="126" t="str">
        <f>Februar!C28</f>
        <v>Nul-dag</v>
      </c>
      <c r="D17" s="564" t="str">
        <f>Februar!DN28</f>
        <v>Elevernes vinterferie</v>
      </c>
      <c r="E17" s="563">
        <f>Aar!AB17</f>
        <v>7.4285714285714288</v>
      </c>
      <c r="F17" s="125">
        <f>Aar!AC17</f>
        <v>15</v>
      </c>
      <c r="G17" s="125" t="str">
        <f>Aar!AD17</f>
        <v>ma</v>
      </c>
      <c r="H17" s="125" t="str">
        <f>Aar!AE17</f>
        <v>Skema 1</v>
      </c>
      <c r="I17" s="565" t="str">
        <f>Marts!DN28</f>
        <v/>
      </c>
      <c r="J17" s="561">
        <f>Marts!D28</f>
        <v>11.428571428571429</v>
      </c>
      <c r="K17" s="125">
        <f>Aar!AG17</f>
        <v>15</v>
      </c>
      <c r="L17" s="125" t="str">
        <f>Aar!AH17</f>
        <v>to</v>
      </c>
      <c r="M17" s="125" t="str">
        <f>Aar!AI17</f>
        <v>Emnedag</v>
      </c>
      <c r="N17" s="565" t="str">
        <f>April!DN28</f>
        <v>Skolen i skoven</v>
      </c>
      <c r="O17" s="559" t="str">
        <f>April!D28</f>
        <v/>
      </c>
      <c r="P17" s="560">
        <f>Aar!AK17</f>
        <v>15</v>
      </c>
      <c r="Q17" s="125" t="str">
        <f>Aar!AL17</f>
        <v>lø</v>
      </c>
      <c r="R17" s="125" t="str">
        <f>Aar!AM17</f>
        <v>Weekend</v>
      </c>
      <c r="S17" s="565" t="str">
        <f>Maj!DN28</f>
        <v/>
      </c>
      <c r="T17" s="561" t="str">
        <f>Maj!D28</f>
        <v/>
      </c>
      <c r="U17" s="560">
        <f>Aar!AO17</f>
        <v>15</v>
      </c>
      <c r="V17" s="125" t="str">
        <f>Aar!AP17</f>
        <v>ti</v>
      </c>
      <c r="W17" s="125" t="str">
        <f>Aar!AQ17</f>
        <v>Skema 1</v>
      </c>
      <c r="X17" s="565" t="str">
        <f>Juni!DN28</f>
        <v/>
      </c>
      <c r="Y17" s="559" t="str">
        <f>Juni!D28</f>
        <v/>
      </c>
      <c r="Z17" s="560">
        <f>Aar!AS17</f>
        <v>15</v>
      </c>
      <c r="AA17" s="125" t="str">
        <f>Aar!AT17</f>
        <v>to</v>
      </c>
      <c r="AB17" s="125" t="str">
        <f>Aar!AU17</f>
        <v>Feriedag</v>
      </c>
      <c r="AC17" s="565" t="str">
        <f>Juli!DN28</f>
        <v>Sommerferie</v>
      </c>
      <c r="AD17" s="561" t="str">
        <f>Juli!D28</f>
        <v/>
      </c>
    </row>
    <row r="18" spans="1:30" ht="23" customHeight="1">
      <c r="A18" s="560">
        <f>Aar!Y18</f>
        <v>16</v>
      </c>
      <c r="B18" s="125" t="str">
        <f>Aar!Z18</f>
        <v>ti</v>
      </c>
      <c r="C18" s="126" t="str">
        <f>Februar!C29</f>
        <v>Nul-dag</v>
      </c>
      <c r="D18" s="564" t="str">
        <f>Februar!DN29</f>
        <v>Elevernes vinterferie</v>
      </c>
      <c r="E18" s="563" t="str">
        <f>Aar!AB18</f>
        <v/>
      </c>
      <c r="F18" s="125">
        <f>Aar!AC18</f>
        <v>16</v>
      </c>
      <c r="G18" s="125" t="str">
        <f>Aar!AD18</f>
        <v>ti</v>
      </c>
      <c r="H18" s="125" t="str">
        <f>Aar!AE18</f>
        <v>Skema 1</v>
      </c>
      <c r="I18" s="565" t="str">
        <f>Marts!DN29</f>
        <v/>
      </c>
      <c r="J18" s="561" t="str">
        <f>Marts!D29</f>
        <v/>
      </c>
      <c r="K18" s="125">
        <f>Aar!AG18</f>
        <v>16</v>
      </c>
      <c r="L18" s="125" t="str">
        <f>Aar!AH18</f>
        <v>fr</v>
      </c>
      <c r="M18" s="125" t="str">
        <f>Aar!AI18</f>
        <v>Emnedag</v>
      </c>
      <c r="N18" s="565" t="str">
        <f>April!DN29</f>
        <v>Skolen i skoven</v>
      </c>
      <c r="O18" s="559" t="str">
        <f>April!D29</f>
        <v/>
      </c>
      <c r="P18" s="560">
        <f>Aar!AK18</f>
        <v>16</v>
      </c>
      <c r="Q18" s="125" t="str">
        <f>Aar!AL18</f>
        <v>sø</v>
      </c>
      <c r="R18" s="125" t="str">
        <f>Aar!AM18</f>
        <v>Weekend</v>
      </c>
      <c r="S18" s="565" t="str">
        <f>Maj!DN29</f>
        <v>Pinsedag</v>
      </c>
      <c r="T18" s="561" t="str">
        <f>Maj!D29</f>
        <v/>
      </c>
      <c r="U18" s="560">
        <f>Aar!AO18</f>
        <v>16</v>
      </c>
      <c r="V18" s="125" t="str">
        <f>Aar!AP18</f>
        <v>on</v>
      </c>
      <c r="W18" s="125" t="str">
        <f>Aar!AQ18</f>
        <v>Skema 1</v>
      </c>
      <c r="X18" s="565" t="str">
        <f>Juni!DN29</f>
        <v/>
      </c>
      <c r="Y18" s="559" t="str">
        <f>Juni!D29</f>
        <v/>
      </c>
      <c r="Z18" s="560">
        <f>Aar!AS18</f>
        <v>16</v>
      </c>
      <c r="AA18" s="125" t="str">
        <f>Aar!AT18</f>
        <v>fr</v>
      </c>
      <c r="AB18" s="125" t="str">
        <f>Aar!AU18</f>
        <v>Feriedag</v>
      </c>
      <c r="AC18" s="565" t="str">
        <f>Juli!DN29</f>
        <v>Sommerferie</v>
      </c>
      <c r="AD18" s="561" t="str">
        <f>Juli!D29</f>
        <v/>
      </c>
    </row>
    <row r="19" spans="1:30" ht="23" customHeight="1">
      <c r="A19" s="560">
        <f>Aar!Y19</f>
        <v>17</v>
      </c>
      <c r="B19" s="125" t="str">
        <f>Aar!Z19</f>
        <v>on</v>
      </c>
      <c r="C19" s="126" t="str">
        <f>Februar!C30</f>
        <v>Nul-dag</v>
      </c>
      <c r="D19" s="564" t="str">
        <f>Februar!DN30</f>
        <v>Elevernes vinterferie</v>
      </c>
      <c r="E19" s="563" t="str">
        <f>Aar!AB19</f>
        <v/>
      </c>
      <c r="F19" s="125">
        <f>Aar!AC19</f>
        <v>17</v>
      </c>
      <c r="G19" s="125" t="str">
        <f>Aar!AD19</f>
        <v>on</v>
      </c>
      <c r="H19" s="125" t="str">
        <f>Aar!AE19</f>
        <v>Skema 1</v>
      </c>
      <c r="I19" s="565" t="str">
        <f>Marts!DN30</f>
        <v/>
      </c>
      <c r="J19" s="561" t="str">
        <f>Marts!D30</f>
        <v/>
      </c>
      <c r="K19" s="125">
        <f>Aar!AG19</f>
        <v>17</v>
      </c>
      <c r="L19" s="125" t="str">
        <f>Aar!AH19</f>
        <v>lø</v>
      </c>
      <c r="M19" s="125" t="str">
        <f>Aar!AI19</f>
        <v>Weekend</v>
      </c>
      <c r="N19" s="565" t="str">
        <f>April!DN30</f>
        <v/>
      </c>
      <c r="O19" s="559" t="str">
        <f>April!D30</f>
        <v/>
      </c>
      <c r="P19" s="560">
        <f>Aar!AK19</f>
        <v>17</v>
      </c>
      <c r="Q19" s="125" t="str">
        <f>Aar!AL19</f>
        <v>ma</v>
      </c>
      <c r="R19" s="125" t="str">
        <f>Aar!AM19</f>
        <v>SH-dag</v>
      </c>
      <c r="S19" s="565" t="str">
        <f>Maj!DN30</f>
        <v>2. pinsedag</v>
      </c>
      <c r="T19" s="561">
        <f>Maj!D30</f>
        <v>20.428571428571427</v>
      </c>
      <c r="U19" s="560">
        <f>Aar!AO19</f>
        <v>17</v>
      </c>
      <c r="V19" s="125" t="str">
        <f>Aar!AP19</f>
        <v>to</v>
      </c>
      <c r="W19" s="125" t="str">
        <f>Aar!AQ19</f>
        <v>Skema 1</v>
      </c>
      <c r="X19" s="565" t="str">
        <f>Juni!DN30</f>
        <v/>
      </c>
      <c r="Y19" s="559" t="str">
        <f>Juni!D30</f>
        <v/>
      </c>
      <c r="Z19" s="560">
        <f>Aar!AS19</f>
        <v>17</v>
      </c>
      <c r="AA19" s="125" t="str">
        <f>Aar!AT19</f>
        <v>lø</v>
      </c>
      <c r="AB19" s="125" t="str">
        <f>Aar!AU19</f>
        <v>Weekend</v>
      </c>
      <c r="AC19" s="565" t="str">
        <f>Juli!DN30</f>
        <v/>
      </c>
      <c r="AD19" s="561" t="str">
        <f>Juli!D30</f>
        <v/>
      </c>
    </row>
    <row r="20" spans="1:30" ht="23" customHeight="1">
      <c r="A20" s="560">
        <f>Aar!Y20</f>
        <v>18</v>
      </c>
      <c r="B20" s="125" t="str">
        <f>Aar!Z20</f>
        <v>to</v>
      </c>
      <c r="C20" s="126" t="str">
        <f>Februar!C31</f>
        <v>Nul-dag</v>
      </c>
      <c r="D20" s="564" t="str">
        <f>Februar!DN31</f>
        <v>Elevernes vinterferie</v>
      </c>
      <c r="E20" s="563" t="str">
        <f>Aar!AB20</f>
        <v/>
      </c>
      <c r="F20" s="125">
        <f>Aar!AC20</f>
        <v>18</v>
      </c>
      <c r="G20" s="125" t="str">
        <f>Aar!AD20</f>
        <v>to</v>
      </c>
      <c r="H20" s="125" t="str">
        <f>Aar!AE20</f>
        <v>Skema 1</v>
      </c>
      <c r="I20" s="565" t="str">
        <f>Marts!DN31</f>
        <v>Lærermøde</v>
      </c>
      <c r="J20" s="561" t="str">
        <f>Marts!D31</f>
        <v/>
      </c>
      <c r="K20" s="125">
        <f>Aar!AG20</f>
        <v>18</v>
      </c>
      <c r="L20" s="125" t="str">
        <f>Aar!AH20</f>
        <v>sø</v>
      </c>
      <c r="M20" s="125" t="str">
        <f>Aar!AI20</f>
        <v>Weekend</v>
      </c>
      <c r="N20" s="565" t="str">
        <f>April!DN31</f>
        <v/>
      </c>
      <c r="O20" s="559" t="str">
        <f>April!D31</f>
        <v/>
      </c>
      <c r="P20" s="560">
        <f>Aar!AK20</f>
        <v>18</v>
      </c>
      <c r="Q20" s="125" t="str">
        <f>Aar!AL20</f>
        <v>ti</v>
      </c>
      <c r="R20" s="125" t="str">
        <f>Aar!AM20</f>
        <v>Skema 1</v>
      </c>
      <c r="S20" s="565" t="str">
        <f>Maj!DN31</f>
        <v/>
      </c>
      <c r="T20" s="561" t="str">
        <f>Maj!D31</f>
        <v/>
      </c>
      <c r="U20" s="560">
        <f>Aar!AO20</f>
        <v>18</v>
      </c>
      <c r="V20" s="125" t="str">
        <f>Aar!AP20</f>
        <v>fr</v>
      </c>
      <c r="W20" s="125" t="str">
        <f>Aar!AQ20</f>
        <v>Skema 1</v>
      </c>
      <c r="X20" s="565" t="str">
        <f>Juni!DN31</f>
        <v/>
      </c>
      <c r="Y20" s="559" t="str">
        <f>Juni!D31</f>
        <v/>
      </c>
      <c r="Z20" s="560">
        <f>Aar!AS20</f>
        <v>18</v>
      </c>
      <c r="AA20" s="125" t="str">
        <f>Aar!AT20</f>
        <v>sø</v>
      </c>
      <c r="AB20" s="125" t="str">
        <f>Aar!AU20</f>
        <v>Weekend</v>
      </c>
      <c r="AC20" s="565" t="str">
        <f>Juli!DN31</f>
        <v/>
      </c>
      <c r="AD20" s="561" t="str">
        <f>Juli!D31</f>
        <v/>
      </c>
    </row>
    <row r="21" spans="1:30" ht="23" customHeight="1">
      <c r="A21" s="560">
        <f>Aar!Y21</f>
        <v>19</v>
      </c>
      <c r="B21" s="125" t="str">
        <f>Aar!Z21</f>
        <v>fr</v>
      </c>
      <c r="C21" s="126" t="str">
        <f>Februar!C32</f>
        <v>Nul-dag</v>
      </c>
      <c r="D21" s="564" t="str">
        <f>Februar!DN32</f>
        <v>Elevernes vinterferie</v>
      </c>
      <c r="E21" s="563" t="str">
        <f>Aar!AB21</f>
        <v/>
      </c>
      <c r="F21" s="125">
        <f>Aar!AC21</f>
        <v>19</v>
      </c>
      <c r="G21" s="125" t="str">
        <f>Aar!AD21</f>
        <v>fr</v>
      </c>
      <c r="H21" s="125" t="str">
        <f>Aar!AE21</f>
        <v>Skema 1</v>
      </c>
      <c r="I21" s="565" t="str">
        <f>Marts!DN32</f>
        <v/>
      </c>
      <c r="J21" s="561" t="str">
        <f>Marts!D32</f>
        <v/>
      </c>
      <c r="K21" s="125">
        <f>Aar!AG21</f>
        <v>19</v>
      </c>
      <c r="L21" s="125" t="str">
        <f>Aar!AH21</f>
        <v>ma</v>
      </c>
      <c r="M21" s="125" t="str">
        <f>Aar!AI21</f>
        <v>Skema 1</v>
      </c>
      <c r="N21" s="565" t="str">
        <f>April!DN32</f>
        <v/>
      </c>
      <c r="O21" s="559">
        <f>April!D32</f>
        <v>16.428571428571427</v>
      </c>
      <c r="P21" s="560">
        <f>Aar!AK21</f>
        <v>19</v>
      </c>
      <c r="Q21" s="125" t="str">
        <f>Aar!AL21</f>
        <v>on</v>
      </c>
      <c r="R21" s="125" t="str">
        <f>Aar!AM21</f>
        <v>Skema 1</v>
      </c>
      <c r="S21" s="565" t="str">
        <f>Maj!DN32</f>
        <v/>
      </c>
      <c r="T21" s="561" t="str">
        <f>Maj!D32</f>
        <v/>
      </c>
      <c r="U21" s="560">
        <f>Aar!AO21</f>
        <v>19</v>
      </c>
      <c r="V21" s="125" t="str">
        <f>Aar!AP21</f>
        <v>lø</v>
      </c>
      <c r="W21" s="125" t="str">
        <f>Aar!AQ21</f>
        <v>Weekend</v>
      </c>
      <c r="X21" s="565" t="str">
        <f>Juni!DN32</f>
        <v/>
      </c>
      <c r="Y21" s="559" t="str">
        <f>Juni!D32</f>
        <v/>
      </c>
      <c r="Z21" s="560">
        <f>Aar!AS21</f>
        <v>19</v>
      </c>
      <c r="AA21" s="125" t="str">
        <f>Aar!AT21</f>
        <v>ma</v>
      </c>
      <c r="AB21" s="125" t="str">
        <f>Aar!AU21</f>
        <v>Feriedag</v>
      </c>
      <c r="AC21" s="565" t="str">
        <f>Juli!DN32</f>
        <v>Sommerferie</v>
      </c>
      <c r="AD21" s="561">
        <f>Juli!D32</f>
        <v>29.428571428571427</v>
      </c>
    </row>
    <row r="22" spans="1:30" ht="23" customHeight="1">
      <c r="A22" s="560">
        <f>Aar!Y22</f>
        <v>20</v>
      </c>
      <c r="B22" s="125" t="str">
        <f>Aar!Z22</f>
        <v>lø</v>
      </c>
      <c r="C22" s="126" t="str">
        <f>Februar!C33</f>
        <v>Weekend</v>
      </c>
      <c r="D22" s="564" t="str">
        <f>Februar!DN33</f>
        <v/>
      </c>
      <c r="E22" s="563" t="str">
        <f>Aar!AB22</f>
        <v/>
      </c>
      <c r="F22" s="125">
        <f>Aar!AC22</f>
        <v>20</v>
      </c>
      <c r="G22" s="125" t="str">
        <f>Aar!AD22</f>
        <v>lø</v>
      </c>
      <c r="H22" s="125" t="str">
        <f>Aar!AE22</f>
        <v>Weekend</v>
      </c>
      <c r="I22" s="565" t="str">
        <f>Marts!DN33</f>
        <v/>
      </c>
      <c r="J22" s="561" t="str">
        <f>Marts!D33</f>
        <v/>
      </c>
      <c r="K22" s="125">
        <f>Aar!AG22</f>
        <v>20</v>
      </c>
      <c r="L22" s="125" t="str">
        <f>Aar!AH22</f>
        <v>ti</v>
      </c>
      <c r="M22" s="125" t="str">
        <f>Aar!AI22</f>
        <v>Skema 1</v>
      </c>
      <c r="N22" s="565" t="str">
        <f>April!DN33</f>
        <v/>
      </c>
      <c r="O22" s="559" t="str">
        <f>April!D33</f>
        <v/>
      </c>
      <c r="P22" s="560">
        <f>Aar!AK22</f>
        <v>20</v>
      </c>
      <c r="Q22" s="125" t="str">
        <f>Aar!AL22</f>
        <v>to</v>
      </c>
      <c r="R22" s="125" t="str">
        <f>Aar!AM22</f>
        <v>Skema 1</v>
      </c>
      <c r="S22" s="565" t="str">
        <f>Maj!DN33</f>
        <v/>
      </c>
      <c r="T22" s="561" t="str">
        <f>Maj!D33</f>
        <v/>
      </c>
      <c r="U22" s="560">
        <f>Aar!AO22</f>
        <v>20</v>
      </c>
      <c r="V22" s="125" t="str">
        <f>Aar!AP22</f>
        <v>sø</v>
      </c>
      <c r="W22" s="125" t="str">
        <f>Aar!AQ22</f>
        <v>Weekend</v>
      </c>
      <c r="X22" s="565" t="str">
        <f>Juni!DN33</f>
        <v/>
      </c>
      <c r="Y22" s="559" t="str">
        <f>Juni!D33</f>
        <v/>
      </c>
      <c r="Z22" s="560">
        <f>Aar!AS22</f>
        <v>20</v>
      </c>
      <c r="AA22" s="125" t="str">
        <f>Aar!AT22</f>
        <v>ti</v>
      </c>
      <c r="AB22" s="125" t="str">
        <f>Aar!AU22</f>
        <v>Feriedag</v>
      </c>
      <c r="AC22" s="565" t="str">
        <f>Juli!DN33</f>
        <v>Sommerferie</v>
      </c>
      <c r="AD22" s="561" t="str">
        <f>Juli!D33</f>
        <v/>
      </c>
    </row>
    <row r="23" spans="1:30" ht="23" customHeight="1">
      <c r="A23" s="560">
        <f>Aar!Y23</f>
        <v>21</v>
      </c>
      <c r="B23" s="125" t="str">
        <f>Aar!Z23</f>
        <v>sø</v>
      </c>
      <c r="C23" s="126" t="str">
        <f>Februar!C34</f>
        <v>Weekend</v>
      </c>
      <c r="D23" s="564" t="str">
        <f>Februar!DN34</f>
        <v/>
      </c>
      <c r="E23" s="563" t="str">
        <f>Aar!AB23</f>
        <v/>
      </c>
      <c r="F23" s="125">
        <f>Aar!AC23</f>
        <v>21</v>
      </c>
      <c r="G23" s="125" t="str">
        <f>Aar!AD23</f>
        <v>sø</v>
      </c>
      <c r="H23" s="125" t="str">
        <f>Aar!AE23</f>
        <v>Weekend</v>
      </c>
      <c r="I23" s="565" t="str">
        <f>Marts!DN34</f>
        <v>Palmesøndag</v>
      </c>
      <c r="J23" s="561" t="str">
        <f>Marts!D34</f>
        <v/>
      </c>
      <c r="K23" s="125">
        <f>Aar!AG23</f>
        <v>21</v>
      </c>
      <c r="L23" s="125" t="str">
        <f>Aar!AH23</f>
        <v>on</v>
      </c>
      <c r="M23" s="125" t="str">
        <f>Aar!AI23</f>
        <v>Skema 1</v>
      </c>
      <c r="N23" s="565" t="str">
        <f>April!DN34</f>
        <v/>
      </c>
      <c r="O23" s="559" t="str">
        <f>April!D34</f>
        <v/>
      </c>
      <c r="P23" s="560">
        <f>Aar!AK23</f>
        <v>21</v>
      </c>
      <c r="Q23" s="125" t="str">
        <f>Aar!AL23</f>
        <v>fr</v>
      </c>
      <c r="R23" s="125" t="str">
        <f>Aar!AM23</f>
        <v>Skema 1</v>
      </c>
      <c r="S23" s="565" t="str">
        <f>Maj!DN34</f>
        <v/>
      </c>
      <c r="T23" s="561" t="str">
        <f>Maj!D34</f>
        <v/>
      </c>
      <c r="U23" s="560">
        <f>Aar!AO23</f>
        <v>21</v>
      </c>
      <c r="V23" s="125" t="str">
        <f>Aar!AP23</f>
        <v>ma</v>
      </c>
      <c r="W23" s="125" t="str">
        <f>Aar!AQ23</f>
        <v>Skema 1</v>
      </c>
      <c r="X23" s="565" t="str">
        <f>Juni!DN34</f>
        <v/>
      </c>
      <c r="Y23" s="559">
        <f>Juni!D34</f>
        <v>25.428571428571427</v>
      </c>
      <c r="Z23" s="560">
        <f>Aar!AS23</f>
        <v>21</v>
      </c>
      <c r="AA23" s="125" t="str">
        <f>Aar!AT23</f>
        <v>on</v>
      </c>
      <c r="AB23" s="125" t="str">
        <f>Aar!AU23</f>
        <v>Feriedag</v>
      </c>
      <c r="AC23" s="565" t="str">
        <f>Juli!DN34</f>
        <v>Sommerferie</v>
      </c>
      <c r="AD23" s="561" t="str">
        <f>Juli!D34</f>
        <v/>
      </c>
    </row>
    <row r="24" spans="1:30" ht="23" customHeight="1">
      <c r="A24" s="560">
        <f>Aar!Y24</f>
        <v>22</v>
      </c>
      <c r="B24" s="125" t="str">
        <f>Aar!Z24</f>
        <v>ma</v>
      </c>
      <c r="C24" s="126" t="str">
        <f>Februar!C35</f>
        <v>Skema 1</v>
      </c>
      <c r="D24" s="564" t="str">
        <f>Februar!DN35</f>
        <v/>
      </c>
      <c r="E24" s="563">
        <f>Aar!AB24</f>
        <v>8.4285714285714288</v>
      </c>
      <c r="F24" s="125">
        <f>Aar!AC24</f>
        <v>22</v>
      </c>
      <c r="G24" s="125" t="str">
        <f>Aar!AD24</f>
        <v>ma</v>
      </c>
      <c r="H24" s="125" t="str">
        <f>Aar!AE24</f>
        <v>Nul-dag</v>
      </c>
      <c r="I24" s="565" t="str">
        <f>Marts!DN35</f>
        <v/>
      </c>
      <c r="J24" s="561">
        <f>Marts!D35</f>
        <v>12.428571428571429</v>
      </c>
      <c r="K24" s="125">
        <f>Aar!AG24</f>
        <v>22</v>
      </c>
      <c r="L24" s="125" t="str">
        <f>Aar!AH24</f>
        <v>to</v>
      </c>
      <c r="M24" s="125" t="str">
        <f>Aar!AI24</f>
        <v>Skema 1</v>
      </c>
      <c r="N24" s="565" t="str">
        <f>April!DN35</f>
        <v>Lærermøde</v>
      </c>
      <c r="O24" s="559" t="str">
        <f>April!D35</f>
        <v/>
      </c>
      <c r="P24" s="560">
        <f>Aar!AK24</f>
        <v>22</v>
      </c>
      <c r="Q24" s="125" t="str">
        <f>Aar!AL24</f>
        <v>lø</v>
      </c>
      <c r="R24" s="125" t="str">
        <f>Aar!AM24</f>
        <v>Weekend</v>
      </c>
      <c r="S24" s="565" t="str">
        <f>Maj!DN35</f>
        <v/>
      </c>
      <c r="T24" s="561" t="str">
        <f>Maj!D35</f>
        <v/>
      </c>
      <c r="U24" s="560">
        <f>Aar!AO24</f>
        <v>22</v>
      </c>
      <c r="V24" s="125" t="str">
        <f>Aar!AP24</f>
        <v>ti</v>
      </c>
      <c r="W24" s="125" t="str">
        <f>Aar!AQ24</f>
        <v>Skema 1</v>
      </c>
      <c r="X24" s="565" t="str">
        <f>Juni!DN35</f>
        <v/>
      </c>
      <c r="Y24" s="559" t="str">
        <f>Juni!D35</f>
        <v/>
      </c>
      <c r="Z24" s="560">
        <f>Aar!AS24</f>
        <v>22</v>
      </c>
      <c r="AA24" s="125" t="str">
        <f>Aar!AT24</f>
        <v>to</v>
      </c>
      <c r="AB24" s="125" t="str">
        <f>Aar!AU24</f>
        <v>Feriedag</v>
      </c>
      <c r="AC24" s="565" t="str">
        <f>Juli!DN35</f>
        <v>Sommerferie</v>
      </c>
      <c r="AD24" s="561" t="str">
        <f>Juli!D35</f>
        <v/>
      </c>
    </row>
    <row r="25" spans="1:30" ht="23" customHeight="1">
      <c r="A25" s="560">
        <f>Aar!Y25</f>
        <v>23</v>
      </c>
      <c r="B25" s="125" t="str">
        <f>Aar!Z25</f>
        <v>ti</v>
      </c>
      <c r="C25" s="126" t="str">
        <f>Februar!C36</f>
        <v>Skema 1</v>
      </c>
      <c r="D25" s="564" t="str">
        <f>Februar!DN36</f>
        <v/>
      </c>
      <c r="E25" s="563" t="str">
        <f>Aar!AB25</f>
        <v/>
      </c>
      <c r="F25" s="125">
        <f>Aar!AC25</f>
        <v>23</v>
      </c>
      <c r="G25" s="125" t="str">
        <f>Aar!AD25</f>
        <v>ti</v>
      </c>
      <c r="H25" s="125" t="str">
        <f>Aar!AE25</f>
        <v>Nul-dag</v>
      </c>
      <c r="I25" s="565" t="str">
        <f>Marts!DN36</f>
        <v/>
      </c>
      <c r="J25" s="561" t="str">
        <f>Marts!D36</f>
        <v/>
      </c>
      <c r="K25" s="125">
        <f>Aar!AG25</f>
        <v>23</v>
      </c>
      <c r="L25" s="125" t="str">
        <f>Aar!AH25</f>
        <v>fr</v>
      </c>
      <c r="M25" s="125" t="str">
        <f>Aar!AI25</f>
        <v>Skema 1</v>
      </c>
      <c r="N25" s="565" t="str">
        <f>April!DN36</f>
        <v/>
      </c>
      <c r="O25" s="559" t="str">
        <f>April!D36</f>
        <v/>
      </c>
      <c r="P25" s="560">
        <f>Aar!AK25</f>
        <v>23</v>
      </c>
      <c r="Q25" s="125" t="str">
        <f>Aar!AL25</f>
        <v>sø</v>
      </c>
      <c r="R25" s="125" t="str">
        <f>Aar!AM25</f>
        <v>Weekend</v>
      </c>
      <c r="S25" s="565" t="str">
        <f>Maj!DN36</f>
        <v/>
      </c>
      <c r="T25" s="561" t="str">
        <f>Maj!D36</f>
        <v/>
      </c>
      <c r="U25" s="560">
        <f>Aar!AO25</f>
        <v>23</v>
      </c>
      <c r="V25" s="125" t="str">
        <f>Aar!AP25</f>
        <v>on</v>
      </c>
      <c r="W25" s="125" t="str">
        <f>Aar!AQ25</f>
        <v>Skema 1</v>
      </c>
      <c r="X25" s="565" t="str">
        <f>Juni!DN36</f>
        <v/>
      </c>
      <c r="Y25" s="559" t="str">
        <f>Juni!D36</f>
        <v/>
      </c>
      <c r="Z25" s="560">
        <f>Aar!AS25</f>
        <v>23</v>
      </c>
      <c r="AA25" s="125" t="str">
        <f>Aar!AT25</f>
        <v>fr</v>
      </c>
      <c r="AB25" s="125" t="str">
        <f>Aar!AU25</f>
        <v>Feriedag</v>
      </c>
      <c r="AC25" s="565" t="str">
        <f>Juli!DN36</f>
        <v>Sommerferie</v>
      </c>
      <c r="AD25" s="561" t="str">
        <f>Juli!D36</f>
        <v/>
      </c>
    </row>
    <row r="26" spans="1:30" ht="23" customHeight="1">
      <c r="A26" s="560">
        <f>Aar!Y26</f>
        <v>24</v>
      </c>
      <c r="B26" s="125" t="str">
        <f>Aar!Z26</f>
        <v>on</v>
      </c>
      <c r="C26" s="126" t="str">
        <f>Februar!C37</f>
        <v>Skema 1</v>
      </c>
      <c r="D26" s="564" t="str">
        <f>Februar!DN37</f>
        <v/>
      </c>
      <c r="E26" s="563" t="str">
        <f>Aar!AB26</f>
        <v/>
      </c>
      <c r="F26" s="125">
        <f>Aar!AC26</f>
        <v>24</v>
      </c>
      <c r="G26" s="125" t="str">
        <f>Aar!AD26</f>
        <v>on</v>
      </c>
      <c r="H26" s="125" t="str">
        <f>Aar!AE26</f>
        <v>Nul-dag</v>
      </c>
      <c r="I26" s="565" t="str">
        <f>Marts!DN37</f>
        <v/>
      </c>
      <c r="J26" s="561" t="str">
        <f>Marts!D37</f>
        <v/>
      </c>
      <c r="K26" s="125">
        <f>Aar!AG26</f>
        <v>24</v>
      </c>
      <c r="L26" s="125" t="str">
        <f>Aar!AH26</f>
        <v>lø</v>
      </c>
      <c r="M26" s="125" t="str">
        <f>Aar!AI26</f>
        <v>Weekend</v>
      </c>
      <c r="N26" s="565" t="str">
        <f>April!DN37</f>
        <v/>
      </c>
      <c r="O26" s="559" t="str">
        <f>April!D37</f>
        <v/>
      </c>
      <c r="P26" s="560">
        <f>Aar!AK26</f>
        <v>24</v>
      </c>
      <c r="Q26" s="125" t="str">
        <f>Aar!AL26</f>
        <v>ma</v>
      </c>
      <c r="R26" s="125" t="str">
        <f>Aar!AM26</f>
        <v>Skema 1</v>
      </c>
      <c r="S26" s="565" t="str">
        <f>Maj!DN37</f>
        <v/>
      </c>
      <c r="T26" s="561">
        <f>Maj!D37</f>
        <v>21.428571428571427</v>
      </c>
      <c r="U26" s="560">
        <f>Aar!AO26</f>
        <v>24</v>
      </c>
      <c r="V26" s="125" t="str">
        <f>Aar!AP26</f>
        <v>to</v>
      </c>
      <c r="W26" s="125" t="str">
        <f>Aar!AQ26</f>
        <v>Skema 1</v>
      </c>
      <c r="X26" s="565" t="str">
        <f>Juni!DN37</f>
        <v/>
      </c>
      <c r="Y26" s="559" t="str">
        <f>Juni!D37</f>
        <v/>
      </c>
      <c r="Z26" s="560">
        <f>Aar!AS26</f>
        <v>24</v>
      </c>
      <c r="AA26" s="125" t="str">
        <f>Aar!AT26</f>
        <v>lø</v>
      </c>
      <c r="AB26" s="125" t="str">
        <f>Aar!AU26</f>
        <v>Weekend</v>
      </c>
      <c r="AC26" s="565" t="str">
        <f>Juli!DN37</f>
        <v/>
      </c>
      <c r="AD26" s="561" t="str">
        <f>Juli!D37</f>
        <v/>
      </c>
    </row>
    <row r="27" spans="1:30" ht="23" customHeight="1">
      <c r="A27" s="560">
        <f>Aar!Y27</f>
        <v>25</v>
      </c>
      <c r="B27" s="125" t="str">
        <f>Aar!Z27</f>
        <v>to</v>
      </c>
      <c r="C27" s="126" t="str">
        <f>Februar!C38</f>
        <v>Skema 1</v>
      </c>
      <c r="D27" s="564" t="str">
        <f>Februar!DN38</f>
        <v>Lærermøde</v>
      </c>
      <c r="E27" s="563" t="str">
        <f>Aar!AB27</f>
        <v/>
      </c>
      <c r="F27" s="125">
        <f>Aar!AC27</f>
        <v>25</v>
      </c>
      <c r="G27" s="125" t="str">
        <f>Aar!AD27</f>
        <v>to</v>
      </c>
      <c r="H27" s="125" t="str">
        <f>Aar!AE27</f>
        <v>SH-dag</v>
      </c>
      <c r="I27" s="565" t="str">
        <f>Marts!DN38</f>
        <v>Skærtorsdag</v>
      </c>
      <c r="J27" s="561" t="str">
        <f>Marts!D38</f>
        <v/>
      </c>
      <c r="K27" s="125">
        <f>Aar!AG27</f>
        <v>25</v>
      </c>
      <c r="L27" s="125" t="str">
        <f>Aar!AH27</f>
        <v>sø</v>
      </c>
      <c r="M27" s="125" t="str">
        <f>Aar!AI27</f>
        <v>Weekend</v>
      </c>
      <c r="N27" s="565" t="str">
        <f>April!DN38</f>
        <v/>
      </c>
      <c r="O27" s="559" t="str">
        <f>April!D38</f>
        <v/>
      </c>
      <c r="P27" s="560">
        <f>Aar!AK27</f>
        <v>25</v>
      </c>
      <c r="Q27" s="125" t="str">
        <f>Aar!AL27</f>
        <v>ti</v>
      </c>
      <c r="R27" s="125" t="str">
        <f>Aar!AM27</f>
        <v>Skema 1</v>
      </c>
      <c r="S27" s="565" t="str">
        <f>Maj!DN38</f>
        <v/>
      </c>
      <c r="T27" s="561" t="str">
        <f>Maj!D38</f>
        <v/>
      </c>
      <c r="U27" s="560">
        <f>Aar!AO27</f>
        <v>25</v>
      </c>
      <c r="V27" s="125" t="str">
        <f>Aar!AP27</f>
        <v>fr</v>
      </c>
      <c r="W27" s="125" t="str">
        <f>Aar!AQ27</f>
        <v>Emnedag</v>
      </c>
      <c r="X27" s="565" t="str">
        <f>Juni!DN38</f>
        <v>Sdiste skoledag og afslutning</v>
      </c>
      <c r="Y27" s="559" t="str">
        <f>Juni!D38</f>
        <v/>
      </c>
      <c r="Z27" s="560">
        <f>Aar!AS27</f>
        <v>25</v>
      </c>
      <c r="AA27" s="125" t="str">
        <f>Aar!AT27</f>
        <v>sø</v>
      </c>
      <c r="AB27" s="125" t="str">
        <f>Aar!AU27</f>
        <v>Weekend</v>
      </c>
      <c r="AC27" s="565" t="str">
        <f>Juli!DN38</f>
        <v/>
      </c>
      <c r="AD27" s="561" t="str">
        <f>Juli!D38</f>
        <v/>
      </c>
    </row>
    <row r="28" spans="1:30" ht="23" customHeight="1">
      <c r="A28" s="560">
        <f>Aar!Y28</f>
        <v>26</v>
      </c>
      <c r="B28" s="125" t="str">
        <f>Aar!Z28</f>
        <v>fr</v>
      </c>
      <c r="C28" s="126" t="str">
        <f>Februar!C39</f>
        <v>Skema 1</v>
      </c>
      <c r="D28" s="564" t="str">
        <f>Februar!DN39</f>
        <v/>
      </c>
      <c r="E28" s="563" t="str">
        <f>Aar!AB28</f>
        <v/>
      </c>
      <c r="F28" s="125">
        <f>Aar!AC28</f>
        <v>26</v>
      </c>
      <c r="G28" s="125" t="str">
        <f>Aar!AD28</f>
        <v>fr</v>
      </c>
      <c r="H28" s="125" t="str">
        <f>Aar!AE28</f>
        <v>SH-dag</v>
      </c>
      <c r="I28" s="565" t="str">
        <f>Marts!DN39</f>
        <v>Langfredag</v>
      </c>
      <c r="J28" s="561" t="str">
        <f>Marts!D39</f>
        <v/>
      </c>
      <c r="K28" s="125">
        <f>Aar!AG28</f>
        <v>26</v>
      </c>
      <c r="L28" s="125" t="str">
        <f>Aar!AH28</f>
        <v>ma</v>
      </c>
      <c r="M28" s="125" t="str">
        <f>Aar!AI28</f>
        <v>Skema 1</v>
      </c>
      <c r="N28" s="565" t="str">
        <f>April!DN39</f>
        <v/>
      </c>
      <c r="O28" s="559">
        <f>April!D39</f>
        <v>17.428571428571427</v>
      </c>
      <c r="P28" s="560">
        <f>Aar!AK28</f>
        <v>26</v>
      </c>
      <c r="Q28" s="125" t="str">
        <f>Aar!AL28</f>
        <v>on</v>
      </c>
      <c r="R28" s="125" t="str">
        <f>Aar!AM28</f>
        <v>Skema 1</v>
      </c>
      <c r="S28" s="565" t="str">
        <f>Maj!DN39</f>
        <v/>
      </c>
      <c r="T28" s="561" t="str">
        <f>Maj!D39</f>
        <v/>
      </c>
      <c r="U28" s="560">
        <f>Aar!AO28</f>
        <v>26</v>
      </c>
      <c r="V28" s="125" t="str">
        <f>Aar!AP28</f>
        <v>lø</v>
      </c>
      <c r="W28" s="125" t="str">
        <f>Aar!AQ28</f>
        <v>Weekend</v>
      </c>
      <c r="X28" s="565" t="str">
        <f>Juni!DN39</f>
        <v/>
      </c>
      <c r="Y28" s="559" t="str">
        <f>Juni!D39</f>
        <v/>
      </c>
      <c r="Z28" s="560">
        <f>Aar!AS28</f>
        <v>26</v>
      </c>
      <c r="AA28" s="125" t="str">
        <f>Aar!AT28</f>
        <v>ma</v>
      </c>
      <c r="AB28" s="125" t="str">
        <f>Aar!AU28</f>
        <v>Feriedag</v>
      </c>
      <c r="AC28" s="565" t="str">
        <f>Juli!DN39</f>
        <v>Sommerferie</v>
      </c>
      <c r="AD28" s="561">
        <f>Juli!D39</f>
        <v>30.428571428571427</v>
      </c>
    </row>
    <row r="29" spans="1:30" ht="23" customHeight="1">
      <c r="A29" s="560">
        <f>Aar!Y29</f>
        <v>27</v>
      </c>
      <c r="B29" s="125" t="str">
        <f>Aar!Z29</f>
        <v>lø</v>
      </c>
      <c r="C29" s="126" t="str">
        <f>Februar!C40</f>
        <v>Weekend</v>
      </c>
      <c r="D29" s="564" t="str">
        <f>Februar!DN40</f>
        <v/>
      </c>
      <c r="E29" s="563" t="str">
        <f>Aar!AB29</f>
        <v/>
      </c>
      <c r="F29" s="125">
        <f>Aar!AC29</f>
        <v>27</v>
      </c>
      <c r="G29" s="125" t="str">
        <f>Aar!AD29</f>
        <v>lø</v>
      </c>
      <c r="H29" s="125" t="str">
        <f>Aar!AE29</f>
        <v>Weekend</v>
      </c>
      <c r="I29" s="565" t="str">
        <f>Marts!DN40</f>
        <v/>
      </c>
      <c r="J29" s="561" t="str">
        <f>Marts!D40</f>
        <v/>
      </c>
      <c r="K29" s="125">
        <f>Aar!AG29</f>
        <v>27</v>
      </c>
      <c r="L29" s="125" t="str">
        <f>Aar!AH29</f>
        <v>ti</v>
      </c>
      <c r="M29" s="125" t="str">
        <f>Aar!AI29</f>
        <v>Skema 1</v>
      </c>
      <c r="N29" s="565" t="str">
        <f>April!DN40</f>
        <v/>
      </c>
      <c r="O29" s="559" t="str">
        <f>April!D40</f>
        <v/>
      </c>
      <c r="P29" s="560">
        <f>Aar!AK29</f>
        <v>27</v>
      </c>
      <c r="Q29" s="125" t="str">
        <f>Aar!AL29</f>
        <v>to</v>
      </c>
      <c r="R29" s="125" t="str">
        <f>Aar!AM29</f>
        <v>Skema 1</v>
      </c>
      <c r="S29" s="565" t="str">
        <f>Maj!DN40</f>
        <v>Lærermøde</v>
      </c>
      <c r="T29" s="561" t="str">
        <f>Maj!D40</f>
        <v/>
      </c>
      <c r="U29" s="560">
        <f>Aar!AO29</f>
        <v>27</v>
      </c>
      <c r="V29" s="125" t="str">
        <f>Aar!AP29</f>
        <v>sø</v>
      </c>
      <c r="W29" s="125" t="str">
        <f>Aar!AQ29</f>
        <v>Weekend</v>
      </c>
      <c r="X29" s="565" t="str">
        <f>Juni!DN40</f>
        <v/>
      </c>
      <c r="Y29" s="559" t="str">
        <f>Juni!D40</f>
        <v/>
      </c>
      <c r="Z29" s="560">
        <f>Aar!AS29</f>
        <v>27</v>
      </c>
      <c r="AA29" s="125" t="str">
        <f>Aar!AT29</f>
        <v>ti</v>
      </c>
      <c r="AB29" s="125" t="str">
        <f>Aar!AU29</f>
        <v>Feriedag</v>
      </c>
      <c r="AC29" s="565" t="str">
        <f>Juli!DN40</f>
        <v>Sommerferie</v>
      </c>
      <c r="AD29" s="561" t="str">
        <f>Juli!D40</f>
        <v/>
      </c>
    </row>
    <row r="30" spans="1:30" ht="23" customHeight="1">
      <c r="A30" s="560">
        <f>Aar!Y30</f>
        <v>28</v>
      </c>
      <c r="B30" s="125" t="str">
        <f>Aar!Z30</f>
        <v>sø</v>
      </c>
      <c r="C30" s="126" t="str">
        <f>Februar!C41</f>
        <v>Weekend</v>
      </c>
      <c r="D30" s="564" t="str">
        <f>Februar!DN41</f>
        <v/>
      </c>
      <c r="E30" s="563" t="str">
        <f>Aar!AB30</f>
        <v/>
      </c>
      <c r="F30" s="125">
        <f>Aar!AC30</f>
        <v>28</v>
      </c>
      <c r="G30" s="125" t="str">
        <f>Aar!AD30</f>
        <v>sø</v>
      </c>
      <c r="H30" s="125" t="str">
        <f>Aar!AE30</f>
        <v>Weekend</v>
      </c>
      <c r="I30" s="565" t="str">
        <f>Marts!DN41</f>
        <v/>
      </c>
      <c r="J30" s="561" t="str">
        <f>Marts!D41</f>
        <v/>
      </c>
      <c r="K30" s="125">
        <f>Aar!AG30</f>
        <v>28</v>
      </c>
      <c r="L30" s="125" t="str">
        <f>Aar!AH30</f>
        <v>on</v>
      </c>
      <c r="M30" s="125" t="str">
        <f>Aar!AI30</f>
        <v>Skema 1</v>
      </c>
      <c r="N30" s="565" t="str">
        <f>April!DN41</f>
        <v/>
      </c>
      <c r="O30" s="559" t="str">
        <f>April!D41</f>
        <v/>
      </c>
      <c r="P30" s="560">
        <f>Aar!AK30</f>
        <v>28</v>
      </c>
      <c r="Q30" s="125" t="str">
        <f>Aar!AL30</f>
        <v>fr</v>
      </c>
      <c r="R30" s="125" t="str">
        <f>Aar!AM30</f>
        <v>Skema 1</v>
      </c>
      <c r="S30" s="565" t="str">
        <f>Maj!DN41</f>
        <v/>
      </c>
      <c r="T30" s="561" t="str">
        <f>Maj!D41</f>
        <v/>
      </c>
      <c r="U30" s="560">
        <f>Aar!AO30</f>
        <v>28</v>
      </c>
      <c r="V30" s="125" t="str">
        <f>Aar!AP30</f>
        <v>ma</v>
      </c>
      <c r="W30" s="125" t="str">
        <f>Aar!AQ30</f>
        <v>Pæd.dag</v>
      </c>
      <c r="X30" s="565" t="str">
        <f>Juni!DN41</f>
        <v>Afslutning af året</v>
      </c>
      <c r="Y30" s="559">
        <f>Juni!D41</f>
        <v>26.428571428571427</v>
      </c>
      <c r="Z30" s="560">
        <f>Aar!AS30</f>
        <v>28</v>
      </c>
      <c r="AA30" s="125" t="str">
        <f>Aar!AT30</f>
        <v>on</v>
      </c>
      <c r="AB30" s="125" t="str">
        <f>Aar!AU30</f>
        <v>Feriedag</v>
      </c>
      <c r="AC30" s="565" t="str">
        <f>Juli!DN41</f>
        <v>Sommerferie</v>
      </c>
      <c r="AD30" s="561" t="str">
        <f>Juli!D41</f>
        <v/>
      </c>
    </row>
    <row r="31" spans="1:30" ht="23" customHeight="1">
      <c r="A31" s="194">
        <f>Aar!Y31</f>
        <v>0</v>
      </c>
      <c r="B31" s="195">
        <f>Aar!Z31</f>
        <v>0</v>
      </c>
      <c r="C31" s="711" t="str">
        <f>Februar!C42</f>
        <v>Ikke relevant</v>
      </c>
      <c r="D31" s="598" t="str">
        <f>Februar!DN42</f>
        <v/>
      </c>
      <c r="E31" s="599">
        <f>Aar!AB31</f>
        <v>0</v>
      </c>
      <c r="F31" s="125">
        <f>Aar!AC31</f>
        <v>29</v>
      </c>
      <c r="G31" s="125" t="str">
        <f>Aar!AD31</f>
        <v>ma</v>
      </c>
      <c r="H31" s="125" t="str">
        <f>Aar!AE31</f>
        <v>SH-dag</v>
      </c>
      <c r="I31" s="565" t="str">
        <f>Marts!DN42</f>
        <v>2. Påskedag</v>
      </c>
      <c r="J31" s="561">
        <f>Marts!D42</f>
        <v>13.428571428571429</v>
      </c>
      <c r="K31" s="125">
        <f>Aar!AG31</f>
        <v>29</v>
      </c>
      <c r="L31" s="125" t="str">
        <f>Aar!AH31</f>
        <v>to</v>
      </c>
      <c r="M31" s="125" t="str">
        <f>Aar!AI31</f>
        <v>Skema 1</v>
      </c>
      <c r="N31" s="565" t="str">
        <f>April!DN42</f>
        <v/>
      </c>
      <c r="O31" s="559" t="str">
        <f>April!D42</f>
        <v/>
      </c>
      <c r="P31" s="560">
        <f>Aar!AK31</f>
        <v>29</v>
      </c>
      <c r="Q31" s="125" t="str">
        <f>Aar!AL31</f>
        <v>lø</v>
      </c>
      <c r="R31" s="125" t="str">
        <f>Aar!AM31</f>
        <v>Weekend</v>
      </c>
      <c r="S31" s="565" t="str">
        <f>Maj!DN42</f>
        <v/>
      </c>
      <c r="T31" s="561" t="str">
        <f>Maj!D42</f>
        <v/>
      </c>
      <c r="U31" s="560">
        <f>Aar!AO31</f>
        <v>29</v>
      </c>
      <c r="V31" s="125" t="str">
        <f>Aar!AP31</f>
        <v>ti</v>
      </c>
      <c r="W31" s="125" t="str">
        <f>Aar!AQ31</f>
        <v>Pæd.dag</v>
      </c>
      <c r="X31" s="565" t="str">
        <f>Juni!DN42</f>
        <v>Forberedleser til næste skoleår</v>
      </c>
      <c r="Y31" s="559" t="str">
        <f>Juni!D42</f>
        <v/>
      </c>
      <c r="Z31" s="560">
        <f>Aar!AS31</f>
        <v>29</v>
      </c>
      <c r="AA31" s="125" t="str">
        <f>Aar!AT31</f>
        <v>to</v>
      </c>
      <c r="AB31" s="125" t="str">
        <f>Aar!AU31</f>
        <v>Feriedag</v>
      </c>
      <c r="AC31" s="565" t="str">
        <f>Juli!DN42</f>
        <v>Sommerferie</v>
      </c>
      <c r="AD31" s="561" t="str">
        <f>Juli!D42</f>
        <v/>
      </c>
    </row>
    <row r="32" spans="1:30" ht="23" customHeight="1">
      <c r="A32" s="76"/>
      <c r="B32" s="76"/>
      <c r="C32" s="77"/>
      <c r="D32" s="77"/>
      <c r="E32" s="445"/>
      <c r="F32" s="560">
        <f>Aar!AC32</f>
        <v>30</v>
      </c>
      <c r="G32" s="125" t="str">
        <f>Aar!AD32</f>
        <v>ti</v>
      </c>
      <c r="H32" s="125" t="str">
        <f>Aar!AE32</f>
        <v>Skema 1</v>
      </c>
      <c r="I32" s="540" t="str">
        <f>Marts!DN43</f>
        <v/>
      </c>
      <c r="J32" s="561" t="str">
        <f>Marts!D43</f>
        <v/>
      </c>
      <c r="K32" s="125">
        <f>Aar!AG32</f>
        <v>30</v>
      </c>
      <c r="L32" s="125" t="str">
        <f>Aar!AH32</f>
        <v>fr</v>
      </c>
      <c r="M32" s="125" t="str">
        <f>Aar!AI32</f>
        <v>Skema 1</v>
      </c>
      <c r="N32" s="565" t="str">
        <f>April!DN43</f>
        <v/>
      </c>
      <c r="O32" s="559" t="str">
        <f>April!D43</f>
        <v/>
      </c>
      <c r="P32" s="560">
        <f>Aar!AK32</f>
        <v>30</v>
      </c>
      <c r="Q32" s="125" t="str">
        <f>Aar!AL32</f>
        <v>sø</v>
      </c>
      <c r="R32" s="125" t="str">
        <f>Aar!AM32</f>
        <v>Weekend</v>
      </c>
      <c r="S32" s="565" t="str">
        <f>Maj!DN43</f>
        <v/>
      </c>
      <c r="T32" s="561" t="str">
        <f>Maj!D43</f>
        <v/>
      </c>
      <c r="U32" s="560">
        <f>Aar!AO32</f>
        <v>30</v>
      </c>
      <c r="V32" s="125" t="str">
        <f>Aar!AP32</f>
        <v>on</v>
      </c>
      <c r="W32" s="125" t="str">
        <f>Aar!AQ32</f>
        <v>Nul-dag</v>
      </c>
      <c r="X32" s="565" t="str">
        <f>Juni!DN43</f>
        <v/>
      </c>
      <c r="Y32" s="559" t="str">
        <f>Juni!D43</f>
        <v/>
      </c>
      <c r="Z32" s="560">
        <f>Aar!AS32</f>
        <v>30</v>
      </c>
      <c r="AA32" s="125" t="str">
        <f>Aar!AT32</f>
        <v>fr</v>
      </c>
      <c r="AB32" s="125" t="str">
        <f>Aar!AU32</f>
        <v>Feriedag</v>
      </c>
      <c r="AC32" s="565" t="str">
        <f>Juli!DN43</f>
        <v>Sommerferie</v>
      </c>
      <c r="AD32" s="561" t="str">
        <f>Juli!D43</f>
        <v/>
      </c>
    </row>
    <row r="33" spans="1:30" ht="23" customHeight="1">
      <c r="A33" s="76"/>
      <c r="B33" s="76"/>
      <c r="C33" s="77"/>
      <c r="D33" s="77"/>
      <c r="E33" s="445"/>
      <c r="F33" s="560">
        <f>Aar!AC33</f>
        <v>31</v>
      </c>
      <c r="G33" s="125" t="str">
        <f>Aar!AD33</f>
        <v>on</v>
      </c>
      <c r="H33" s="125" t="str">
        <f>Aar!AE33</f>
        <v>Skema 1</v>
      </c>
      <c r="I33" s="565" t="str">
        <f>Marts!DN44</f>
        <v/>
      </c>
      <c r="J33" s="561" t="str">
        <f>Marts!D44</f>
        <v/>
      </c>
      <c r="K33" s="76"/>
      <c r="L33" s="76"/>
      <c r="M33" s="77"/>
      <c r="N33" s="566"/>
      <c r="O33" s="445"/>
      <c r="P33" s="560">
        <f>Aar!AK33</f>
        <v>31</v>
      </c>
      <c r="Q33" s="125" t="str">
        <f>Aar!AL33</f>
        <v>ma</v>
      </c>
      <c r="R33" s="125" t="str">
        <f>Aar!AM33</f>
        <v>Skema 1</v>
      </c>
      <c r="S33" s="565" t="str">
        <f>Maj!DN44</f>
        <v/>
      </c>
      <c r="T33" s="561">
        <f>Maj!D44</f>
        <v>22.428571428571427</v>
      </c>
      <c r="U33" s="76"/>
      <c r="V33" s="76"/>
      <c r="W33" s="77"/>
      <c r="X33" s="77"/>
      <c r="Y33" s="445"/>
      <c r="Z33" s="560">
        <f>Aar!AS33</f>
        <v>31</v>
      </c>
      <c r="AA33" s="125" t="str">
        <f>Aar!AT33</f>
        <v>lø</v>
      </c>
      <c r="AB33" s="125" t="str">
        <f>Aar!AU33</f>
        <v>Weekend</v>
      </c>
      <c r="AC33" s="565" t="str">
        <f>Juli!DN44</f>
        <v/>
      </c>
      <c r="AD33" s="561" t="str">
        <f>Juli!D44</f>
        <v/>
      </c>
    </row>
    <row r="34" spans="1:30" ht="23" customHeight="1">
      <c r="A34" s="68"/>
      <c r="B34" s="68"/>
      <c r="C34" s="68">
        <f>Aar!Z34</f>
        <v>20</v>
      </c>
      <c r="D34" s="68" t="str">
        <f>Aar!AA34</f>
        <v xml:space="preserve"> arbejdsdage</v>
      </c>
      <c r="E34" s="68"/>
      <c r="F34" s="68"/>
      <c r="G34" s="68"/>
      <c r="H34" s="68">
        <f>Aar!AD34</f>
        <v>20</v>
      </c>
      <c r="I34" s="68" t="str">
        <f>Aar!AE34</f>
        <v xml:space="preserve"> arbejdsdage</v>
      </c>
      <c r="J34" s="68"/>
      <c r="K34" s="68"/>
      <c r="L34" s="68"/>
      <c r="M34" s="68">
        <f>Aar!AH34</f>
        <v>22</v>
      </c>
      <c r="N34" s="68" t="str">
        <f>Aar!AI34</f>
        <v xml:space="preserve"> arbejdsdage</v>
      </c>
      <c r="O34" s="68"/>
      <c r="P34" s="68"/>
      <c r="Q34" s="68"/>
      <c r="R34" s="68">
        <f>Aar!AL34</f>
        <v>19</v>
      </c>
      <c r="S34" s="68" t="str">
        <f>Aar!AM34</f>
        <v xml:space="preserve"> arbejdsdage</v>
      </c>
      <c r="T34" s="68"/>
      <c r="U34" s="68"/>
      <c r="V34" s="68"/>
      <c r="W34" s="68">
        <f>Aar!AP34</f>
        <v>22</v>
      </c>
      <c r="X34" s="68" t="str">
        <f>Aar!AQ34</f>
        <v xml:space="preserve"> arbejdsdage</v>
      </c>
      <c r="Y34" s="68"/>
      <c r="Z34" s="68"/>
      <c r="AA34" s="68"/>
      <c r="AB34" s="513">
        <f>Aar!AT34</f>
        <v>22</v>
      </c>
      <c r="AC34" s="513" t="str">
        <f>Aar!AU34</f>
        <v xml:space="preserve"> arbejdsdage</v>
      </c>
      <c r="AD34" s="68"/>
    </row>
    <row r="35" spans="1:30" ht="23" customHeight="1" thickBot="1">
      <c r="A35" s="68"/>
      <c r="B35" s="68"/>
      <c r="C35" s="68"/>
      <c r="D35" s="68"/>
      <c r="E35" s="68"/>
      <c r="F35" s="68"/>
      <c r="G35" s="68"/>
      <c r="H35" s="68"/>
      <c r="I35" s="68"/>
      <c r="J35" s="68"/>
      <c r="K35" s="68"/>
      <c r="L35" s="68"/>
      <c r="M35" s="68"/>
      <c r="N35" s="68"/>
      <c r="O35" s="68"/>
      <c r="P35" s="68"/>
      <c r="Q35" s="68"/>
      <c r="R35" s="68"/>
      <c r="S35" s="68"/>
      <c r="T35" s="68"/>
      <c r="U35" s="68"/>
      <c r="V35" s="68"/>
      <c r="W35" s="68"/>
      <c r="X35" s="68"/>
      <c r="Y35" s="68"/>
      <c r="Z35" s="68"/>
      <c r="AA35" s="68"/>
      <c r="AB35" s="68"/>
      <c r="AC35" s="68"/>
      <c r="AD35" s="68"/>
    </row>
    <row r="36" spans="1:30" ht="29" customHeight="1" thickBot="1">
      <c r="A36" s="1611" t="str">
        <f>"I alt for hele skoleåret "&amp;Vejledning!B2&amp;""</f>
        <v>I alt for hele skoleåret 2026-2027</v>
      </c>
      <c r="B36" s="1612"/>
      <c r="C36" s="1612"/>
      <c r="D36" s="1612"/>
      <c r="E36" s="1612"/>
      <c r="F36" s="1612"/>
      <c r="G36" s="1612"/>
      <c r="H36" s="1612"/>
      <c r="I36" s="1612"/>
      <c r="J36" s="1612"/>
      <c r="K36" s="1612"/>
      <c r="L36" s="1612"/>
      <c r="M36" s="1612"/>
      <c r="N36" s="1612"/>
      <c r="O36" s="1612"/>
      <c r="P36" s="1612"/>
      <c r="Q36" s="1612"/>
      <c r="R36" s="1612"/>
      <c r="S36" s="1612"/>
      <c r="T36" s="1612"/>
      <c r="U36" s="1613"/>
      <c r="V36" s="113"/>
      <c r="W36" s="114"/>
      <c r="X36" s="110"/>
      <c r="Y36" s="68"/>
      <c r="Z36" s="68"/>
      <c r="AA36" s="68"/>
      <c r="AB36" s="68"/>
      <c r="AC36" s="68"/>
      <c r="AD36" s="68"/>
    </row>
    <row r="37" spans="1:30" ht="23" customHeight="1">
      <c r="A37" s="1614" t="s">
        <v>116</v>
      </c>
      <c r="B37" s="1615"/>
      <c r="C37" s="1615"/>
      <c r="D37" s="1615"/>
      <c r="E37" s="1615"/>
      <c r="F37" s="1615"/>
      <c r="G37" s="1615"/>
      <c r="H37" s="128">
        <f>Aar!G37</f>
        <v>172</v>
      </c>
      <c r="I37" s="169"/>
      <c r="J37" s="169"/>
      <c r="K37" s="169"/>
      <c r="L37" s="169"/>
      <c r="M37" s="169"/>
      <c r="N37" s="1616" t="s">
        <v>115</v>
      </c>
      <c r="O37" s="1617"/>
      <c r="P37" s="1617"/>
      <c r="Q37" s="1617"/>
      <c r="R37" s="1617"/>
      <c r="S37" s="1617"/>
      <c r="T37" s="1617"/>
      <c r="U37" s="168">
        <f>Aar!AE37</f>
        <v>6</v>
      </c>
      <c r="V37" s="111"/>
      <c r="W37" s="68"/>
      <c r="X37" s="107"/>
      <c r="Y37" s="107"/>
      <c r="Z37" s="68"/>
      <c r="AA37" s="68"/>
      <c r="AB37" s="106"/>
      <c r="AC37" s="60"/>
      <c r="AD37" s="60"/>
    </row>
    <row r="38" spans="1:30" ht="23" customHeight="1">
      <c r="A38" s="1618" t="s">
        <v>114</v>
      </c>
      <c r="B38" s="1619"/>
      <c r="C38" s="1619"/>
      <c r="D38" s="1619"/>
      <c r="E38" s="1619"/>
      <c r="F38" s="1619"/>
      <c r="G38" s="1619"/>
      <c r="H38" s="165">
        <f>Aar!O37</f>
        <v>22</v>
      </c>
      <c r="I38" s="170"/>
      <c r="J38" s="170"/>
      <c r="K38" s="170"/>
      <c r="L38" s="170"/>
      <c r="M38" s="170"/>
      <c r="N38" s="172" t="s">
        <v>141</v>
      </c>
      <c r="O38" s="1626">
        <f>Aar!O35</f>
        <v>105</v>
      </c>
      <c r="P38" s="1626"/>
      <c r="Q38" s="1626"/>
      <c r="R38" s="164" t="s">
        <v>142</v>
      </c>
      <c r="S38" s="164"/>
      <c r="T38" s="1622">
        <f>Aar!W35</f>
        <v>7</v>
      </c>
      <c r="U38" s="1623"/>
      <c r="V38" s="111"/>
      <c r="W38" s="68"/>
      <c r="X38" s="107"/>
      <c r="Y38" s="107"/>
      <c r="Z38" s="68"/>
      <c r="AA38" s="68"/>
      <c r="AB38" s="106"/>
      <c r="AC38" s="60"/>
      <c r="AD38" s="60"/>
    </row>
    <row r="39" spans="1:30" ht="23" customHeight="1">
      <c r="A39" s="1620" t="s">
        <v>119</v>
      </c>
      <c r="B39" s="1621"/>
      <c r="C39" s="1621"/>
      <c r="D39" s="1621"/>
      <c r="E39" s="1621"/>
      <c r="F39" s="1621"/>
      <c r="G39" s="1621"/>
      <c r="H39" s="166">
        <f>Aar!W37</f>
        <v>5</v>
      </c>
      <c r="I39" s="170"/>
      <c r="J39" s="170"/>
      <c r="K39" s="170"/>
      <c r="L39" s="170"/>
      <c r="M39" s="170"/>
      <c r="N39" s="180" t="s">
        <v>161</v>
      </c>
      <c r="O39" s="1624">
        <f>Aar!AE35</f>
        <v>25</v>
      </c>
      <c r="P39" s="1624"/>
      <c r="Q39" s="1625"/>
      <c r="R39" s="178" t="s">
        <v>162</v>
      </c>
      <c r="S39" s="178"/>
      <c r="T39" s="178"/>
      <c r="U39" s="446">
        <f>Aar!AV35</f>
        <v>0</v>
      </c>
      <c r="V39" s="112"/>
      <c r="W39" s="68"/>
      <c r="X39" s="107"/>
      <c r="Y39" s="107"/>
      <c r="Z39" s="68"/>
      <c r="AA39" s="68"/>
      <c r="AB39" s="106"/>
      <c r="AC39" s="60"/>
      <c r="AD39" s="60"/>
    </row>
    <row r="40" spans="1:30" ht="23" customHeight="1" thickBot="1">
      <c r="A40" s="162" t="s">
        <v>149</v>
      </c>
      <c r="B40" s="163"/>
      <c r="C40" s="163"/>
      <c r="D40" s="163"/>
      <c r="E40" s="163"/>
      <c r="F40" s="163"/>
      <c r="G40" s="163"/>
      <c r="H40" s="167">
        <f>SUM(H37:H39)</f>
        <v>199</v>
      </c>
      <c r="I40" s="171"/>
      <c r="J40" s="171"/>
      <c r="K40" s="171"/>
      <c r="L40" s="171"/>
      <c r="M40" s="171"/>
      <c r="N40" s="450" t="s">
        <v>166</v>
      </c>
      <c r="O40" s="451"/>
      <c r="P40" s="451"/>
      <c r="Q40" s="451">
        <f>Aar!AM35</f>
        <v>24</v>
      </c>
      <c r="R40" s="448" t="str">
        <f>'1.halvaar'!R39</f>
        <v>Orlovsdage</v>
      </c>
      <c r="S40" s="448"/>
      <c r="T40" s="448"/>
      <c r="U40" s="449">
        <f>Aar!AV37</f>
        <v>0</v>
      </c>
      <c r="V40" s="111"/>
      <c r="W40" s="68"/>
      <c r="X40" s="107"/>
      <c r="Y40" s="107"/>
      <c r="Z40" s="68"/>
      <c r="AA40" s="68"/>
      <c r="AB40" s="106"/>
      <c r="AC40" s="60"/>
      <c r="AD40" s="60"/>
    </row>
  </sheetData>
  <sheetProtection sheet="1" formatCells="0" formatColumns="0" formatRows="0" insertColumns="0"/>
  <mergeCells count="8">
    <mergeCell ref="A36:U36"/>
    <mergeCell ref="A37:G37"/>
    <mergeCell ref="N37:T37"/>
    <mergeCell ref="A38:G38"/>
    <mergeCell ref="A39:G39"/>
    <mergeCell ref="T38:U38"/>
    <mergeCell ref="O38:Q38"/>
    <mergeCell ref="O39:Q39"/>
  </mergeCells>
  <phoneticPr fontId="5" type="noConversion"/>
  <printOptions horizontalCentered="1" verticalCentered="1"/>
  <pageMargins left="0" right="0" top="0" bottom="0" header="0" footer="0"/>
  <pageSetup paperSize="9" scale="55" orientation="landscape" horizontalDpi="4294967292" verticalDpi="4294967292"/>
  <ignoredErrors>
    <ignoredError sqref="C33:E33 K33:O33 C32:E32 U33:Y33" unlockedFormula="1"/>
  </ignoredErrors>
  <drawing r:id="rId1"/>
  <extLst>
    <ext xmlns:x14="http://schemas.microsoft.com/office/spreadsheetml/2009/9/main" uri="{78C0D931-6437-407d-A8EE-F0AAD7539E65}">
      <x14:conditionalFormattings>
        <x14:conditionalFormatting xmlns:xm="http://schemas.microsoft.com/office/excel/2006/main">
          <x14:cfRule type="expression" priority="32" id="{AA8D41F6-A3CD-5249-A8C0-AF6CB62E51FE}">
            <xm:f>OR(Februar!$C14="Ikke relevant")</xm:f>
            <x14:dxf>
              <font>
                <color theme="0"/>
              </font>
              <fill>
                <patternFill>
                  <bgColor theme="1"/>
                </patternFill>
              </fill>
            </x14:dxf>
          </x14:cfRule>
          <xm:sqref>A3:E30</xm:sqref>
        </x14:conditionalFormatting>
        <x14:conditionalFormatting xmlns:xm="http://schemas.microsoft.com/office/excel/2006/main">
          <x14:cfRule type="expression" priority="91" id="{10B48BC6-8EAF-2942-BB6D-13EE2B42F7DD}">
            <xm:f>OR(Februar!$C14="weekend")</xm:f>
            <x14:dxf>
              <font>
                <color theme="1"/>
              </font>
              <fill>
                <patternFill>
                  <bgColor theme="0" tint="-0.14996795556505021"/>
                </patternFill>
              </fill>
            </x14:dxf>
          </x14:cfRule>
          <x14:cfRule type="expression" priority="90" id="{F6CC4708-7E92-A745-9939-7594EE6EADA0}">
            <xm:f>OR(Februar!$C14="feriedag")</xm:f>
            <x14:dxf>
              <font>
                <color theme="1"/>
              </font>
              <fill>
                <patternFill>
                  <bgColor theme="6" tint="0.39994506668294322"/>
                </patternFill>
              </fill>
            </x14:dxf>
          </x14:cfRule>
          <x14:cfRule type="expression" priority="89" id="{57E068A6-D249-1E4A-84B8-176519CE97D6}">
            <xm:f>OR(Februar!$C14="fagdag")</xm:f>
            <x14:dxf>
              <font>
                <color theme="1"/>
              </font>
              <fill>
                <patternFill>
                  <bgColor theme="9" tint="0.59996337778862885"/>
                </patternFill>
              </fill>
            </x14:dxf>
          </x14:cfRule>
          <x14:cfRule type="expression" priority="88" id="{D5F29B49-D605-7245-83DF-DFB7B5E07041}">
            <xm:f>OR(Februar!$C14="emnedag")</xm:f>
            <x14:dxf>
              <font>
                <color theme="1"/>
              </font>
              <fill>
                <patternFill>
                  <bgColor theme="5" tint="0.59996337778862885"/>
                </patternFill>
              </fill>
            </x14:dxf>
          </x14:cfRule>
          <x14:cfRule type="expression" priority="87" id="{16BF4041-5844-EF42-A47B-6A70837B4FEC}">
            <xm:f>OR(Februar!$C14="lejrskole")</xm:f>
            <x14:dxf>
              <font>
                <color theme="1"/>
              </font>
              <fill>
                <patternFill>
                  <bgColor theme="8" tint="0.59996337778862885"/>
                </patternFill>
              </fill>
            </x14:dxf>
          </x14:cfRule>
          <x14:cfRule type="expression" priority="86" id="{0CC0AE7B-459A-DE49-8983-75A273A5D06F}">
            <xm:f>OR(Februar!$C14="ekskursion")</xm:f>
            <x14:dxf>
              <font>
                <color theme="1"/>
              </font>
              <fill>
                <patternFill>
                  <bgColor rgb="FFFFFF00"/>
                </patternFill>
              </fill>
            </x14:dxf>
          </x14:cfRule>
          <x14:cfRule type="expression" priority="85" id="{06C03DDE-3533-E649-9DE8-8AD68AEE153F}">
            <xm:f>OR(Februar!$C14="SH-dag")</xm:f>
            <x14:dxf>
              <font>
                <color theme="1"/>
              </font>
              <fill>
                <patternFill>
                  <bgColor rgb="FFFF2F82"/>
                </patternFill>
              </fill>
            </x14:dxf>
          </x14:cfRule>
          <x14:cfRule type="expression" priority="92" stopIfTrue="1" id="{97279CEF-ECAE-2646-970C-2A7450844C7C}">
            <xm:f>OR(Februar!$C14="Orlov")</xm:f>
            <x14:dxf>
              <font>
                <color theme="0"/>
              </font>
              <fill>
                <patternFill patternType="solid">
                  <bgColor theme="6" tint="-0.24994659260841701"/>
                </patternFill>
              </fill>
            </x14:dxf>
          </x14:cfRule>
          <x14:cfRule type="expression" priority="83" id="{4869A631-E5B2-AC4A-9F64-07F866BAB5B5}">
            <xm:f>OR(Februar!$C14="pæd.dag")</xm:f>
            <x14:dxf>
              <font>
                <color theme="1"/>
              </font>
              <fill>
                <patternFill>
                  <bgColor theme="7" tint="0.39994506668294322"/>
                </patternFill>
              </fill>
            </x14:dxf>
          </x14:cfRule>
          <x14:cfRule type="expression" priority="84" id="{39C4D426-F21A-FE41-AD48-523EDD85B599}">
            <xm:f>OR(Februar!$C14="nul-dag")</xm:f>
            <x14:dxf>
              <font>
                <color theme="1"/>
              </font>
              <fill>
                <patternFill>
                  <bgColor theme="5" tint="0.79998168889431442"/>
                </patternFill>
              </fill>
            </x14:dxf>
          </x14:cfRule>
          <x14:cfRule type="expression" priority="24" id="{E96A00CC-49F7-8B42-B1D7-8CF5307B2C13}">
            <xm:f>OR(Februar!$C14="Skema 4")</xm:f>
            <x14:dxf>
              <font>
                <color theme="0"/>
              </font>
              <fill>
                <patternFill>
                  <bgColor theme="4" tint="-0.24994659260841701"/>
                </patternFill>
              </fill>
            </x14:dxf>
          </x14:cfRule>
          <x14:cfRule type="expression" priority="23" id="{F7929E43-28A2-6B4D-8A95-49373E998490}">
            <xm:f>OR(Februar!$C14="Skema 3")</xm:f>
            <x14:dxf>
              <font>
                <color theme="0"/>
              </font>
              <fill>
                <patternFill>
                  <bgColor theme="4" tint="0.39994506668294322"/>
                </patternFill>
              </fill>
            </x14:dxf>
          </x14:cfRule>
          <x14:cfRule type="expression" priority="22" id="{E6DCFBEB-E6D1-244B-BC94-3093EE48BAFD}">
            <xm:f>OR(Februar!$C14="Skema 2")</xm:f>
            <x14:dxf>
              <font>
                <color theme="1"/>
              </font>
              <fill>
                <patternFill>
                  <bgColor theme="4" tint="0.59996337778862885"/>
                </patternFill>
              </fill>
            </x14:dxf>
          </x14:cfRule>
          <x14:cfRule type="expression" priority="21" id="{0AB281AD-E70D-B542-939D-EF5BD8824FD8}">
            <xm:f>OR(Februar!$C14="Skema 1")</xm:f>
            <x14:dxf>
              <font>
                <color theme="1"/>
              </font>
              <fill>
                <patternFill>
                  <bgColor theme="4" tint="0.79998168889431442"/>
                </patternFill>
              </fill>
            </x14:dxf>
          </x14:cfRule>
          <xm:sqref>A3:E31</xm:sqref>
        </x14:conditionalFormatting>
        <x14:conditionalFormatting xmlns:xm="http://schemas.microsoft.com/office/excel/2006/main">
          <x14:cfRule type="expression" priority="79" id="{373C7241-B62D-9B49-AF38-D031587F45C8}">
            <xm:f>OR(Marts!$C14="fagdag")</xm:f>
            <x14:dxf>
              <font>
                <color theme="1"/>
              </font>
              <fill>
                <patternFill>
                  <bgColor theme="9" tint="0.59996337778862885"/>
                </patternFill>
              </fill>
            </x14:dxf>
          </x14:cfRule>
          <x14:cfRule type="expression" priority="17" id="{D2EC0C15-42B0-6D4C-A256-9BBBA2237861}">
            <xm:f>OR(Marts!$C14="Skema 1")</xm:f>
            <x14:dxf>
              <font>
                <color theme="1"/>
              </font>
              <fill>
                <patternFill>
                  <bgColor theme="4" tint="0.79998168889431442"/>
                </patternFill>
              </fill>
            </x14:dxf>
          </x14:cfRule>
          <x14:cfRule type="expression" priority="18" id="{2668D4B4-6813-6441-B780-22F04DA03A65}">
            <xm:f>OR(Marts!$C14="Skema 2")</xm:f>
            <x14:dxf>
              <font>
                <color theme="1"/>
              </font>
              <fill>
                <patternFill>
                  <bgColor theme="4" tint="0.59996337778862885"/>
                </patternFill>
              </fill>
            </x14:dxf>
          </x14:cfRule>
          <x14:cfRule type="expression" priority="19" id="{183EF8EE-7380-EA42-A43E-539681C98578}">
            <xm:f>OR(Marts!$C14="Skema 3")</xm:f>
            <x14:dxf>
              <font>
                <color theme="0"/>
              </font>
              <fill>
                <patternFill>
                  <bgColor theme="4" tint="0.39994506668294322"/>
                </patternFill>
              </fill>
            </x14:dxf>
          </x14:cfRule>
          <x14:cfRule type="expression" priority="20" id="{45049CC7-BA0C-4E4F-8BA7-F857EC8F7012}">
            <xm:f>OR(Marts!$C14="Skema 4")</xm:f>
            <x14:dxf>
              <font>
                <color theme="0"/>
              </font>
              <fill>
                <patternFill>
                  <bgColor theme="4" tint="-0.24994659260841701"/>
                </patternFill>
              </fill>
            </x14:dxf>
          </x14:cfRule>
          <x14:cfRule type="expression" priority="78" id="{8E5C35AA-8A39-4A4A-9284-8B2E3E35C756}">
            <xm:f>OR(Marts!$C14="emnedag")</xm:f>
            <x14:dxf>
              <font>
                <color theme="1"/>
              </font>
              <fill>
                <patternFill>
                  <bgColor theme="5" tint="0.59996337778862885"/>
                </patternFill>
              </fill>
            </x14:dxf>
          </x14:cfRule>
          <x14:cfRule type="expression" priority="77" id="{2B18A6A9-445C-114D-B7BF-725EB47AD762}">
            <xm:f>OR(Marts!$C14="lejrskole")</xm:f>
            <x14:dxf>
              <font>
                <color theme="1"/>
              </font>
              <fill>
                <patternFill>
                  <bgColor theme="8" tint="0.59996337778862885"/>
                </patternFill>
              </fill>
            </x14:dxf>
          </x14:cfRule>
          <x14:cfRule type="expression" priority="76" id="{0F5CAAAC-B94A-0946-BE6A-D17B3DED7811}">
            <xm:f>OR(Marts!$C14="ekskursion")</xm:f>
            <x14:dxf>
              <font>
                <color theme="1"/>
              </font>
              <fill>
                <patternFill>
                  <bgColor rgb="FFFFFF00"/>
                </patternFill>
              </fill>
            </x14:dxf>
          </x14:cfRule>
          <x14:cfRule type="expression" priority="75" id="{58971DDF-F166-E042-B167-6C2F1BBE6AD0}">
            <xm:f>OR(Marts!$C14="SH-dag")</xm:f>
            <x14:dxf>
              <font>
                <color theme="1"/>
              </font>
              <fill>
                <patternFill>
                  <bgColor rgb="FFFF2F82"/>
                </patternFill>
              </fill>
            </x14:dxf>
          </x14:cfRule>
          <x14:cfRule type="expression" priority="74" id="{537C09DA-DA59-4148-AEB0-9861A919B227}">
            <xm:f>OR(Marts!$C14="nul-dag")</xm:f>
            <x14:dxf>
              <font>
                <color theme="1"/>
              </font>
              <fill>
                <patternFill>
                  <bgColor theme="5" tint="0.79998168889431442"/>
                </patternFill>
              </fill>
            </x14:dxf>
          </x14:cfRule>
          <x14:cfRule type="expression" priority="73" id="{6D6BFA12-E389-EF41-92A5-388BBB962CF0}">
            <xm:f>OR(Marts!$C14="pæd.dag")</xm:f>
            <x14:dxf>
              <font>
                <color theme="1"/>
              </font>
              <fill>
                <patternFill>
                  <bgColor theme="7" tint="0.39994506668294322"/>
                </patternFill>
              </fill>
            </x14:dxf>
          </x14:cfRule>
          <x14:cfRule type="expression" priority="80" id="{0D652B04-5C4F-1145-9D7E-C15326BC13C5}">
            <xm:f>OR(Marts!$C14="feriedag")</xm:f>
            <x14:dxf>
              <font>
                <color theme="1"/>
              </font>
              <fill>
                <patternFill>
                  <bgColor theme="6" tint="0.39994506668294322"/>
                </patternFill>
              </fill>
            </x14:dxf>
          </x14:cfRule>
          <x14:cfRule type="expression" priority="81" id="{2F51A462-F28C-7B4A-8F6B-B8F18F2E47B6}">
            <xm:f>OR(Marts!$C14="weekend")</xm:f>
            <x14:dxf>
              <font>
                <color theme="1"/>
              </font>
              <fill>
                <patternFill>
                  <bgColor theme="0" tint="-0.14996795556505021"/>
                </patternFill>
              </fill>
            </x14:dxf>
          </x14:cfRule>
          <x14:cfRule type="expression" priority="31" id="{3AB6D212-85A0-F04D-920B-A92267DB488B}">
            <xm:f>OR(Marts!$C14="Ikke relevant")</xm:f>
            <x14:dxf>
              <font>
                <color theme="0"/>
              </font>
              <fill>
                <patternFill>
                  <bgColor theme="1"/>
                </patternFill>
              </fill>
            </x14:dxf>
          </x14:cfRule>
          <x14:cfRule type="expression" priority="82" stopIfTrue="1" id="{A19BC286-75C7-384E-9180-53B85FFC3066}">
            <xm:f>OR(Marts!$C14="Orlov")</xm:f>
            <x14:dxf>
              <font>
                <color theme="0"/>
              </font>
              <fill>
                <patternFill patternType="solid">
                  <bgColor theme="6" tint="-0.24994659260841701"/>
                </patternFill>
              </fill>
            </x14:dxf>
          </x14:cfRule>
          <xm:sqref>F3:J33</xm:sqref>
        </x14:conditionalFormatting>
        <x14:conditionalFormatting xmlns:xm="http://schemas.microsoft.com/office/excel/2006/main">
          <x14:cfRule type="expression" priority="63" id="{DC92B041-9CB0-7C47-B533-E9085F59E8A9}">
            <xm:f>OR(April!$C14="pæd.dag")</xm:f>
            <x14:dxf>
              <font>
                <color theme="1"/>
              </font>
              <fill>
                <patternFill>
                  <bgColor theme="7" tint="0.39994506668294322"/>
                </patternFill>
              </fill>
            </x14:dxf>
          </x14:cfRule>
          <x14:cfRule type="expression" priority="30" id="{6306EA6E-7EFD-BB4E-8E6A-C4B3394E39EE}">
            <xm:f>OR(April!$C14="ikke relevant")</xm:f>
            <x14:dxf>
              <font>
                <color theme="0"/>
              </font>
              <fill>
                <patternFill>
                  <bgColor theme="1"/>
                </patternFill>
              </fill>
            </x14:dxf>
          </x14:cfRule>
          <x14:cfRule type="expression" priority="64" id="{7CE152F0-A425-1248-8322-25979A2FFD16}">
            <xm:f>OR(April!$C14="nul-dag")</xm:f>
            <x14:dxf>
              <font>
                <color theme="1"/>
              </font>
              <fill>
                <patternFill>
                  <bgColor theme="5" tint="0.79998168889431442"/>
                </patternFill>
              </fill>
            </x14:dxf>
          </x14:cfRule>
          <x14:cfRule type="expression" priority="16" id="{B911483F-34B1-0841-AE6D-1366C2EBA141}">
            <xm:f>OR(April!$C14="Skema 4")</xm:f>
            <x14:dxf>
              <font>
                <color theme="0"/>
              </font>
              <fill>
                <patternFill>
                  <bgColor theme="4" tint="-0.24994659260841701"/>
                </patternFill>
              </fill>
            </x14:dxf>
          </x14:cfRule>
          <x14:cfRule type="expression" priority="15" id="{9F6CA0E6-3F7E-A742-8DFE-4D197D13EA50}">
            <xm:f>OR(April!$C14="Skema 3")</xm:f>
            <x14:dxf>
              <font>
                <color theme="0"/>
              </font>
              <fill>
                <patternFill>
                  <bgColor theme="4" tint="0.39994506668294322"/>
                </patternFill>
              </fill>
            </x14:dxf>
          </x14:cfRule>
          <x14:cfRule type="expression" priority="14" id="{47044C37-6CDB-764B-8156-51B877293132}">
            <xm:f>OR(April!$C14="Skema 2")</xm:f>
            <x14:dxf>
              <font>
                <color theme="1"/>
              </font>
              <fill>
                <patternFill>
                  <bgColor theme="4" tint="0.59996337778862885"/>
                </patternFill>
              </fill>
            </x14:dxf>
          </x14:cfRule>
          <x14:cfRule type="expression" priority="13" id="{7477664D-0AAF-0243-81B7-83C3931736AA}">
            <xm:f>OR(April!$C14="Skema 1")</xm:f>
            <x14:dxf>
              <font>
                <color theme="1"/>
              </font>
              <fill>
                <patternFill>
                  <bgColor theme="4" tint="0.79998168889431442"/>
                </patternFill>
              </fill>
            </x14:dxf>
          </x14:cfRule>
          <x14:cfRule type="expression" priority="65" id="{D075334A-CE3A-494E-9982-667528C25034}">
            <xm:f>OR(April!$C14="SH-dag")</xm:f>
            <x14:dxf>
              <font>
                <color theme="1"/>
              </font>
              <fill>
                <patternFill>
                  <bgColor rgb="FFFF2F82"/>
                </patternFill>
              </fill>
            </x14:dxf>
          </x14:cfRule>
          <x14:cfRule type="expression" priority="66" id="{86C9FF40-FEB8-0C4D-973A-8E7738579157}">
            <xm:f>OR(April!$C14="ekskursion")</xm:f>
            <x14:dxf>
              <font>
                <color theme="1"/>
              </font>
              <fill>
                <patternFill>
                  <bgColor rgb="FFFFFF00"/>
                </patternFill>
              </fill>
            </x14:dxf>
          </x14:cfRule>
          <x14:cfRule type="expression" priority="67" id="{AEDC18A4-7A62-8344-BB27-BC03F4283E41}">
            <xm:f>OR(April!$C14="lejrskole")</xm:f>
            <x14:dxf>
              <font>
                <color theme="1"/>
              </font>
              <fill>
                <patternFill>
                  <bgColor theme="8" tint="0.59996337778862885"/>
                </patternFill>
              </fill>
            </x14:dxf>
          </x14:cfRule>
          <x14:cfRule type="expression" priority="72" stopIfTrue="1" id="{75133B94-247C-034A-8A6D-3FA79206DDF4}">
            <xm:f>OR(April!$C14="Orlov")</xm:f>
            <x14:dxf>
              <font>
                <color theme="0"/>
              </font>
              <fill>
                <patternFill patternType="solid">
                  <bgColor theme="6" tint="-0.24994659260841701"/>
                </patternFill>
              </fill>
            </x14:dxf>
          </x14:cfRule>
          <x14:cfRule type="expression" priority="71" id="{A75B3236-996A-9B43-B894-25887F31CA82}">
            <xm:f>OR(April!$C14="weekend")</xm:f>
            <x14:dxf>
              <font>
                <color theme="1"/>
              </font>
              <fill>
                <patternFill>
                  <bgColor theme="0" tint="-0.14996795556505021"/>
                </patternFill>
              </fill>
            </x14:dxf>
          </x14:cfRule>
          <x14:cfRule type="expression" priority="70" id="{65DBF272-472D-7A49-B91E-CDD7C79D2FE8}">
            <xm:f>OR(April!$C14="feriedag")</xm:f>
            <x14:dxf>
              <font>
                <color theme="1"/>
              </font>
              <fill>
                <patternFill>
                  <bgColor theme="6" tint="0.39994506668294322"/>
                </patternFill>
              </fill>
            </x14:dxf>
          </x14:cfRule>
          <x14:cfRule type="expression" priority="69" id="{D6B95BC6-48E7-BE4E-953A-B0B01E962921}">
            <xm:f>OR(April!$C14="fagdag")</xm:f>
            <x14:dxf>
              <font>
                <color theme="1"/>
              </font>
              <fill>
                <patternFill>
                  <bgColor theme="9" tint="0.59996337778862885"/>
                </patternFill>
              </fill>
            </x14:dxf>
          </x14:cfRule>
          <x14:cfRule type="expression" priority="68" id="{8D108F10-178F-994B-B53E-B126B41262A3}">
            <xm:f>OR(April!$C14="emnedag")</xm:f>
            <x14:dxf>
              <font>
                <color theme="1"/>
              </font>
              <fill>
                <patternFill>
                  <bgColor theme="5" tint="0.59996337778862885"/>
                </patternFill>
              </fill>
            </x14:dxf>
          </x14:cfRule>
          <xm:sqref>K3:O32</xm:sqref>
        </x14:conditionalFormatting>
        <x14:conditionalFormatting xmlns:xm="http://schemas.microsoft.com/office/excel/2006/main">
          <x14:cfRule type="expression" priority="9" id="{03041ED0-70A6-B841-82DD-8E909FE4848C}">
            <xm:f>OR(Maj!$C14="Skema 1")</xm:f>
            <x14:dxf>
              <font>
                <color theme="1"/>
              </font>
              <fill>
                <patternFill>
                  <bgColor theme="4" tint="0.79998168889431442"/>
                </patternFill>
              </fill>
            </x14:dxf>
          </x14:cfRule>
          <x14:cfRule type="expression" priority="10" id="{01BF3053-383D-954B-B219-0EC7917AC7FB}">
            <xm:f>OR(Maj!$C14="Skema 2")</xm:f>
            <x14:dxf>
              <font>
                <color theme="1"/>
              </font>
              <fill>
                <patternFill>
                  <bgColor theme="4" tint="0.59996337778862885"/>
                </patternFill>
              </fill>
            </x14:dxf>
          </x14:cfRule>
          <x14:cfRule type="expression" priority="11" id="{1AED923F-68EC-994E-8111-6DE1953F8846}">
            <xm:f>OR(Maj!$C14="Skema 3")</xm:f>
            <x14:dxf>
              <font>
                <color theme="0"/>
              </font>
              <fill>
                <patternFill>
                  <bgColor theme="4" tint="0.39994506668294322"/>
                </patternFill>
              </fill>
            </x14:dxf>
          </x14:cfRule>
          <x14:cfRule type="expression" priority="12" id="{EDA7D371-A004-6C45-86BF-4760DC1B3BE6}">
            <xm:f>OR(Maj!$C14="Skema 4")</xm:f>
            <x14:dxf>
              <font>
                <color theme="0"/>
              </font>
              <fill>
                <patternFill>
                  <bgColor theme="4" tint="-0.24994659260841701"/>
                </patternFill>
              </fill>
            </x14:dxf>
          </x14:cfRule>
          <x14:cfRule type="expression" priority="29" id="{8931C539-23F9-3D4C-BF47-13E25A58A4D9}">
            <xm:f>OR(Maj!$C14="Ikke relevant")</xm:f>
            <x14:dxf>
              <font>
                <color theme="0"/>
              </font>
              <fill>
                <patternFill>
                  <bgColor theme="1"/>
                </patternFill>
              </fill>
            </x14:dxf>
          </x14:cfRule>
          <x14:cfRule type="expression" priority="53" id="{50CD2F4D-996F-2E48-9022-BAB76BF43BAB}">
            <xm:f>OR(Maj!$C14="pæd.dag")</xm:f>
            <x14:dxf>
              <font>
                <color theme="1"/>
              </font>
              <fill>
                <patternFill>
                  <bgColor theme="7" tint="0.39994506668294322"/>
                </patternFill>
              </fill>
            </x14:dxf>
          </x14:cfRule>
          <x14:cfRule type="expression" priority="54" id="{474248A2-6E04-9542-963A-C43CDF25A209}">
            <xm:f>OR(Maj!$C14="nul-dag")</xm:f>
            <x14:dxf>
              <font>
                <color theme="1"/>
              </font>
              <fill>
                <patternFill>
                  <bgColor theme="5" tint="0.79998168889431442"/>
                </patternFill>
              </fill>
            </x14:dxf>
          </x14:cfRule>
          <x14:cfRule type="expression" priority="55" id="{7AE2C63B-BDB1-684F-958D-34FE6BDDFCE3}">
            <xm:f>OR(Maj!$C14="SH-dag")</xm:f>
            <x14:dxf>
              <font>
                <color theme="1"/>
              </font>
              <fill>
                <patternFill>
                  <bgColor rgb="FFFF2F82"/>
                </patternFill>
              </fill>
            </x14:dxf>
          </x14:cfRule>
          <x14:cfRule type="expression" priority="56" id="{B6E9AB86-49BF-A44A-92F6-92D75FC06D26}">
            <xm:f>OR(Maj!$C14="ekskursion")</xm:f>
            <x14:dxf>
              <font>
                <color theme="1"/>
              </font>
              <fill>
                <patternFill>
                  <bgColor rgb="FFFFFF00"/>
                </patternFill>
              </fill>
            </x14:dxf>
          </x14:cfRule>
          <x14:cfRule type="expression" priority="57" id="{D4188B95-6B50-0B41-B1B1-3525B3093F6D}">
            <xm:f>OR(Maj!$C14="lejrskole")</xm:f>
            <x14:dxf>
              <font>
                <color theme="1"/>
              </font>
              <fill>
                <patternFill>
                  <bgColor theme="8" tint="0.59996337778862885"/>
                </patternFill>
              </fill>
            </x14:dxf>
          </x14:cfRule>
          <x14:cfRule type="expression" priority="58" id="{D07F190B-00C6-BE49-A3BF-2A5442CAF3E6}">
            <xm:f>OR(Maj!$C14="emnedag")</xm:f>
            <x14:dxf>
              <font>
                <color theme="1"/>
              </font>
              <fill>
                <patternFill>
                  <bgColor theme="5" tint="0.59996337778862885"/>
                </patternFill>
              </fill>
            </x14:dxf>
          </x14:cfRule>
          <x14:cfRule type="expression" priority="59" id="{0A28D22A-A4B3-3745-87F1-178CFAAB8A9E}">
            <xm:f>OR(Maj!$C14="fagdag")</xm:f>
            <x14:dxf>
              <font>
                <color theme="1"/>
              </font>
              <fill>
                <patternFill>
                  <bgColor theme="9" tint="0.59996337778862885"/>
                </patternFill>
              </fill>
            </x14:dxf>
          </x14:cfRule>
          <x14:cfRule type="expression" priority="60" id="{51495512-FECE-E14B-B72B-4B8AD254C6F0}">
            <xm:f>OR(Maj!$C14="feriedag")</xm:f>
            <x14:dxf>
              <font>
                <color theme="1"/>
              </font>
              <fill>
                <patternFill>
                  <bgColor theme="6" tint="0.39994506668294322"/>
                </patternFill>
              </fill>
            </x14:dxf>
          </x14:cfRule>
          <x14:cfRule type="expression" priority="61" id="{B2568CEC-E71A-5046-BDBB-3FF7DE9CC555}">
            <xm:f>OR(Maj!$C14="weekend")</xm:f>
            <x14:dxf>
              <font>
                <color theme="1"/>
              </font>
              <fill>
                <patternFill>
                  <bgColor theme="0" tint="-0.14996795556505021"/>
                </patternFill>
              </fill>
            </x14:dxf>
          </x14:cfRule>
          <x14:cfRule type="expression" priority="62" stopIfTrue="1" id="{EC84CFD7-C053-2144-ACE4-DC211962BDBB}">
            <xm:f>OR(Maj!$C14="Orlov")</xm:f>
            <x14:dxf>
              <font>
                <color theme="0"/>
              </font>
              <fill>
                <patternFill patternType="solid">
                  <bgColor theme="6" tint="-0.24994659260841701"/>
                </patternFill>
              </fill>
            </x14:dxf>
          </x14:cfRule>
          <xm:sqref>P3:T33</xm:sqref>
        </x14:conditionalFormatting>
        <x14:conditionalFormatting xmlns:xm="http://schemas.microsoft.com/office/excel/2006/main">
          <x14:cfRule type="expression" priority="48" id="{9AACDA6B-04BD-9740-94B5-3C14DC59DD13}">
            <xm:f>OR(Juni!$C14="emnedag")</xm:f>
            <x14:dxf>
              <font>
                <color theme="1"/>
              </font>
              <fill>
                <patternFill>
                  <bgColor theme="5" tint="0.59996337778862885"/>
                </patternFill>
              </fill>
            </x14:dxf>
          </x14:cfRule>
          <x14:cfRule type="expression" priority="52" stopIfTrue="1" id="{A8C3538A-4F35-6C46-8AC0-A42EC24299DE}">
            <xm:f>OR(Juni!$C14="Orlov")</xm:f>
            <x14:dxf>
              <font>
                <color theme="0"/>
              </font>
              <fill>
                <patternFill patternType="solid">
                  <bgColor theme="6" tint="-0.24994659260841701"/>
                </patternFill>
              </fill>
            </x14:dxf>
          </x14:cfRule>
          <x14:cfRule type="expression" priority="51" id="{4C3AAFF6-429E-B148-ABA3-4235BAD6AF07}">
            <xm:f>OR(Juni!$C14="weekend")</xm:f>
            <x14:dxf>
              <font>
                <color theme="1"/>
              </font>
              <fill>
                <patternFill>
                  <bgColor theme="0" tint="-0.14996795556505021"/>
                </patternFill>
              </fill>
            </x14:dxf>
          </x14:cfRule>
          <x14:cfRule type="expression" priority="50" id="{16B5986B-0CB3-EF48-9F62-D21F4540C027}">
            <xm:f>OR(Juni!$C14="feriedag")</xm:f>
            <x14:dxf>
              <font>
                <color theme="1"/>
              </font>
              <fill>
                <patternFill>
                  <bgColor theme="6" tint="0.39994506668294322"/>
                </patternFill>
              </fill>
            </x14:dxf>
          </x14:cfRule>
          <x14:cfRule type="expression" priority="49" id="{C3A6622B-2656-1148-8021-15583886E755}">
            <xm:f>OR(Juni!$C14="fagdag")</xm:f>
            <x14:dxf>
              <font>
                <color theme="1"/>
              </font>
              <fill>
                <patternFill>
                  <bgColor theme="9" tint="0.59996337778862885"/>
                </patternFill>
              </fill>
            </x14:dxf>
          </x14:cfRule>
          <x14:cfRule type="expression" priority="47" id="{1424242C-FBB8-D24D-BDB5-1A4762F47231}">
            <xm:f>OR(Juni!$C14="lejrskole")</xm:f>
            <x14:dxf>
              <font>
                <color theme="1"/>
              </font>
              <fill>
                <patternFill>
                  <bgColor theme="8" tint="0.59996337778862885"/>
                </patternFill>
              </fill>
            </x14:dxf>
          </x14:cfRule>
          <x14:cfRule type="expression" priority="46" id="{929A9DD8-CC91-C644-BF67-D6FE634ED795}">
            <xm:f>OR(Juni!$C14="ekskursion")</xm:f>
            <x14:dxf>
              <font>
                <color theme="1"/>
              </font>
              <fill>
                <patternFill>
                  <bgColor rgb="FFFFFF00"/>
                </patternFill>
              </fill>
            </x14:dxf>
          </x14:cfRule>
          <x14:cfRule type="expression" priority="45" id="{E0EAF2A4-095E-234E-B0BB-557171345B2A}">
            <xm:f>OR(Juni!$C14="SH-dag")</xm:f>
            <x14:dxf>
              <font>
                <color theme="1"/>
              </font>
              <fill>
                <patternFill>
                  <bgColor rgb="FFFF2F82"/>
                </patternFill>
              </fill>
            </x14:dxf>
          </x14:cfRule>
          <x14:cfRule type="expression" priority="44" id="{6984B7EC-16D3-4C4A-BA3B-40F03CB56610}">
            <xm:f>OR(Juni!$C14="nul-dag")</xm:f>
            <x14:dxf>
              <font>
                <color theme="1"/>
              </font>
              <fill>
                <patternFill>
                  <bgColor theme="5" tint="0.79998168889431442"/>
                </patternFill>
              </fill>
            </x14:dxf>
          </x14:cfRule>
          <x14:cfRule type="expression" priority="43" id="{D966B48E-945A-A64F-9C79-43029C85E30F}">
            <xm:f>OR(Juni!$C14="pæd.dag")</xm:f>
            <x14:dxf>
              <font>
                <color theme="1"/>
              </font>
              <fill>
                <patternFill>
                  <bgColor theme="7" tint="0.39994506668294322"/>
                </patternFill>
              </fill>
            </x14:dxf>
          </x14:cfRule>
          <x14:cfRule type="expression" priority="5" id="{9F57C169-AA27-104B-AD9F-B4377E1640CB}">
            <xm:f>OR(Juni!$C14="Skema 1")</xm:f>
            <x14:dxf>
              <font>
                <color theme="1"/>
              </font>
              <fill>
                <patternFill>
                  <bgColor theme="4" tint="0.79998168889431442"/>
                </patternFill>
              </fill>
            </x14:dxf>
          </x14:cfRule>
          <x14:cfRule type="expression" priority="6" id="{E0BFBAEA-0D07-8347-BF7D-0D8EBD03E44E}">
            <xm:f>OR(Juni!$C14="Skema 2")</xm:f>
            <x14:dxf>
              <font>
                <color theme="1"/>
              </font>
              <fill>
                <patternFill>
                  <bgColor theme="4" tint="0.59996337778862885"/>
                </patternFill>
              </fill>
            </x14:dxf>
          </x14:cfRule>
          <x14:cfRule type="expression" priority="7" id="{43FD1777-4FED-EC45-A034-2F64B6909D76}">
            <xm:f>OR(Juni!$C14="Skema 3")</xm:f>
            <x14:dxf>
              <font>
                <color theme="0"/>
              </font>
              <fill>
                <patternFill>
                  <bgColor theme="4" tint="0.39994506668294322"/>
                </patternFill>
              </fill>
            </x14:dxf>
          </x14:cfRule>
          <x14:cfRule type="expression" priority="8" id="{CC0D2052-B582-BC4E-8EC0-5218D205E5D8}">
            <xm:f>OR(Juni!$C14="Skema 4")</xm:f>
            <x14:dxf>
              <font>
                <color theme="0"/>
              </font>
              <fill>
                <patternFill>
                  <bgColor theme="4" tint="-0.24994659260841701"/>
                </patternFill>
              </fill>
            </x14:dxf>
          </x14:cfRule>
          <x14:cfRule type="expression" priority="26" id="{F0ABB181-A066-8D49-86E7-9AEF13BDC583}">
            <xm:f>OR(Juni!$C14="Ikke relevant")</xm:f>
            <x14:dxf>
              <font>
                <color theme="0"/>
              </font>
              <fill>
                <patternFill>
                  <bgColor theme="1"/>
                </patternFill>
              </fill>
            </x14:dxf>
          </x14:cfRule>
          <xm:sqref>U3:Y32</xm:sqref>
        </x14:conditionalFormatting>
        <x14:conditionalFormatting xmlns:xm="http://schemas.microsoft.com/office/excel/2006/main">
          <x14:cfRule type="expression" priority="37" id="{68A3A017-2778-6742-A269-1079E334C9D2}">
            <xm:f>OR(Juli!$C14="lejrskole")</xm:f>
            <x14:dxf>
              <font>
                <color theme="1"/>
              </font>
              <fill>
                <patternFill>
                  <bgColor theme="8" tint="0.59996337778862885"/>
                </patternFill>
              </fill>
            </x14:dxf>
          </x14:cfRule>
          <x14:cfRule type="expression" priority="36" id="{1CE3DB7B-733A-E640-B601-A4D92D9964F8}">
            <xm:f>OR(Juli!$C14="ekskursion")</xm:f>
            <x14:dxf>
              <font>
                <color theme="1"/>
              </font>
              <fill>
                <patternFill>
                  <bgColor rgb="FFFFFF00"/>
                </patternFill>
              </fill>
            </x14:dxf>
          </x14:cfRule>
          <x14:cfRule type="expression" priority="35" id="{099C738A-55FA-FF4B-83F9-9DBABCB4DF0F}">
            <xm:f>OR(Juli!$C14="SH-dag")</xm:f>
            <x14:dxf>
              <font>
                <color theme="1"/>
              </font>
              <fill>
                <patternFill>
                  <bgColor rgb="FFFF2F82"/>
                </patternFill>
              </fill>
            </x14:dxf>
          </x14:cfRule>
          <x14:cfRule type="expression" priority="34" id="{93A40936-AA49-0443-9ADE-D6753D0D065C}">
            <xm:f>OR(Juli!$C14="nul-dag")</xm:f>
            <x14:dxf>
              <font>
                <color theme="1"/>
              </font>
              <fill>
                <patternFill>
                  <bgColor theme="5" tint="0.79998168889431442"/>
                </patternFill>
              </fill>
            </x14:dxf>
          </x14:cfRule>
          <x14:cfRule type="expression" priority="33" id="{D517ADF8-817F-054B-9146-3E87DEC8739B}">
            <xm:f>OR(Juli!$C14="pæd.dag")</xm:f>
            <x14:dxf>
              <font>
                <color theme="1"/>
              </font>
              <fill>
                <patternFill>
                  <bgColor theme="7" tint="0.39994506668294322"/>
                </patternFill>
              </fill>
            </x14:dxf>
          </x14:cfRule>
          <x14:cfRule type="expression" priority="38" id="{859ACBD8-07BA-B942-AF66-F8C8D62755F0}">
            <xm:f>OR(Juli!$C14="emnedag")</xm:f>
            <x14:dxf>
              <font>
                <color theme="1"/>
              </font>
              <fill>
                <patternFill>
                  <bgColor theme="5" tint="0.59996337778862885"/>
                </patternFill>
              </fill>
            </x14:dxf>
          </x14:cfRule>
          <x14:cfRule type="expression" priority="25" id="{F0BEE529-422E-E340-A6EC-06762E977344}">
            <xm:f>OR(Juli!$C14="Ikke relevant")</xm:f>
            <x14:dxf>
              <font>
                <color theme="0"/>
              </font>
              <fill>
                <patternFill>
                  <bgColor theme="1"/>
                </patternFill>
              </fill>
            </x14:dxf>
          </x14:cfRule>
          <x14:cfRule type="expression" priority="39" id="{085CD43C-CE64-454C-BA3B-E1E7DF101E99}">
            <xm:f>OR(Juli!$C14="fagdag")</xm:f>
            <x14:dxf>
              <font>
                <color theme="1"/>
              </font>
              <fill>
                <patternFill>
                  <bgColor theme="9" tint="0.59996337778862885"/>
                </patternFill>
              </fill>
            </x14:dxf>
          </x14:cfRule>
          <x14:cfRule type="expression" priority="40" id="{11A4B951-B98F-A043-A2A9-84ECB369DD41}">
            <xm:f>OR(Juli!$C14="feriedag")</xm:f>
            <x14:dxf>
              <font>
                <color theme="1"/>
              </font>
              <fill>
                <patternFill>
                  <bgColor theme="6" tint="0.39994506668294322"/>
                </patternFill>
              </fill>
            </x14:dxf>
          </x14:cfRule>
          <x14:cfRule type="expression" priority="41" id="{00544BEC-1ED1-374C-B735-C09CF59E796D}">
            <xm:f>OR(Juli!$C14="weekend")</xm:f>
            <x14:dxf>
              <font>
                <color theme="1"/>
              </font>
              <fill>
                <patternFill>
                  <bgColor theme="0" tint="-0.14996795556505021"/>
                </patternFill>
              </fill>
            </x14:dxf>
          </x14:cfRule>
          <x14:cfRule type="expression" priority="42" stopIfTrue="1" id="{7CF96F1D-A969-D441-8FE0-B4A2FADD1DAB}">
            <xm:f>OR(Juli!$C14="Orlov")</xm:f>
            <x14:dxf>
              <font>
                <color theme="0"/>
              </font>
              <fill>
                <patternFill patternType="solid">
                  <bgColor theme="6" tint="-0.24994659260841701"/>
                </patternFill>
              </fill>
            </x14:dxf>
          </x14:cfRule>
          <x14:cfRule type="expression" priority="4" id="{FF8A0C49-7711-2148-84C9-C6A2DAD7D220}">
            <xm:f>OR(Juli!$C14="Skema 4")</xm:f>
            <x14:dxf>
              <font>
                <color theme="0"/>
              </font>
              <fill>
                <patternFill>
                  <bgColor theme="4" tint="-0.24994659260841701"/>
                </patternFill>
              </fill>
            </x14:dxf>
          </x14:cfRule>
          <x14:cfRule type="expression" priority="3" id="{FEFA4618-0E81-6343-8086-7C039E3E2BF2}">
            <xm:f>OR(Juli!$C14="Skema 3")</xm:f>
            <x14:dxf>
              <font>
                <color theme="0"/>
              </font>
              <fill>
                <patternFill>
                  <bgColor theme="4" tint="0.39994506668294322"/>
                </patternFill>
              </fill>
            </x14:dxf>
          </x14:cfRule>
          <x14:cfRule type="expression" priority="2" id="{19F797BC-D9FE-684D-9BA2-0572330AF9D9}">
            <xm:f>OR(Juli!$C14="Skema 2")</xm:f>
            <x14:dxf>
              <font>
                <color theme="1"/>
              </font>
              <fill>
                <patternFill>
                  <bgColor theme="4" tint="0.59996337778862885"/>
                </patternFill>
              </fill>
            </x14:dxf>
          </x14:cfRule>
          <x14:cfRule type="expression" priority="1" id="{AD285191-2CE1-8B4F-96B3-7DBA611FD62F}">
            <xm:f>OR(Juli!$C14="Skema 1")</xm:f>
            <x14:dxf>
              <font>
                <color theme="1"/>
              </font>
              <fill>
                <patternFill>
                  <bgColor theme="4" tint="0.79998168889431442"/>
                </patternFill>
              </fill>
            </x14:dxf>
          </x14:cfRule>
          <xm:sqref>Z3:AD33</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2F37F-BAC0-8B4C-A174-594CA26E1EE1}">
  <sheetPr>
    <tabColor theme="4" tint="0.59999389629810485"/>
    <pageSetUpPr fitToPage="1"/>
  </sheetPr>
  <dimension ref="A1:G33"/>
  <sheetViews>
    <sheetView showZeros="0" workbookViewId="0">
      <selection activeCell="A22" sqref="A22"/>
    </sheetView>
  </sheetViews>
  <sheetFormatPr baseColWidth="10" defaultRowHeight="16"/>
  <cols>
    <col min="3" max="7" width="15.83203125" customWidth="1"/>
  </cols>
  <sheetData>
    <row r="1" spans="1:7" ht="32" customHeight="1">
      <c r="A1" s="1629" t="str">
        <f>Skemaoplysninger!A10</f>
        <v>Skema 1 vedr. Beate Simonsen</v>
      </c>
      <c r="B1" s="1630"/>
      <c r="C1" s="1630"/>
      <c r="D1" s="1630"/>
      <c r="E1" s="1630"/>
      <c r="F1" s="1630"/>
      <c r="G1" s="1631"/>
    </row>
    <row r="2" spans="1:7" ht="32" customHeight="1">
      <c r="A2" s="1627" t="s">
        <v>216</v>
      </c>
      <c r="B2" s="1628"/>
      <c r="C2" s="1628"/>
      <c r="D2" s="1632" t="str">
        <f>Skemaoplysninger!F12</f>
        <v>01.08.26</v>
      </c>
      <c r="E2" s="1632"/>
      <c r="F2" s="1632" t="str">
        <f>Skemaoplysninger!J12</f>
        <v>31.07.27</v>
      </c>
      <c r="G2" s="1633"/>
    </row>
    <row r="3" spans="1:7" s="46" customFormat="1" ht="32" customHeight="1">
      <c r="A3" s="762" t="s">
        <v>64</v>
      </c>
      <c r="B3" s="268" t="s">
        <v>65</v>
      </c>
      <c r="C3" s="269" t="s">
        <v>34</v>
      </c>
      <c r="D3" s="269" t="s">
        <v>35</v>
      </c>
      <c r="E3" s="269" t="s">
        <v>36</v>
      </c>
      <c r="F3" s="269" t="s">
        <v>37</v>
      </c>
      <c r="G3" s="270" t="s">
        <v>38</v>
      </c>
    </row>
    <row r="4" spans="1:7" ht="30" customHeight="1">
      <c r="A4" s="763">
        <f>IF(Skemaoplysninger!A16&gt;0,Skemaoplysninger!B16,"")</f>
        <v>0.33333333333333331</v>
      </c>
      <c r="B4" s="34">
        <f>IF(Skemaoplysninger!A16&gt;0,Skemaoplysninger!C16,"")</f>
        <v>0.3611111111111111</v>
      </c>
      <c r="C4" s="26" t="str">
        <f>IF(Skemaoplysninger!E16&gt;0,Skemaoplysninger!E16,"")</f>
        <v>MS og fortælling</v>
      </c>
      <c r="D4" s="26" t="str">
        <f>IF(Skemaoplysninger!G16&gt;0,Skemaoplysninger!G16,"")</f>
        <v>MS</v>
      </c>
      <c r="E4" s="26" t="str">
        <f>IF(Skemaoplysninger!I16&gt;0,Skemaoplysninger!I16,"")</f>
        <v>MS</v>
      </c>
      <c r="F4" s="26" t="str">
        <f>IF(Skemaoplysninger!K16&gt;0,Skemaoplysninger!K16,"")</f>
        <v/>
      </c>
      <c r="G4" s="764" t="str">
        <f>IF(Skemaoplysninger!M16&gt;0,Skemaoplysninger!M16,"")</f>
        <v/>
      </c>
    </row>
    <row r="5" spans="1:7" ht="30" customHeight="1">
      <c r="A5" s="765">
        <f>IF(Skemaoplysninger!A17&gt;0,Skemaoplysninger!B17,"")</f>
        <v>0.3611111111111111</v>
      </c>
      <c r="B5" s="35">
        <f>IF(Skemaoplysninger!A17&gt;0,Skemaoplysninger!C17,"")</f>
        <v>0.36458333333333331</v>
      </c>
      <c r="C5" s="271" t="str">
        <f>IF(Skemaoplysninger!E17&gt;0,Skemaoplysninger!E17,"")</f>
        <v>Tilsyn</v>
      </c>
      <c r="D5" s="271" t="str">
        <f>IF(Skemaoplysninger!G17&gt;0,Skemaoplysninger!G17,"")</f>
        <v>Tilsyn</v>
      </c>
      <c r="E5" s="271" t="str">
        <f>IF(Skemaoplysninger!I17&gt;0,Skemaoplysninger!I17,"")</f>
        <v>Tilsyn</v>
      </c>
      <c r="F5" s="271" t="str">
        <f>IF(Skemaoplysninger!K17&gt;0,Skemaoplysninger!K17,"")</f>
        <v/>
      </c>
      <c r="G5" s="725" t="str">
        <f>IF(Skemaoplysninger!M17&gt;0,Skemaoplysninger!M17,"")</f>
        <v/>
      </c>
    </row>
    <row r="6" spans="1:7" ht="30" customHeight="1">
      <c r="A6" s="763">
        <f>IF(Skemaoplysninger!A18&gt;0,Skemaoplysninger!B18,"")</f>
        <v>0.36458333333333331</v>
      </c>
      <c r="B6" s="34">
        <f>IF(Skemaoplysninger!A18&gt;0,Skemaoplysninger!C18,"")</f>
        <v>0.39583333333333331</v>
      </c>
      <c r="C6" s="27" t="str">
        <f>IF(Skemaoplysninger!E18&gt;0,Skemaoplysninger!E18,"")</f>
        <v>Dansk</v>
      </c>
      <c r="D6" s="27" t="str">
        <f>IF(Skemaoplysninger!G18&gt;0,Skemaoplysninger!G18,"")</f>
        <v>Matematik</v>
      </c>
      <c r="E6" s="27" t="str">
        <f>IF(Skemaoplysninger!I18&gt;0,Skemaoplysninger!I18,"")</f>
        <v>Engelsk</v>
      </c>
      <c r="F6" s="27" t="str">
        <f>IF(Skemaoplysninger!K18&gt;0,Skemaoplysninger!K18,"")</f>
        <v>Samfundsfag</v>
      </c>
      <c r="G6" s="766" t="str">
        <f>IF(Skemaoplysninger!M18&gt;0,Skemaoplysninger!M18,"")</f>
        <v>Dansk</v>
      </c>
    </row>
    <row r="7" spans="1:7" ht="30" customHeight="1">
      <c r="A7" s="765">
        <f>IF(Skemaoplysninger!A19&gt;0,Skemaoplysninger!B19,"")</f>
        <v>0.39583333333333331</v>
      </c>
      <c r="B7" s="35">
        <f>IF(Skemaoplysninger!A19&gt;0,Skemaoplysninger!C19,"")</f>
        <v>0.40625</v>
      </c>
      <c r="C7" s="271" t="str">
        <f>IF(Skemaoplysninger!E19&gt;0,Skemaoplysninger!E19,"")</f>
        <v>Tilsyn</v>
      </c>
      <c r="D7" s="271" t="str">
        <f>IF(Skemaoplysninger!G19&gt;0,Skemaoplysninger!G19,"")</f>
        <v>Tilsyn</v>
      </c>
      <c r="E7" s="271" t="str">
        <f>IF(Skemaoplysninger!I19&gt;0,Skemaoplysninger!I19,"")</f>
        <v>Tilsyn</v>
      </c>
      <c r="F7" s="271" t="str">
        <f>IF(Skemaoplysninger!K19&gt;0,Skemaoplysninger!K19,"")</f>
        <v>Tilsyn</v>
      </c>
      <c r="G7" s="725" t="str">
        <f>IF(Skemaoplysninger!M19&gt;0,Skemaoplysninger!M19,"")</f>
        <v>Tilsyn</v>
      </c>
    </row>
    <row r="8" spans="1:7" ht="30" customHeight="1">
      <c r="A8" s="763">
        <f>IF(Skemaoplysninger!A20&gt;0,Skemaoplysninger!B20,"")</f>
        <v>0.40625</v>
      </c>
      <c r="B8" s="34">
        <f>IF(Skemaoplysninger!A20&gt;0,Skemaoplysninger!C20,"")</f>
        <v>0.4375</v>
      </c>
      <c r="C8" s="27" t="str">
        <f>IF(Skemaoplysninger!E20&gt;0,Skemaoplysninger!E20,"")</f>
        <v>Dansk</v>
      </c>
      <c r="D8" s="27" t="str">
        <f>IF(Skemaoplysninger!G20&gt;0,Skemaoplysninger!G20,"")</f>
        <v>Matematik</v>
      </c>
      <c r="E8" s="27" t="str">
        <f>IF(Skemaoplysninger!I20&gt;0,Skemaoplysninger!I20,"")</f>
        <v>Engelsk</v>
      </c>
      <c r="F8" s="27" t="str">
        <f>IF(Skemaoplysninger!K20&gt;0,Skemaoplysninger!K20,"")</f>
        <v>Samfundsfag</v>
      </c>
      <c r="G8" s="766" t="str">
        <f>IF(Skemaoplysninger!M20&gt;0,Skemaoplysninger!M20,"")</f>
        <v>Dansk</v>
      </c>
    </row>
    <row r="9" spans="1:7" ht="30" customHeight="1">
      <c r="A9" s="765">
        <f>IF(Skemaoplysninger!A21&gt;0,Skemaoplysninger!B21,"")</f>
        <v>0.4375</v>
      </c>
      <c r="B9" s="35">
        <f>IF(Skemaoplysninger!A21&gt;0,Skemaoplysninger!C21,"")</f>
        <v>0.44791666666666669</v>
      </c>
      <c r="C9" s="271" t="str">
        <f>IF(Skemaoplysninger!E21&gt;0,Skemaoplysninger!E21,"")</f>
        <v>Tilsyn</v>
      </c>
      <c r="D9" s="271" t="str">
        <f>IF(Skemaoplysninger!G21&gt;0,Skemaoplysninger!G21,"")</f>
        <v>Tilsyn</v>
      </c>
      <c r="E9" s="271" t="str">
        <f>IF(Skemaoplysninger!I21&gt;0,Skemaoplysninger!I21,"")</f>
        <v>Tilsyn</v>
      </c>
      <c r="F9" s="271" t="str">
        <f>IF(Skemaoplysninger!K21&gt;0,Skemaoplysninger!K21,"")</f>
        <v>Tilsyn</v>
      </c>
      <c r="G9" s="725" t="str">
        <f>IF(Skemaoplysninger!M21&gt;0,Skemaoplysninger!M21,"")</f>
        <v>Tilsyn</v>
      </c>
    </row>
    <row r="10" spans="1:7" ht="30" customHeight="1">
      <c r="A10" s="763">
        <f>IF(Skemaoplysninger!A22&gt;0,Skemaoplysninger!B22,"")</f>
        <v>0.44791666666666669</v>
      </c>
      <c r="B10" s="34">
        <f>IF(Skemaoplysninger!A22&gt;0,Skemaoplysninger!C22,"")</f>
        <v>0.47916666666666669</v>
      </c>
      <c r="C10" s="27" t="str">
        <f>IF(Skemaoplysninger!E22&gt;0,Skemaoplysninger!E22,"")</f>
        <v>Dansk</v>
      </c>
      <c r="D10" s="27" t="str">
        <f>IF(Skemaoplysninger!G22&gt;0,Skemaoplysninger!G22,"")</f>
        <v>Matematik</v>
      </c>
      <c r="E10" s="27" t="str">
        <f>IF(Skemaoplysninger!I22&gt;0,Skemaoplysninger!I22,"")</f>
        <v>Idræt</v>
      </c>
      <c r="F10" s="27" t="str">
        <f>IF(Skemaoplysninger!K22&gt;0,Skemaoplysninger!K22,"")</f>
        <v>Engelsk</v>
      </c>
      <c r="G10" s="766" t="str">
        <f>IF(Skemaoplysninger!M22&gt;0,Skemaoplysninger!M22,"")</f>
        <v>Tysk</v>
      </c>
    </row>
    <row r="11" spans="1:7" ht="30" customHeight="1">
      <c r="A11" s="765">
        <f>IF(Skemaoplysninger!A23&gt;0,Skemaoplysninger!B23,"")</f>
        <v>0.47916666666666669</v>
      </c>
      <c r="B11" s="35">
        <f>IF(Skemaoplysninger!A23&gt;0,Skemaoplysninger!C23,"")</f>
        <v>0.5</v>
      </c>
      <c r="C11" s="271" t="str">
        <f>IF(Skemaoplysninger!E23&gt;0,Skemaoplysninger!E23,"")</f>
        <v>Gårdvagt</v>
      </c>
      <c r="D11" s="271" t="str">
        <f>IF(Skemaoplysninger!G23&gt;0,Skemaoplysninger!G23,"")</f>
        <v>Tilsyn</v>
      </c>
      <c r="E11" s="271" t="str">
        <f>IF(Skemaoplysninger!I23&gt;0,Skemaoplysninger!I23,"")</f>
        <v>Idræt</v>
      </c>
      <c r="F11" s="271" t="str">
        <f>IF(Skemaoplysninger!K23&gt;0,Skemaoplysninger!K23,"")</f>
        <v>Tilsyn</v>
      </c>
      <c r="G11" s="725" t="str">
        <f>IF(Skemaoplysninger!M23&gt;0,Skemaoplysninger!M23,"")</f>
        <v>Tilsyn</v>
      </c>
    </row>
    <row r="12" spans="1:7" ht="30" customHeight="1">
      <c r="A12" s="763">
        <f>IF(Skemaoplysninger!A24&gt;0,Skemaoplysninger!B24,"")</f>
        <v>0.5</v>
      </c>
      <c r="B12" s="34">
        <f>IF(Skemaoplysninger!A24&gt;0,Skemaoplysninger!C24,"")</f>
        <v>0.5625</v>
      </c>
      <c r="C12" s="27" t="str">
        <f>IF(Skemaoplysninger!E24&gt;0,Skemaoplysninger!E24,"")</f>
        <v>Krea</v>
      </c>
      <c r="D12" s="27" t="str">
        <f>IF(Skemaoplysninger!G24&gt;0,Skemaoplysninger!G24,"")</f>
        <v>Tværfaglig</v>
      </c>
      <c r="E12" s="27" t="str">
        <f>IF(Skemaoplysninger!I24&gt;0,Skemaoplysninger!I24,"")</f>
        <v/>
      </c>
      <c r="F12" s="27" t="str">
        <f>IF(Skemaoplysninger!K24&gt;0,Skemaoplysninger!K24,"")</f>
        <v>Engelsk</v>
      </c>
      <c r="G12" s="766" t="str">
        <f>IF(Skemaoplysninger!M24&gt;0,Skemaoplysninger!M24,"")</f>
        <v>Tysk</v>
      </c>
    </row>
    <row r="13" spans="1:7" ht="30" customHeight="1">
      <c r="A13" s="765">
        <f>IF(Skemaoplysninger!A25&gt;0,Skemaoplysninger!B25,"")</f>
        <v>0.5625</v>
      </c>
      <c r="B13" s="35">
        <f>IF(Skemaoplysninger!A25&gt;0,Skemaoplysninger!C25,"")</f>
        <v>0.56944444444444442</v>
      </c>
      <c r="C13" s="271" t="str">
        <f>IF(Skemaoplysninger!E25&gt;0,Skemaoplysninger!E25,"")</f>
        <v>x</v>
      </c>
      <c r="D13" s="271" t="str">
        <f>IF(Skemaoplysninger!G25&gt;0,Skemaoplysninger!G25,"")</f>
        <v>x</v>
      </c>
      <c r="E13" s="271" t="str">
        <f>IF(Skemaoplysninger!I25&gt;0,Skemaoplysninger!I25,"")</f>
        <v/>
      </c>
      <c r="F13" s="271" t="str">
        <f>IF(Skemaoplysninger!K25&gt;0,Skemaoplysninger!K25,"")</f>
        <v/>
      </c>
      <c r="G13" s="725" t="str">
        <f>IF(Skemaoplysninger!M25&gt;0,Skemaoplysninger!M25,"")</f>
        <v/>
      </c>
    </row>
    <row r="14" spans="1:7" ht="30" customHeight="1">
      <c r="A14" s="763">
        <f>IF(Skemaoplysninger!A26&gt;0,Skemaoplysninger!B26,"")</f>
        <v>0.56944444444444442</v>
      </c>
      <c r="B14" s="34">
        <f>IF(Skemaoplysninger!A26&gt;0,Skemaoplysninger!C26,"")</f>
        <v>0.60069444444444442</v>
      </c>
      <c r="C14" s="27" t="str">
        <f>IF(Skemaoplysninger!E26&gt;0,Skemaoplysninger!E26,"")</f>
        <v>Musik</v>
      </c>
      <c r="D14" s="27" t="str">
        <f>IF(Skemaoplysninger!G26&gt;0,Skemaoplysninger!G26,"")</f>
        <v>Tværfaglig</v>
      </c>
      <c r="E14" s="27" t="str">
        <f>IF(Skemaoplysninger!I26&gt;0,Skemaoplysninger!I26,"")</f>
        <v/>
      </c>
      <c r="F14" s="27" t="str">
        <f>IF(Skemaoplysninger!K26&gt;0,Skemaoplysninger!K26,"")</f>
        <v/>
      </c>
      <c r="G14" s="766" t="str">
        <f>IF(Skemaoplysninger!M26&gt;0,Skemaoplysninger!M26,"")</f>
        <v/>
      </c>
    </row>
    <row r="15" spans="1:7" ht="30" customHeight="1">
      <c r="A15" s="765" t="str">
        <f>IF(Skemaoplysninger!A27&gt;0,Skemaoplysninger!B27,"")</f>
        <v/>
      </c>
      <c r="B15" s="35" t="str">
        <f>IF(Skemaoplysninger!A27&gt;0,Skemaoplysninger!C27,"")</f>
        <v/>
      </c>
      <c r="C15" s="271" t="str">
        <f>IF(Skemaoplysninger!E27&gt;0,Skemaoplysninger!E27,"")</f>
        <v/>
      </c>
      <c r="D15" s="271" t="str">
        <f>IF(Skemaoplysninger!G27&gt;0,Skemaoplysninger!G27,"")</f>
        <v/>
      </c>
      <c r="E15" s="271" t="str">
        <f>IF(Skemaoplysninger!I27&gt;0,Skemaoplysninger!I27,"")</f>
        <v/>
      </c>
      <c r="F15" s="271" t="str">
        <f>IF(Skemaoplysninger!K27&gt;0,Skemaoplysninger!K27,"")</f>
        <v/>
      </c>
      <c r="G15" s="725" t="str">
        <f>IF(Skemaoplysninger!M27&gt;0,Skemaoplysninger!M27,"")</f>
        <v/>
      </c>
    </row>
    <row r="16" spans="1:7" ht="30" customHeight="1">
      <c r="A16" s="763" t="str">
        <f>IF(Skemaoplysninger!A28&gt;0,Skemaoplysninger!B28,"")</f>
        <v/>
      </c>
      <c r="B16" s="34" t="str">
        <f>IF(Skemaoplysninger!A28&gt;0,Skemaoplysninger!C28,"")</f>
        <v/>
      </c>
      <c r="C16" s="27" t="str">
        <f>IF(Skemaoplysninger!E28&gt;0,Skemaoplysninger!E28,"")</f>
        <v/>
      </c>
      <c r="D16" s="27" t="str">
        <f>IF(Skemaoplysninger!G28&gt;0,Skemaoplysninger!G28,"")</f>
        <v/>
      </c>
      <c r="E16" s="27" t="str">
        <f>IF(Skemaoplysninger!I28&gt;0,Skemaoplysninger!I28,"")</f>
        <v/>
      </c>
      <c r="F16" s="27" t="str">
        <f>IF(Skemaoplysninger!K28&gt;0,Skemaoplysninger!K28,"")</f>
        <v/>
      </c>
      <c r="G16" s="766" t="str">
        <f>IF(Skemaoplysninger!M28&gt;0,Skemaoplysninger!M28,"")</f>
        <v/>
      </c>
    </row>
    <row r="17" spans="1:7" ht="30" customHeight="1">
      <c r="A17" s="765" t="str">
        <f>IF(Skemaoplysninger!A29&gt;0,Skemaoplysninger!B29,"")</f>
        <v/>
      </c>
      <c r="B17" s="35" t="str">
        <f>IF(Skemaoplysninger!A29&gt;0,Skemaoplysninger!C29,"")</f>
        <v/>
      </c>
      <c r="C17" s="271" t="str">
        <f>IF(Skemaoplysninger!E29&gt;0,Skemaoplysninger!E29,"")</f>
        <v/>
      </c>
      <c r="D17" s="271" t="str">
        <f>IF(Skemaoplysninger!G29&gt;0,Skemaoplysninger!G29,"")</f>
        <v/>
      </c>
      <c r="E17" s="271" t="str">
        <f>IF(Skemaoplysninger!I29&gt;0,Skemaoplysninger!I29,"")</f>
        <v/>
      </c>
      <c r="F17" s="271" t="str">
        <f>IF(Skemaoplysninger!K29&gt;0,Skemaoplysninger!K29,"")</f>
        <v/>
      </c>
      <c r="G17" s="725" t="str">
        <f>IF(Skemaoplysninger!M29&gt;0,Skemaoplysninger!M29,"")</f>
        <v/>
      </c>
    </row>
    <row r="18" spans="1:7" ht="30" customHeight="1">
      <c r="A18" s="763" t="str">
        <f>IF(Skemaoplysninger!A30&gt;0,Skemaoplysninger!B30,"")</f>
        <v/>
      </c>
      <c r="B18" s="34" t="str">
        <f>IF(Skemaoplysninger!A30&gt;0,Skemaoplysninger!C30,"")</f>
        <v/>
      </c>
      <c r="C18" s="27" t="str">
        <f>IF(Skemaoplysninger!E30&gt;0,Skemaoplysninger!E30,"")</f>
        <v/>
      </c>
      <c r="D18" s="27" t="str">
        <f>IF(Skemaoplysninger!G30&gt;0,Skemaoplysninger!G30,"")</f>
        <v/>
      </c>
      <c r="E18" s="27" t="str">
        <f>IF(Skemaoplysninger!I30&gt;0,Skemaoplysninger!I30,"")</f>
        <v/>
      </c>
      <c r="F18" s="27" t="str">
        <f>IF(Skemaoplysninger!K30&gt;0,Skemaoplysninger!K30,"")</f>
        <v/>
      </c>
      <c r="G18" s="766" t="str">
        <f>IF(Skemaoplysninger!M30&gt;0,Skemaoplysninger!M30,"")</f>
        <v/>
      </c>
    </row>
    <row r="19" spans="1:7" ht="30" customHeight="1">
      <c r="A19" s="765" t="str">
        <f>IF(Skemaoplysninger!A31&gt;0,Skemaoplysninger!B31,"")</f>
        <v/>
      </c>
      <c r="B19" s="35" t="str">
        <f>IF(Skemaoplysninger!A31&gt;0,Skemaoplysninger!C31,"")</f>
        <v/>
      </c>
      <c r="C19" s="271" t="str">
        <f>IF(Skemaoplysninger!E31&gt;0,Skemaoplysninger!E31,"")</f>
        <v/>
      </c>
      <c r="D19" s="271" t="str">
        <f>IF(Skemaoplysninger!G31&gt;0,Skemaoplysninger!G31,"")</f>
        <v/>
      </c>
      <c r="E19" s="271" t="str">
        <f>IF(Skemaoplysninger!I31&gt;0,Skemaoplysninger!I31,"")</f>
        <v/>
      </c>
      <c r="F19" s="271" t="str">
        <f>IF(Skemaoplysninger!K31&gt;0,Skemaoplysninger!K31,"")</f>
        <v/>
      </c>
      <c r="G19" s="725" t="str">
        <f>IF(Skemaoplysninger!M31&gt;0,Skemaoplysninger!M31,"")</f>
        <v/>
      </c>
    </row>
    <row r="20" spans="1:7" ht="30" customHeight="1">
      <c r="A20" s="763" t="str">
        <f>IF(Skemaoplysninger!A32&gt;0,Skemaoplysninger!B32,"")</f>
        <v/>
      </c>
      <c r="B20" s="34" t="str">
        <f>IF(Skemaoplysninger!A32&gt;0,Skemaoplysninger!C32,"")</f>
        <v/>
      </c>
      <c r="C20" s="27" t="str">
        <f>IF(Skemaoplysninger!E32&gt;0,Skemaoplysninger!E32,"")</f>
        <v/>
      </c>
      <c r="D20" s="27" t="str">
        <f>IF(Skemaoplysninger!G32&gt;0,Skemaoplysninger!G32,"")</f>
        <v/>
      </c>
      <c r="E20" s="27" t="str">
        <f>IF(Skemaoplysninger!I32&gt;0,Skemaoplysninger!I32,"")</f>
        <v/>
      </c>
      <c r="F20" s="27" t="str">
        <f>IF(Skemaoplysninger!K32&gt;0,Skemaoplysninger!K32,"")</f>
        <v/>
      </c>
      <c r="G20" s="766" t="str">
        <f>IF(Skemaoplysninger!M32&gt;0,Skemaoplysninger!M32,"")</f>
        <v/>
      </c>
    </row>
    <row r="21" spans="1:7" ht="30" customHeight="1">
      <c r="A21" s="765" t="str">
        <f>IF(Skemaoplysninger!A33&gt;0,Skemaoplysninger!B33,"")</f>
        <v/>
      </c>
      <c r="B21" s="35" t="str">
        <f>IF(Skemaoplysninger!A33&gt;0,Skemaoplysninger!C33,"")</f>
        <v/>
      </c>
      <c r="C21" s="271" t="str">
        <f>IF(Skemaoplysninger!E33&gt;0,Skemaoplysninger!E33,"")</f>
        <v/>
      </c>
      <c r="D21" s="271" t="str">
        <f>IF(Skemaoplysninger!G33&gt;0,Skemaoplysninger!G33,"")</f>
        <v/>
      </c>
      <c r="E21" s="271" t="str">
        <f>IF(Skemaoplysninger!I33&gt;0,Skemaoplysninger!I33,"")</f>
        <v/>
      </c>
      <c r="F21" s="271" t="str">
        <f>IF(Skemaoplysninger!K33&gt;0,Skemaoplysninger!K33,"")</f>
        <v/>
      </c>
      <c r="G21" s="725" t="str">
        <f>IF(Skemaoplysninger!M33&gt;0,Skemaoplysninger!M33,"")</f>
        <v/>
      </c>
    </row>
    <row r="22" spans="1:7" ht="30" customHeight="1" thickBot="1">
      <c r="A22" s="767" t="str">
        <f>IF(Skemaoplysninger!A34&gt;0,Skemaoplysninger!B34,"")</f>
        <v/>
      </c>
      <c r="B22" s="768" t="str">
        <f>IF(Skemaoplysninger!A34&gt;0,Skemaoplysninger!C34,"")</f>
        <v/>
      </c>
      <c r="C22" s="769" t="str">
        <f>IF(Skemaoplysninger!E34&gt;0,Skemaoplysninger!E34,"")</f>
        <v/>
      </c>
      <c r="D22" s="769" t="str">
        <f>IF(Skemaoplysninger!G34&gt;0,Skemaoplysninger!G34,"")</f>
        <v/>
      </c>
      <c r="E22" s="769" t="str">
        <f>IF(Skemaoplysninger!I34&gt;0,Skemaoplysninger!I34,"")</f>
        <v/>
      </c>
      <c r="F22" s="769" t="str">
        <f>IF(Skemaoplysninger!K34&gt;0,Skemaoplysninger!K34,"")</f>
        <v/>
      </c>
      <c r="G22" s="770" t="str">
        <f>IF(Skemaoplysninger!M34&gt;0,Skemaoplysninger!M34,"")</f>
        <v/>
      </c>
    </row>
    <row r="23" spans="1:7" ht="30" hidden="1" customHeight="1">
      <c r="A23" s="789" t="str">
        <f>IF(Skemaoplysninger!A35&gt;0,Skemaoplysninger!B35,"")</f>
        <v/>
      </c>
      <c r="B23" s="790" t="str">
        <f>IF(Skemaoplysninger!A35&gt;0,Skemaoplysninger!C35,"")</f>
        <v/>
      </c>
      <c r="C23" s="791" t="str">
        <f>IF(Skemaoplysninger!E35&gt;0,Skemaoplysninger!E35,"")</f>
        <v/>
      </c>
      <c r="D23" s="791" t="str">
        <f>IF(Skemaoplysninger!G35&gt;0,Skemaoplysninger!G35,"")</f>
        <v/>
      </c>
      <c r="E23" s="791" t="str">
        <f>IF(Skemaoplysninger!I35&gt;0,Skemaoplysninger!I35,"")</f>
        <v/>
      </c>
      <c r="F23" s="791" t="str">
        <f>IF(Skemaoplysninger!K35&gt;0,Skemaoplysninger!K35,"")</f>
        <v/>
      </c>
      <c r="G23" s="792" t="str">
        <f>IF(Skemaoplysninger!M35&gt;0,Skemaoplysninger!M35,"")</f>
        <v/>
      </c>
    </row>
    <row r="24" spans="1:7" ht="30" hidden="1" customHeight="1">
      <c r="A24" s="763" t="str">
        <f>IF(Skemaoplysninger!A36&gt;0,Skemaoplysninger!B36,"")</f>
        <v/>
      </c>
      <c r="B24" s="34" t="str">
        <f>IF(Skemaoplysninger!A36&gt;0,Skemaoplysninger!C36,"")</f>
        <v/>
      </c>
      <c r="C24" s="27" t="str">
        <f>IF(Skemaoplysninger!E36&gt;0,Skemaoplysninger!E36,"")</f>
        <v/>
      </c>
      <c r="D24" s="27" t="str">
        <f>IF(Skemaoplysninger!G36&gt;0,Skemaoplysninger!G36,"")</f>
        <v/>
      </c>
      <c r="E24" s="27" t="str">
        <f>IF(Skemaoplysninger!I36&gt;0,Skemaoplysninger!I36,"")</f>
        <v/>
      </c>
      <c r="F24" s="27" t="str">
        <f>IF(Skemaoplysninger!K36&gt;0,Skemaoplysninger!K36,"")</f>
        <v/>
      </c>
      <c r="G24" s="766" t="str">
        <f>IF(Skemaoplysninger!M36&gt;0,Skemaoplysninger!M36,"")</f>
        <v/>
      </c>
    </row>
    <row r="25" spans="1:7" ht="30" hidden="1" customHeight="1">
      <c r="A25" s="765" t="str">
        <f>IF(Skemaoplysninger!A37&gt;0,Skemaoplysninger!B37,"")</f>
        <v/>
      </c>
      <c r="B25" s="35" t="str">
        <f>IF(Skemaoplysninger!A37&gt;0,Skemaoplysninger!C37,"")</f>
        <v/>
      </c>
      <c r="C25" s="271" t="str">
        <f>IF(Skemaoplysninger!E37&gt;0,Skemaoplysninger!E37,"")</f>
        <v/>
      </c>
      <c r="D25" s="271" t="str">
        <f>IF(Skemaoplysninger!G37&gt;0,Skemaoplysninger!G37,"")</f>
        <v/>
      </c>
      <c r="E25" s="271" t="str">
        <f>IF(Skemaoplysninger!I37&gt;0,Skemaoplysninger!I37,"")</f>
        <v/>
      </c>
      <c r="F25" s="271" t="str">
        <f>IF(Skemaoplysninger!K37&gt;0,Skemaoplysninger!K37,"")</f>
        <v/>
      </c>
      <c r="G25" s="725" t="str">
        <f>IF(Skemaoplysninger!M37&gt;0,Skemaoplysninger!M37,"")</f>
        <v/>
      </c>
    </row>
    <row r="26" spans="1:7" ht="30" hidden="1" customHeight="1">
      <c r="A26" s="763" t="str">
        <f>IF(Skemaoplysninger!A38&gt;0,Skemaoplysninger!B38,"")</f>
        <v/>
      </c>
      <c r="B26" s="34" t="str">
        <f>IF(Skemaoplysninger!A38&gt;0,Skemaoplysninger!C38,"")</f>
        <v/>
      </c>
      <c r="C26" s="27" t="str">
        <f>IF(Skemaoplysninger!E38&gt;0,Skemaoplysninger!E38,"")</f>
        <v/>
      </c>
      <c r="D26" s="27" t="str">
        <f>IF(Skemaoplysninger!G38&gt;0,Skemaoplysninger!G38,"")</f>
        <v/>
      </c>
      <c r="E26" s="27" t="str">
        <f>IF(Skemaoplysninger!I38&gt;0,Skemaoplysninger!I38,"")</f>
        <v/>
      </c>
      <c r="F26" s="27" t="str">
        <f>IF(Skemaoplysninger!K38&gt;0,Skemaoplysninger!K38,"")</f>
        <v/>
      </c>
      <c r="G26" s="766" t="str">
        <f>IF(Skemaoplysninger!M38&gt;0,Skemaoplysninger!M38,"")</f>
        <v/>
      </c>
    </row>
    <row r="27" spans="1:7" ht="30" hidden="1" customHeight="1">
      <c r="A27" s="765" t="str">
        <f>IF(Skemaoplysninger!A39&gt;0,Skemaoplysninger!B39,"")</f>
        <v/>
      </c>
      <c r="B27" s="35" t="str">
        <f>IF(Skemaoplysninger!A39&gt;0,Skemaoplysninger!C39,"")</f>
        <v/>
      </c>
      <c r="C27" s="271" t="str">
        <f>IF(Skemaoplysninger!E39&gt;0,Skemaoplysninger!E39,"")</f>
        <v/>
      </c>
      <c r="D27" s="271" t="str">
        <f>IF(Skemaoplysninger!G39&gt;0,Skemaoplysninger!G39,"")</f>
        <v/>
      </c>
      <c r="E27" s="271" t="str">
        <f>IF(Skemaoplysninger!I39&gt;0,Skemaoplysninger!I39,"")</f>
        <v/>
      </c>
      <c r="F27" s="271" t="str">
        <f>IF(Skemaoplysninger!K39&gt;0,Skemaoplysninger!K39,"")</f>
        <v/>
      </c>
      <c r="G27" s="725" t="str">
        <f>IF(Skemaoplysninger!M39&gt;0,Skemaoplysninger!M39,"")</f>
        <v/>
      </c>
    </row>
    <row r="28" spans="1:7" ht="30" hidden="1" customHeight="1">
      <c r="A28" s="763" t="str">
        <f>IF(Skemaoplysninger!A40&gt;0,Skemaoplysninger!B40,"")</f>
        <v/>
      </c>
      <c r="B28" s="34" t="str">
        <f>IF(Skemaoplysninger!A40&gt;0,Skemaoplysninger!C40,"")</f>
        <v/>
      </c>
      <c r="C28" s="27" t="str">
        <f>IF(Skemaoplysninger!E40&gt;0,Skemaoplysninger!E40,"")</f>
        <v/>
      </c>
      <c r="D28" s="27" t="str">
        <f>IF(Skemaoplysninger!G40&gt;0,Skemaoplysninger!G40,"")</f>
        <v/>
      </c>
      <c r="E28" s="27" t="str">
        <f>IF(Skemaoplysninger!I40&gt;0,Skemaoplysninger!I40,"")</f>
        <v/>
      </c>
      <c r="F28" s="27" t="str">
        <f>IF(Skemaoplysninger!K40&gt;0,Skemaoplysninger!K40,"")</f>
        <v/>
      </c>
      <c r="G28" s="766" t="str">
        <f>IF(Skemaoplysninger!M40&gt;0,Skemaoplysninger!M40,"")</f>
        <v/>
      </c>
    </row>
    <row r="29" spans="1:7" ht="30" hidden="1" customHeight="1">
      <c r="A29" s="765" t="str">
        <f>IF(Skemaoplysninger!A41&gt;0,Skemaoplysninger!B41,"")</f>
        <v/>
      </c>
      <c r="B29" s="35" t="str">
        <f>IF(Skemaoplysninger!A41&gt;0,Skemaoplysninger!C41,"")</f>
        <v/>
      </c>
      <c r="C29" s="271" t="str">
        <f>IF(Skemaoplysninger!E41&gt;0,Skemaoplysninger!E41,"")</f>
        <v/>
      </c>
      <c r="D29" s="271" t="str">
        <f>IF(Skemaoplysninger!G41&gt;0,Skemaoplysninger!G41,"")</f>
        <v/>
      </c>
      <c r="E29" s="271" t="str">
        <f>IF(Skemaoplysninger!I41&gt;0,Skemaoplysninger!I41,"")</f>
        <v/>
      </c>
      <c r="F29" s="271" t="str">
        <f>IF(Skemaoplysninger!K41&gt;0,Skemaoplysninger!K41,"")</f>
        <v/>
      </c>
      <c r="G29" s="725" t="str">
        <f>IF(Skemaoplysninger!M41&gt;0,Skemaoplysninger!M41,"")</f>
        <v/>
      </c>
    </row>
    <row r="30" spans="1:7" ht="30" hidden="1" customHeight="1">
      <c r="A30" s="763" t="str">
        <f>IF(Skemaoplysninger!A42&gt;0,Skemaoplysninger!B42,"")</f>
        <v/>
      </c>
      <c r="B30" s="34" t="str">
        <f>IF(Skemaoplysninger!A42&gt;0,Skemaoplysninger!C42,"")</f>
        <v/>
      </c>
      <c r="C30" s="27" t="str">
        <f>IF(Skemaoplysninger!E42&gt;0,Skemaoplysninger!E42,"")</f>
        <v/>
      </c>
      <c r="D30" s="27" t="str">
        <f>IF(Skemaoplysninger!G42&gt;0,Skemaoplysninger!G42,"")</f>
        <v/>
      </c>
      <c r="E30" s="27" t="str">
        <f>IF(Skemaoplysninger!I42&gt;0,Skemaoplysninger!I42,"")</f>
        <v/>
      </c>
      <c r="F30" s="27" t="str">
        <f>IF(Skemaoplysninger!K42&gt;0,Skemaoplysninger!K42,"")</f>
        <v/>
      </c>
      <c r="G30" s="766" t="str">
        <f>IF(Skemaoplysninger!M42&gt;0,Skemaoplysninger!M42,"")</f>
        <v/>
      </c>
    </row>
    <row r="31" spans="1:7" ht="30" hidden="1" customHeight="1">
      <c r="A31" s="765" t="str">
        <f>IF(Skemaoplysninger!A43&gt;0,Skemaoplysninger!B43,"")</f>
        <v/>
      </c>
      <c r="B31" s="35" t="str">
        <f>IF(Skemaoplysninger!A43&gt;0,Skemaoplysninger!C43,"")</f>
        <v/>
      </c>
      <c r="C31" s="271" t="str">
        <f>IF(Skemaoplysninger!E43&gt;0,Skemaoplysninger!E43,"")</f>
        <v/>
      </c>
      <c r="D31" s="271" t="str">
        <f>IF(Skemaoplysninger!G43&gt;0,Skemaoplysninger!G43,"")</f>
        <v/>
      </c>
      <c r="E31" s="271" t="str">
        <f>IF(Skemaoplysninger!I43&gt;0,Skemaoplysninger!I43,"")</f>
        <v/>
      </c>
      <c r="F31" s="271" t="str">
        <f>IF(Skemaoplysninger!K43&gt;0,Skemaoplysninger!K43,"")</f>
        <v/>
      </c>
      <c r="G31" s="725" t="str">
        <f>IF(Skemaoplysninger!M43&gt;0,Skemaoplysninger!M43,"")</f>
        <v/>
      </c>
    </row>
    <row r="32" spans="1:7" ht="30" hidden="1" customHeight="1">
      <c r="A32" s="763" t="str">
        <f>IF(Skemaoplysninger!A44&gt;0,Skemaoplysninger!B44,"")</f>
        <v/>
      </c>
      <c r="B32" s="34" t="str">
        <f>IF(Skemaoplysninger!A44&gt;0,Skemaoplysninger!C44,"")</f>
        <v/>
      </c>
      <c r="C32" s="27" t="str">
        <f>IF(Skemaoplysninger!E44&gt;0,Skemaoplysninger!E44,"")</f>
        <v/>
      </c>
      <c r="D32" s="27" t="str">
        <f>IF(Skemaoplysninger!G44&gt;0,Skemaoplysninger!G44,"")</f>
        <v/>
      </c>
      <c r="E32" s="27" t="str">
        <f>IF(Skemaoplysninger!I44&gt;0,Skemaoplysninger!I44,"")</f>
        <v/>
      </c>
      <c r="F32" s="27" t="str">
        <f>IF(Skemaoplysninger!K44&gt;0,Skemaoplysninger!K44,"")</f>
        <v/>
      </c>
      <c r="G32" s="766" t="str">
        <f>IF(Skemaoplysninger!M44&gt;0,Skemaoplysninger!M44,"")</f>
        <v/>
      </c>
    </row>
    <row r="33" spans="1:7" ht="30" hidden="1" customHeight="1" thickBot="1">
      <c r="A33" s="786" t="str">
        <f>IF(Skemaoplysninger!A45&gt;0,Skemaoplysninger!B45,"")</f>
        <v/>
      </c>
      <c r="B33" s="781" t="str">
        <f>IF(Skemaoplysninger!A45&gt;0,Skemaoplysninger!C45,"")</f>
        <v/>
      </c>
      <c r="C33" s="787" t="str">
        <f>IF(Skemaoplysninger!E45&gt;0,Skemaoplysninger!E45,"")</f>
        <v/>
      </c>
      <c r="D33" s="787" t="str">
        <f>IF(Skemaoplysninger!G45&gt;0,Skemaoplysninger!G45,"")</f>
        <v/>
      </c>
      <c r="E33" s="787" t="str">
        <f>IF(Skemaoplysninger!I45&gt;0,Skemaoplysninger!I45,"")</f>
        <v/>
      </c>
      <c r="F33" s="787" t="str">
        <f>IF(Skemaoplysninger!K45&gt;0,Skemaoplysninger!K45,"")</f>
        <v/>
      </c>
      <c r="G33" s="788" t="str">
        <f>IF(Skemaoplysninger!M45&gt;0,Skemaoplysninger!M45,"")</f>
        <v/>
      </c>
    </row>
  </sheetData>
  <sheetProtection sheet="1" objects="1" scenarios="1"/>
  <mergeCells count="4">
    <mergeCell ref="A2:C2"/>
    <mergeCell ref="A1:G1"/>
    <mergeCell ref="D2:E2"/>
    <mergeCell ref="F2:G2"/>
  </mergeCells>
  <pageMargins left="0.7" right="0.7" top="0.75" bottom="0.75" header="0.3" footer="0.3"/>
  <pageSetup paperSize="9" scale="81" orientation="portrait" horizontalDpi="0" verticalDpi="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6F129-A31A-D544-B54A-BB9B235AD3BB}">
  <sheetPr>
    <tabColor theme="4" tint="0.59999389629810485"/>
    <pageSetUpPr fitToPage="1"/>
  </sheetPr>
  <dimension ref="A1:G33"/>
  <sheetViews>
    <sheetView showZeros="0" workbookViewId="0">
      <selection activeCell="A22" sqref="A22"/>
    </sheetView>
  </sheetViews>
  <sheetFormatPr baseColWidth="10" defaultRowHeight="16"/>
  <cols>
    <col min="3" max="7" width="15.83203125" customWidth="1"/>
  </cols>
  <sheetData>
    <row r="1" spans="1:7" ht="32" customHeight="1">
      <c r="A1" s="1629" t="str">
        <f>Skemaoplysninger!O10</f>
        <v>Skema 2 vedr. Beate Simonsen</v>
      </c>
      <c r="B1" s="1630"/>
      <c r="C1" s="1630"/>
      <c r="D1" s="1630"/>
      <c r="E1" s="1630"/>
      <c r="F1" s="1630"/>
      <c r="G1" s="1631"/>
    </row>
    <row r="2" spans="1:7" ht="32" customHeight="1">
      <c r="A2" s="1627" t="s">
        <v>216</v>
      </c>
      <c r="B2" s="1628"/>
      <c r="C2" s="1628"/>
      <c r="D2" s="1632">
        <f>Skemaoplysninger!T12</f>
        <v>0</v>
      </c>
      <c r="E2" s="1632"/>
      <c r="F2" s="1632">
        <f>Skemaoplysninger!X12</f>
        <v>0</v>
      </c>
      <c r="G2" s="1633"/>
    </row>
    <row r="3" spans="1:7" ht="32" customHeight="1">
      <c r="A3" s="762" t="s">
        <v>64</v>
      </c>
      <c r="B3" s="268" t="s">
        <v>65</v>
      </c>
      <c r="C3" s="269" t="s">
        <v>34</v>
      </c>
      <c r="D3" s="269" t="s">
        <v>35</v>
      </c>
      <c r="E3" s="269" t="s">
        <v>36</v>
      </c>
      <c r="F3" s="269" t="s">
        <v>37</v>
      </c>
      <c r="G3" s="270" t="s">
        <v>38</v>
      </c>
    </row>
    <row r="4" spans="1:7" ht="30" customHeight="1">
      <c r="A4" s="763" t="str">
        <f>IF(Skemaoplysninger!O16&gt;0,Skemaoplysninger!P16,"")</f>
        <v/>
      </c>
      <c r="B4" s="34" t="str">
        <f>IF(Skemaoplysninger!O16&gt;0,Skemaoplysninger!Q16,"")</f>
        <v/>
      </c>
      <c r="C4" s="27" t="str">
        <f>IF(Skemaoplysninger!O16&gt;0,Skemaoplysninger!S16,"")</f>
        <v/>
      </c>
      <c r="D4" s="27" t="str">
        <f>IF(Skemaoplysninger!O16&gt;0,Skemaoplysninger!U16,"")</f>
        <v/>
      </c>
      <c r="E4" s="27" t="str">
        <f>IF(Skemaoplysninger!O16&gt;0,Skemaoplysninger!W16,"")</f>
        <v/>
      </c>
      <c r="F4" s="27" t="str">
        <f>IF(Skemaoplysninger!O16&gt;0,Skemaoplysninger!Y16,"")</f>
        <v/>
      </c>
      <c r="G4" s="766" t="str">
        <f>IF(Skemaoplysninger!O16&gt;0,Skemaoplysninger!AA16,"")</f>
        <v/>
      </c>
    </row>
    <row r="5" spans="1:7" ht="30" customHeight="1">
      <c r="A5" s="765" t="str">
        <f>IF(Skemaoplysninger!O17&gt;0,Skemaoplysninger!P17,"")</f>
        <v/>
      </c>
      <c r="B5" s="35" t="str">
        <f>IF(Skemaoplysninger!O17&gt;0,Skemaoplysninger!Q17,"")</f>
        <v/>
      </c>
      <c r="C5" s="271" t="str">
        <f>IF(Skemaoplysninger!O17&gt;0,Skemaoplysninger!S17,"")</f>
        <v/>
      </c>
      <c r="D5" s="271" t="str">
        <f>IF(Skemaoplysninger!O17&gt;0,Skemaoplysninger!U17,"")</f>
        <v/>
      </c>
      <c r="E5" s="271" t="str">
        <f>IF(Skemaoplysninger!O17&gt;0,Skemaoplysninger!W17,"")</f>
        <v/>
      </c>
      <c r="F5" s="271" t="str">
        <f>IF(Skemaoplysninger!O17&gt;0,Skemaoplysninger!Y17,"")</f>
        <v/>
      </c>
      <c r="G5" s="725" t="str">
        <f>IF(Skemaoplysninger!O17&gt;0,Skemaoplysninger!AA17,"")</f>
        <v/>
      </c>
    </row>
    <row r="6" spans="1:7" ht="30" customHeight="1">
      <c r="A6" s="763" t="str">
        <f>IF(Skemaoplysninger!O18&gt;0,Skemaoplysninger!P18,"")</f>
        <v/>
      </c>
      <c r="B6" s="34" t="str">
        <f>IF(Skemaoplysninger!O18&gt;0,Skemaoplysninger!Q18,"")</f>
        <v/>
      </c>
      <c r="C6" s="27" t="str">
        <f>IF(Skemaoplysninger!O18&gt;0,Skemaoplysninger!S18,"")</f>
        <v/>
      </c>
      <c r="D6" s="27" t="str">
        <f>IF(Skemaoplysninger!O18&gt;0,Skemaoplysninger!U18,"")</f>
        <v/>
      </c>
      <c r="E6" s="27" t="str">
        <f>IF(Skemaoplysninger!O18&gt;0,Skemaoplysninger!W18,"")</f>
        <v/>
      </c>
      <c r="F6" s="27" t="str">
        <f>IF(Skemaoplysninger!O18&gt;0,Skemaoplysninger!Y18,"")</f>
        <v/>
      </c>
      <c r="G6" s="766" t="str">
        <f>IF(Skemaoplysninger!O18&gt;0,Skemaoplysninger!AA18,"")</f>
        <v/>
      </c>
    </row>
    <row r="7" spans="1:7" ht="30" customHeight="1">
      <c r="A7" s="765" t="str">
        <f>IF(Skemaoplysninger!O19&gt;0,Skemaoplysninger!P19,"")</f>
        <v/>
      </c>
      <c r="B7" s="35" t="str">
        <f>IF(Skemaoplysninger!O19&gt;0,Skemaoplysninger!Q19,"")</f>
        <v/>
      </c>
      <c r="C7" s="271" t="str">
        <f>IF(Skemaoplysninger!O19&gt;0,Skemaoplysninger!S19,"")</f>
        <v/>
      </c>
      <c r="D7" s="271" t="str">
        <f>IF(Skemaoplysninger!O19&gt;0,Skemaoplysninger!U19,"")</f>
        <v/>
      </c>
      <c r="E7" s="271" t="str">
        <f>IF(Skemaoplysninger!O19&gt;0,Skemaoplysninger!W19,"")</f>
        <v/>
      </c>
      <c r="F7" s="271" t="str">
        <f>IF(Skemaoplysninger!O19&gt;0,Skemaoplysninger!Y19,"")</f>
        <v/>
      </c>
      <c r="G7" s="725" t="str">
        <f>IF(Skemaoplysninger!O19&gt;0,Skemaoplysninger!AA19,"")</f>
        <v/>
      </c>
    </row>
    <row r="8" spans="1:7" ht="30" customHeight="1">
      <c r="A8" s="763" t="str">
        <f>IF(Skemaoplysninger!O20&gt;0,Skemaoplysninger!P20,"")</f>
        <v/>
      </c>
      <c r="B8" s="34" t="str">
        <f>IF(Skemaoplysninger!O20&gt;0,Skemaoplysninger!Q20,"")</f>
        <v/>
      </c>
      <c r="C8" s="27" t="str">
        <f>IF(Skemaoplysninger!O20&gt;0,Skemaoplysninger!S20,"")</f>
        <v/>
      </c>
      <c r="D8" s="27" t="str">
        <f>IF(Skemaoplysninger!O20&gt;0,Skemaoplysninger!U20,"")</f>
        <v/>
      </c>
      <c r="E8" s="27" t="str">
        <f>IF(Skemaoplysninger!O20&gt;0,Skemaoplysninger!W20,"")</f>
        <v/>
      </c>
      <c r="F8" s="27" t="str">
        <f>IF(Skemaoplysninger!O20&gt;0,Skemaoplysninger!Y20,"")</f>
        <v/>
      </c>
      <c r="G8" s="766" t="str">
        <f>IF(Skemaoplysninger!O20&gt;0,Skemaoplysninger!AA20,"")</f>
        <v/>
      </c>
    </row>
    <row r="9" spans="1:7" ht="30" customHeight="1">
      <c r="A9" s="765" t="str">
        <f>IF(Skemaoplysninger!O21&gt;0,Skemaoplysninger!P21,"")</f>
        <v/>
      </c>
      <c r="B9" s="35" t="str">
        <f>IF(Skemaoplysninger!O21&gt;0,Skemaoplysninger!Q21,"")</f>
        <v/>
      </c>
      <c r="C9" s="271" t="str">
        <f>IF(Skemaoplysninger!O21&gt;0,Skemaoplysninger!S21,"")</f>
        <v/>
      </c>
      <c r="D9" s="271" t="str">
        <f>IF(Skemaoplysninger!O21&gt;0,Skemaoplysninger!U21,"")</f>
        <v/>
      </c>
      <c r="E9" s="271" t="str">
        <f>IF(Skemaoplysninger!O21&gt;0,Skemaoplysninger!W21,"")</f>
        <v/>
      </c>
      <c r="F9" s="271" t="str">
        <f>IF(Skemaoplysninger!O21&gt;0,Skemaoplysninger!Y21,"")</f>
        <v/>
      </c>
      <c r="G9" s="725" t="str">
        <f>IF(Skemaoplysninger!O21&gt;0,Skemaoplysninger!AA21,"")</f>
        <v/>
      </c>
    </row>
    <row r="10" spans="1:7" ht="30" customHeight="1">
      <c r="A10" s="763" t="str">
        <f>IF(Skemaoplysninger!O22&gt;0,Skemaoplysninger!P22,"")</f>
        <v/>
      </c>
      <c r="B10" s="34" t="str">
        <f>IF(Skemaoplysninger!O22&gt;0,Skemaoplysninger!Q22,"")</f>
        <v/>
      </c>
      <c r="C10" s="27" t="str">
        <f>IF(Skemaoplysninger!O22&gt;0,Skemaoplysninger!S22,"")</f>
        <v/>
      </c>
      <c r="D10" s="27" t="str">
        <f>IF(Skemaoplysninger!O22&gt;0,Skemaoplysninger!U22,"")</f>
        <v/>
      </c>
      <c r="E10" s="27" t="str">
        <f>IF(Skemaoplysninger!O22&gt;0,Skemaoplysninger!W22,"")</f>
        <v/>
      </c>
      <c r="F10" s="27" t="str">
        <f>IF(Skemaoplysninger!O22&gt;0,Skemaoplysninger!Y22,"")</f>
        <v/>
      </c>
      <c r="G10" s="766" t="str">
        <f>IF(Skemaoplysninger!O22&gt;0,Skemaoplysninger!AA22,"")</f>
        <v/>
      </c>
    </row>
    <row r="11" spans="1:7" ht="30" customHeight="1">
      <c r="A11" s="765" t="str">
        <f>IF(Skemaoplysninger!O23&gt;0,Skemaoplysninger!P23,"")</f>
        <v/>
      </c>
      <c r="B11" s="35" t="str">
        <f>IF(Skemaoplysninger!O23&gt;0,Skemaoplysninger!Q23,"")</f>
        <v/>
      </c>
      <c r="C11" s="271" t="str">
        <f>IF(Skemaoplysninger!O23&gt;0,Skemaoplysninger!S23,"")</f>
        <v/>
      </c>
      <c r="D11" s="271" t="str">
        <f>IF(Skemaoplysninger!O23&gt;0,Skemaoplysninger!U23,"")</f>
        <v/>
      </c>
      <c r="E11" s="271" t="str">
        <f>IF(Skemaoplysninger!O23&gt;0,Skemaoplysninger!W23,"")</f>
        <v/>
      </c>
      <c r="F11" s="271" t="str">
        <f>IF(Skemaoplysninger!O23&gt;0,Skemaoplysninger!Y23,"")</f>
        <v/>
      </c>
      <c r="G11" s="725" t="str">
        <f>IF(Skemaoplysninger!O23&gt;0,Skemaoplysninger!AA23,"")</f>
        <v/>
      </c>
    </row>
    <row r="12" spans="1:7" ht="30" customHeight="1">
      <c r="A12" s="763" t="str">
        <f>IF(Skemaoplysninger!O24&gt;0,Skemaoplysninger!P24,"")</f>
        <v/>
      </c>
      <c r="B12" s="34" t="str">
        <f>IF(Skemaoplysninger!O24&gt;0,Skemaoplysninger!Q24,"")</f>
        <v/>
      </c>
      <c r="C12" s="27" t="str">
        <f>IF(Skemaoplysninger!O24&gt;0,Skemaoplysninger!S24,"")</f>
        <v/>
      </c>
      <c r="D12" s="27" t="str">
        <f>IF(Skemaoplysninger!O24&gt;0,Skemaoplysninger!U24,"")</f>
        <v/>
      </c>
      <c r="E12" s="27" t="str">
        <f>IF(Skemaoplysninger!O24&gt;0,Skemaoplysninger!W24,"")</f>
        <v/>
      </c>
      <c r="F12" s="27" t="str">
        <f>IF(Skemaoplysninger!O24&gt;0,Skemaoplysninger!Y24,"")</f>
        <v/>
      </c>
      <c r="G12" s="766" t="str">
        <f>IF(Skemaoplysninger!O24&gt;0,Skemaoplysninger!AA24,"")</f>
        <v/>
      </c>
    </row>
    <row r="13" spans="1:7" ht="30" customHeight="1">
      <c r="A13" s="765" t="str">
        <f>IF(Skemaoplysninger!O25&gt;0,Skemaoplysninger!P25,"")</f>
        <v/>
      </c>
      <c r="B13" s="35" t="str">
        <f>IF(Skemaoplysninger!O25&gt;0,Skemaoplysninger!Q25,"")</f>
        <v/>
      </c>
      <c r="C13" s="271" t="str">
        <f>IF(Skemaoplysninger!O25&gt;0,Skemaoplysninger!S25,"")</f>
        <v/>
      </c>
      <c r="D13" s="271" t="str">
        <f>IF(Skemaoplysninger!O25&gt;0,Skemaoplysninger!U25,"")</f>
        <v/>
      </c>
      <c r="E13" s="271" t="str">
        <f>IF(Skemaoplysninger!O25&gt;0,Skemaoplysninger!W25,"")</f>
        <v/>
      </c>
      <c r="F13" s="271" t="str">
        <f>IF(Skemaoplysninger!O25&gt;0,Skemaoplysninger!Y25,"")</f>
        <v/>
      </c>
      <c r="G13" s="725" t="str">
        <f>IF(Skemaoplysninger!O25&gt;0,Skemaoplysninger!AA25,"")</f>
        <v/>
      </c>
    </row>
    <row r="14" spans="1:7" ht="30" customHeight="1">
      <c r="A14" s="763" t="str">
        <f>IF(Skemaoplysninger!O26&gt;0,Skemaoplysninger!P26,"")</f>
        <v/>
      </c>
      <c r="B14" s="34" t="str">
        <f>IF(Skemaoplysninger!O26&gt;0,Skemaoplysninger!Q26,"")</f>
        <v/>
      </c>
      <c r="C14" s="27" t="str">
        <f>IF(Skemaoplysninger!O26&gt;0,Skemaoplysninger!S26,"")</f>
        <v/>
      </c>
      <c r="D14" s="27" t="str">
        <f>IF(Skemaoplysninger!O26&gt;0,Skemaoplysninger!U26,"")</f>
        <v/>
      </c>
      <c r="E14" s="27" t="str">
        <f>IF(Skemaoplysninger!O26&gt;0,Skemaoplysninger!W26,"")</f>
        <v/>
      </c>
      <c r="F14" s="27" t="str">
        <f>IF(Skemaoplysninger!O26&gt;0,Skemaoplysninger!Y26,"")</f>
        <v/>
      </c>
      <c r="G14" s="766" t="str">
        <f>IF(Skemaoplysninger!O26&gt;0,Skemaoplysninger!AA26,"")</f>
        <v/>
      </c>
    </row>
    <row r="15" spans="1:7" ht="30" customHeight="1">
      <c r="A15" s="765" t="str">
        <f>IF(Skemaoplysninger!O27&gt;0,Skemaoplysninger!P27,"")</f>
        <v/>
      </c>
      <c r="B15" s="35" t="str">
        <f>IF(Skemaoplysninger!O27&gt;0,Skemaoplysninger!Q27,"")</f>
        <v/>
      </c>
      <c r="C15" s="271" t="str">
        <f>IF(Skemaoplysninger!O27&gt;0,Skemaoplysninger!S27,"")</f>
        <v/>
      </c>
      <c r="D15" s="271" t="str">
        <f>IF(Skemaoplysninger!O27&gt;0,Skemaoplysninger!U27,"")</f>
        <v/>
      </c>
      <c r="E15" s="271" t="str">
        <f>IF(Skemaoplysninger!O27&gt;0,Skemaoplysninger!W27,"")</f>
        <v/>
      </c>
      <c r="F15" s="271" t="str">
        <f>IF(Skemaoplysninger!O27&gt;0,Skemaoplysninger!Y27,"")</f>
        <v/>
      </c>
      <c r="G15" s="725" t="str">
        <f>IF(Skemaoplysninger!O27&gt;0,Skemaoplysninger!AA27,"")</f>
        <v/>
      </c>
    </row>
    <row r="16" spans="1:7" ht="30" customHeight="1">
      <c r="A16" s="763" t="str">
        <f>IF(Skemaoplysninger!O28&gt;0,Skemaoplysninger!P28,"")</f>
        <v/>
      </c>
      <c r="B16" s="34" t="str">
        <f>IF(Skemaoplysninger!O28&gt;0,Skemaoplysninger!Q28,"")</f>
        <v/>
      </c>
      <c r="C16" s="27" t="str">
        <f>IF(Skemaoplysninger!O28&gt;0,Skemaoplysninger!S28,"")</f>
        <v/>
      </c>
      <c r="D16" s="27" t="str">
        <f>IF(Skemaoplysninger!O28&gt;0,Skemaoplysninger!U28,"")</f>
        <v/>
      </c>
      <c r="E16" s="27" t="str">
        <f>IF(Skemaoplysninger!O28&gt;0,Skemaoplysninger!W28,"")</f>
        <v/>
      </c>
      <c r="F16" s="27" t="str">
        <f>IF(Skemaoplysninger!O28&gt;0,Skemaoplysninger!Y28,"")</f>
        <v/>
      </c>
      <c r="G16" s="766" t="str">
        <f>IF(Skemaoplysninger!O28&gt;0,Skemaoplysninger!AA28,"")</f>
        <v/>
      </c>
    </row>
    <row r="17" spans="1:7" ht="30" customHeight="1">
      <c r="A17" s="765" t="str">
        <f>IF(Skemaoplysninger!O29&gt;0,Skemaoplysninger!P29,"")</f>
        <v/>
      </c>
      <c r="B17" s="35" t="str">
        <f>IF(Skemaoplysninger!O29&gt;0,Skemaoplysninger!Q29,"")</f>
        <v/>
      </c>
      <c r="C17" s="271" t="str">
        <f>IF(Skemaoplysninger!O29&gt;0,Skemaoplysninger!S29,"")</f>
        <v/>
      </c>
      <c r="D17" s="271" t="str">
        <f>IF(Skemaoplysninger!O29&gt;0,Skemaoplysninger!U29,"")</f>
        <v/>
      </c>
      <c r="E17" s="271" t="str">
        <f>IF(Skemaoplysninger!O29&gt;0,Skemaoplysninger!W29,"")</f>
        <v/>
      </c>
      <c r="F17" s="271" t="str">
        <f>IF(Skemaoplysninger!O29&gt;0,Skemaoplysninger!Y29,"")</f>
        <v/>
      </c>
      <c r="G17" s="725" t="str">
        <f>IF(Skemaoplysninger!O29&gt;0,Skemaoplysninger!AA29,"")</f>
        <v/>
      </c>
    </row>
    <row r="18" spans="1:7" ht="30" customHeight="1">
      <c r="A18" s="763" t="str">
        <f>IF(Skemaoplysninger!O30&gt;0,Skemaoplysninger!P30,"")</f>
        <v/>
      </c>
      <c r="B18" s="34" t="str">
        <f>IF(Skemaoplysninger!O30&gt;0,Skemaoplysninger!Q30,"")</f>
        <v/>
      </c>
      <c r="C18" s="27" t="str">
        <f>IF(Skemaoplysninger!O30&gt;0,Skemaoplysninger!S30,"")</f>
        <v/>
      </c>
      <c r="D18" s="27" t="str">
        <f>IF(Skemaoplysninger!O30&gt;0,Skemaoplysninger!U30,"")</f>
        <v/>
      </c>
      <c r="E18" s="27" t="str">
        <f>IF(Skemaoplysninger!O30&gt;0,Skemaoplysninger!W30,"")</f>
        <v/>
      </c>
      <c r="F18" s="27" t="str">
        <f>IF(Skemaoplysninger!O30&gt;0,Skemaoplysninger!Y30,"")</f>
        <v/>
      </c>
      <c r="G18" s="766" t="str">
        <f>IF(Skemaoplysninger!O30&gt;0,Skemaoplysninger!AA30,"")</f>
        <v/>
      </c>
    </row>
    <row r="19" spans="1:7" ht="30" customHeight="1">
      <c r="A19" s="765" t="str">
        <f>IF(Skemaoplysninger!O31&gt;0,Skemaoplysninger!P31,"")</f>
        <v/>
      </c>
      <c r="B19" s="35" t="str">
        <f>IF(Skemaoplysninger!O31&gt;0,Skemaoplysninger!Q31,"")</f>
        <v/>
      </c>
      <c r="C19" s="271" t="str">
        <f>IF(Skemaoplysninger!O31&gt;0,Skemaoplysninger!S31,"")</f>
        <v/>
      </c>
      <c r="D19" s="271" t="str">
        <f>IF(Skemaoplysninger!O31&gt;0,Skemaoplysninger!U31,"")</f>
        <v/>
      </c>
      <c r="E19" s="271" t="str">
        <f>IF(Skemaoplysninger!O31&gt;0,Skemaoplysninger!W31,"")</f>
        <v/>
      </c>
      <c r="F19" s="271" t="str">
        <f>IF(Skemaoplysninger!O31&gt;0,Skemaoplysninger!Y31,"")</f>
        <v/>
      </c>
      <c r="G19" s="725" t="str">
        <f>IF(Skemaoplysninger!O31&gt;0,Skemaoplysninger!AA31,"")</f>
        <v/>
      </c>
    </row>
    <row r="20" spans="1:7" ht="30" customHeight="1">
      <c r="A20" s="763" t="str">
        <f>IF(Skemaoplysninger!O32&gt;0,Skemaoplysninger!P32,"")</f>
        <v/>
      </c>
      <c r="B20" s="34" t="str">
        <f>IF(Skemaoplysninger!O32&gt;0,Skemaoplysninger!Q32,"")</f>
        <v/>
      </c>
      <c r="C20" s="27" t="str">
        <f>IF(Skemaoplysninger!O32&gt;0,Skemaoplysninger!S32,"")</f>
        <v/>
      </c>
      <c r="D20" s="27" t="str">
        <f>IF(Skemaoplysninger!O32&gt;0,Skemaoplysninger!U32,"")</f>
        <v/>
      </c>
      <c r="E20" s="27" t="str">
        <f>IF(Skemaoplysninger!O32&gt;0,Skemaoplysninger!W32,"")</f>
        <v/>
      </c>
      <c r="F20" s="27" t="str">
        <f>IF(Skemaoplysninger!O32&gt;0,Skemaoplysninger!Y32,"")</f>
        <v/>
      </c>
      <c r="G20" s="766" t="str">
        <f>IF(Skemaoplysninger!O32&gt;0,Skemaoplysninger!AA32,"")</f>
        <v/>
      </c>
    </row>
    <row r="21" spans="1:7" ht="30" customHeight="1">
      <c r="A21" s="765" t="str">
        <f>IF(Skemaoplysninger!O33&gt;0,Skemaoplysninger!P33,"")</f>
        <v/>
      </c>
      <c r="B21" s="35" t="str">
        <f>IF(Skemaoplysninger!O33&gt;0,Skemaoplysninger!Q33,"")</f>
        <v/>
      </c>
      <c r="C21" s="271" t="str">
        <f>IF(Skemaoplysninger!O33&gt;0,Skemaoplysninger!S33,"")</f>
        <v/>
      </c>
      <c r="D21" s="271" t="str">
        <f>IF(Skemaoplysninger!O33&gt;0,Skemaoplysninger!U33,"")</f>
        <v/>
      </c>
      <c r="E21" s="271" t="str">
        <f>IF(Skemaoplysninger!O33&gt;0,Skemaoplysninger!W33,"")</f>
        <v/>
      </c>
      <c r="F21" s="271" t="str">
        <f>IF(Skemaoplysninger!O33&gt;0,Skemaoplysninger!Y33,"")</f>
        <v/>
      </c>
      <c r="G21" s="725" t="str">
        <f>IF(Skemaoplysninger!O33&gt;0,Skemaoplysninger!AA33,"")</f>
        <v/>
      </c>
    </row>
    <row r="22" spans="1:7" ht="30" customHeight="1" thickBot="1">
      <c r="A22" s="767" t="str">
        <f>IF(Skemaoplysninger!O34&gt;0,Skemaoplysninger!P34,"")</f>
        <v/>
      </c>
      <c r="B22" s="768" t="str">
        <f>IF(Skemaoplysninger!O34&gt;0,Skemaoplysninger!Q34,"")</f>
        <v/>
      </c>
      <c r="C22" s="769" t="str">
        <f>IF(Skemaoplysninger!O34&gt;0,Skemaoplysninger!S34,"")</f>
        <v/>
      </c>
      <c r="D22" s="769" t="str">
        <f>IF(Skemaoplysninger!O34&gt;0,Skemaoplysninger!U34,"")</f>
        <v/>
      </c>
      <c r="E22" s="769" t="str">
        <f>IF(Skemaoplysninger!O34&gt;0,Skemaoplysninger!W34,"")</f>
        <v/>
      </c>
      <c r="F22" s="769" t="str">
        <f>IF(Skemaoplysninger!O34&gt;0,Skemaoplysninger!Y34,"")</f>
        <v/>
      </c>
      <c r="G22" s="770" t="str">
        <f>IF(Skemaoplysninger!O34&gt;0,Skemaoplysninger!AA34,"")</f>
        <v/>
      </c>
    </row>
    <row r="23" spans="1:7" ht="30" hidden="1" customHeight="1">
      <c r="A23" s="789" t="str">
        <f>IF(Skemaoplysninger!O35&gt;0,Skemaoplysninger!P35,"")</f>
        <v/>
      </c>
      <c r="B23" s="790" t="str">
        <f>IF(Skemaoplysninger!O35&gt;0,Skemaoplysninger!Q35,"")</f>
        <v/>
      </c>
      <c r="C23" s="791" t="str">
        <f>IF(Skemaoplysninger!O35&gt;0,Skemaoplysninger!S35,"")</f>
        <v/>
      </c>
      <c r="D23" s="791" t="str">
        <f>IF(Skemaoplysninger!O35&gt;0,Skemaoplysninger!U35,"")</f>
        <v/>
      </c>
      <c r="E23" s="791" t="str">
        <f>IF(Skemaoplysninger!O35&gt;0,Skemaoplysninger!W35,"")</f>
        <v/>
      </c>
      <c r="F23" s="791" t="str">
        <f>IF(Skemaoplysninger!O35&gt;0,Skemaoplysninger!Y35,"")</f>
        <v/>
      </c>
      <c r="G23" s="792" t="str">
        <f>IF(Skemaoplysninger!O35&gt;0,Skemaoplysninger!AA35,"")</f>
        <v/>
      </c>
    </row>
    <row r="24" spans="1:7" ht="30" hidden="1" customHeight="1">
      <c r="A24" s="763" t="str">
        <f>IF(Skemaoplysninger!O36&gt;0,Skemaoplysninger!P36,"")</f>
        <v/>
      </c>
      <c r="B24" s="34" t="str">
        <f>IF(Skemaoplysninger!O36&gt;0,Skemaoplysninger!Q36,"")</f>
        <v/>
      </c>
      <c r="C24" s="27" t="str">
        <f>IF(Skemaoplysninger!O36&gt;0,Skemaoplysninger!S36,"")</f>
        <v/>
      </c>
      <c r="D24" s="27" t="str">
        <f>IF(Skemaoplysninger!O36&gt;0,Skemaoplysninger!U36,"")</f>
        <v/>
      </c>
      <c r="E24" s="27" t="str">
        <f>IF(Skemaoplysninger!O36&gt;0,Skemaoplysninger!W36,"")</f>
        <v/>
      </c>
      <c r="F24" s="27" t="str">
        <f>IF(Skemaoplysninger!O36&gt;0,Skemaoplysninger!Y36,"")</f>
        <v/>
      </c>
      <c r="G24" s="766" t="str">
        <f>IF(Skemaoplysninger!O36&gt;0,Skemaoplysninger!AA36,"")</f>
        <v/>
      </c>
    </row>
    <row r="25" spans="1:7" ht="30" hidden="1" customHeight="1">
      <c r="A25" s="765" t="str">
        <f>IF(Skemaoplysninger!O37&gt;0,Skemaoplysninger!P37,"")</f>
        <v/>
      </c>
      <c r="B25" s="35" t="str">
        <f>IF(Skemaoplysninger!O37&gt;0,Skemaoplysninger!Q37,"")</f>
        <v/>
      </c>
      <c r="C25" s="271" t="str">
        <f>IF(Skemaoplysninger!O37&gt;0,Skemaoplysninger!S37,"")</f>
        <v/>
      </c>
      <c r="D25" s="271" t="str">
        <f>IF(Skemaoplysninger!O37&gt;0,Skemaoplysninger!U37,"")</f>
        <v/>
      </c>
      <c r="E25" s="271" t="str">
        <f>IF(Skemaoplysninger!O37&gt;0,Skemaoplysninger!W37,"")</f>
        <v/>
      </c>
      <c r="F25" s="271" t="str">
        <f>IF(Skemaoplysninger!O37&gt;0,Skemaoplysninger!Y37,"")</f>
        <v/>
      </c>
      <c r="G25" s="725" t="str">
        <f>IF(Skemaoplysninger!O37&gt;0,Skemaoplysninger!AA37,"")</f>
        <v/>
      </c>
    </row>
    <row r="26" spans="1:7" ht="30" hidden="1" customHeight="1">
      <c r="A26" s="763" t="str">
        <f>IF(Skemaoplysninger!O38&gt;0,Skemaoplysninger!P38,"")</f>
        <v/>
      </c>
      <c r="B26" s="34" t="str">
        <f>IF(Skemaoplysninger!O38&gt;0,Skemaoplysninger!Q38,"")</f>
        <v/>
      </c>
      <c r="C26" s="27" t="str">
        <f>IF(Skemaoplysninger!O38&gt;0,Skemaoplysninger!S38,"")</f>
        <v/>
      </c>
      <c r="D26" s="27" t="str">
        <f>IF(Skemaoplysninger!O38&gt;0,Skemaoplysninger!U38,"")</f>
        <v/>
      </c>
      <c r="E26" s="27" t="str">
        <f>IF(Skemaoplysninger!O38&gt;0,Skemaoplysninger!W38,"")</f>
        <v/>
      </c>
      <c r="F26" s="27" t="str">
        <f>IF(Skemaoplysninger!O38&gt;0,Skemaoplysninger!Y38,"")</f>
        <v/>
      </c>
      <c r="G26" s="766" t="str">
        <f>IF(Skemaoplysninger!O38&gt;0,Skemaoplysninger!AA38,"")</f>
        <v/>
      </c>
    </row>
    <row r="27" spans="1:7" ht="30" hidden="1" customHeight="1">
      <c r="A27" s="765" t="str">
        <f>IF(Skemaoplysninger!O39&gt;0,Skemaoplysninger!P39,"")</f>
        <v/>
      </c>
      <c r="B27" s="35" t="str">
        <f>IF(Skemaoplysninger!O39&gt;0,Skemaoplysninger!Q39,"")</f>
        <v/>
      </c>
      <c r="C27" s="271" t="str">
        <f>IF(Skemaoplysninger!O39&gt;0,Skemaoplysninger!S39,"")</f>
        <v/>
      </c>
      <c r="D27" s="271" t="str">
        <f>IF(Skemaoplysninger!O39&gt;0,Skemaoplysninger!U39,"")</f>
        <v/>
      </c>
      <c r="E27" s="271" t="str">
        <f>IF(Skemaoplysninger!O39&gt;0,Skemaoplysninger!W39,"")</f>
        <v/>
      </c>
      <c r="F27" s="271" t="str">
        <f>IF(Skemaoplysninger!O39&gt;0,Skemaoplysninger!Y39,"")</f>
        <v/>
      </c>
      <c r="G27" s="725" t="str">
        <f>IF(Skemaoplysninger!O39&gt;0,Skemaoplysninger!AA39,"")</f>
        <v/>
      </c>
    </row>
    <row r="28" spans="1:7" ht="30" hidden="1" customHeight="1">
      <c r="A28" s="763" t="str">
        <f>IF(Skemaoplysninger!O40&gt;0,Skemaoplysninger!P40,"")</f>
        <v/>
      </c>
      <c r="B28" s="34" t="str">
        <f>IF(Skemaoplysninger!O40&gt;0,Skemaoplysninger!Q40,"")</f>
        <v/>
      </c>
      <c r="C28" s="27" t="str">
        <f>IF(Skemaoplysninger!O40&gt;0,Skemaoplysninger!S40,"")</f>
        <v/>
      </c>
      <c r="D28" s="27" t="str">
        <f>IF(Skemaoplysninger!O40&gt;0,Skemaoplysninger!U40,"")</f>
        <v/>
      </c>
      <c r="E28" s="27" t="str">
        <f>IF(Skemaoplysninger!O40&gt;0,Skemaoplysninger!W40,"")</f>
        <v/>
      </c>
      <c r="F28" s="27" t="str">
        <f>IF(Skemaoplysninger!O40&gt;0,Skemaoplysninger!Y40,"")</f>
        <v/>
      </c>
      <c r="G28" s="766" t="str">
        <f>IF(Skemaoplysninger!O40&gt;0,Skemaoplysninger!AA40,"")</f>
        <v/>
      </c>
    </row>
    <row r="29" spans="1:7" ht="30" hidden="1" customHeight="1">
      <c r="A29" s="765" t="str">
        <f>IF(Skemaoplysninger!O41&gt;0,Skemaoplysninger!P41,"")</f>
        <v/>
      </c>
      <c r="B29" s="35" t="str">
        <f>IF(Skemaoplysninger!O41&gt;0,Skemaoplysninger!Q41,"")</f>
        <v/>
      </c>
      <c r="C29" s="271" t="str">
        <f>IF(Skemaoplysninger!O41&gt;0,Skemaoplysninger!S41,"")</f>
        <v/>
      </c>
      <c r="D29" s="271" t="str">
        <f>IF(Skemaoplysninger!O41&gt;0,Skemaoplysninger!U41,"")</f>
        <v/>
      </c>
      <c r="E29" s="271" t="str">
        <f>IF(Skemaoplysninger!O41&gt;0,Skemaoplysninger!W41,"")</f>
        <v/>
      </c>
      <c r="F29" s="271" t="str">
        <f>IF(Skemaoplysninger!O41&gt;0,Skemaoplysninger!Y41,"")</f>
        <v/>
      </c>
      <c r="G29" s="725" t="str">
        <f>IF(Skemaoplysninger!O41&gt;0,Skemaoplysninger!AA41,"")</f>
        <v/>
      </c>
    </row>
    <row r="30" spans="1:7" ht="30" hidden="1" customHeight="1">
      <c r="A30" s="763" t="str">
        <f>IF(Skemaoplysninger!O42&gt;0,Skemaoplysninger!P42,"")</f>
        <v/>
      </c>
      <c r="B30" s="34" t="str">
        <f>IF(Skemaoplysninger!O42&gt;0,Skemaoplysninger!Q42,"")</f>
        <v/>
      </c>
      <c r="C30" s="27" t="str">
        <f>IF(Skemaoplysninger!O42&gt;0,Skemaoplysninger!S42,"")</f>
        <v/>
      </c>
      <c r="D30" s="27" t="str">
        <f>IF(Skemaoplysninger!O42&gt;0,Skemaoplysninger!U42,"")</f>
        <v/>
      </c>
      <c r="E30" s="27" t="str">
        <f>IF(Skemaoplysninger!O42&gt;0,Skemaoplysninger!W42,"")</f>
        <v/>
      </c>
      <c r="F30" s="27" t="str">
        <f>IF(Skemaoplysninger!O42&gt;0,Skemaoplysninger!Y42,"")</f>
        <v/>
      </c>
      <c r="G30" s="766" t="str">
        <f>IF(Skemaoplysninger!O42&gt;0,Skemaoplysninger!AA42,"")</f>
        <v/>
      </c>
    </row>
    <row r="31" spans="1:7" ht="30" hidden="1" customHeight="1">
      <c r="A31" s="765" t="str">
        <f>IF(Skemaoplysninger!O43&gt;0,Skemaoplysninger!P43,"")</f>
        <v/>
      </c>
      <c r="B31" s="35" t="str">
        <f>IF(Skemaoplysninger!O43&gt;0,Skemaoplysninger!Q43,"")</f>
        <v/>
      </c>
      <c r="C31" s="271" t="str">
        <f>IF(Skemaoplysninger!O43&gt;0,Skemaoplysninger!S43,"")</f>
        <v/>
      </c>
      <c r="D31" s="271" t="str">
        <f>IF(Skemaoplysninger!O43&gt;0,Skemaoplysninger!U43,"")</f>
        <v/>
      </c>
      <c r="E31" s="271" t="str">
        <f>IF(Skemaoplysninger!O43&gt;0,Skemaoplysninger!W43,"")</f>
        <v/>
      </c>
      <c r="F31" s="271" t="str">
        <f>IF(Skemaoplysninger!O43&gt;0,Skemaoplysninger!Y43,"")</f>
        <v/>
      </c>
      <c r="G31" s="725" t="str">
        <f>IF(Skemaoplysninger!O43&gt;0,Skemaoplysninger!AA43,"")</f>
        <v/>
      </c>
    </row>
    <row r="32" spans="1:7" ht="30" hidden="1" customHeight="1">
      <c r="A32" s="763" t="str">
        <f>IF(Skemaoplysninger!O44&gt;0,Skemaoplysninger!P44,"")</f>
        <v/>
      </c>
      <c r="B32" s="34" t="str">
        <f>IF(Skemaoplysninger!O44&gt;0,Skemaoplysninger!Q44,"")</f>
        <v/>
      </c>
      <c r="C32" s="27" t="str">
        <f>IF(Skemaoplysninger!O44&gt;0,Skemaoplysninger!S44,"")</f>
        <v/>
      </c>
      <c r="D32" s="27" t="str">
        <f>IF(Skemaoplysninger!O44&gt;0,Skemaoplysninger!U44,"")</f>
        <v/>
      </c>
      <c r="E32" s="27" t="str">
        <f>IF(Skemaoplysninger!O44&gt;0,Skemaoplysninger!W44,"")</f>
        <v/>
      </c>
      <c r="F32" s="27" t="str">
        <f>IF(Skemaoplysninger!O44&gt;0,Skemaoplysninger!Y44,"")</f>
        <v/>
      </c>
      <c r="G32" s="766" t="str">
        <f>IF(Skemaoplysninger!O44&gt;0,Skemaoplysninger!AA44,"")</f>
        <v/>
      </c>
    </row>
    <row r="33" spans="1:7" ht="30" hidden="1" customHeight="1" thickBot="1">
      <c r="A33" s="786" t="str">
        <f>IF(Skemaoplysninger!O45&gt;0,Skemaoplysninger!P45,"")</f>
        <v/>
      </c>
      <c r="B33" s="781" t="str">
        <f>IF(Skemaoplysninger!O45&gt;0,Skemaoplysninger!Q45,"")</f>
        <v/>
      </c>
      <c r="C33" s="787" t="str">
        <f>IF(Skemaoplysninger!O45&gt;0,Skemaoplysninger!S45,"")</f>
        <v/>
      </c>
      <c r="D33" s="787" t="str">
        <f>IF(Skemaoplysninger!O45&gt;0,Skemaoplysninger!U45,"")</f>
        <v/>
      </c>
      <c r="E33" s="787" t="str">
        <f>IF(Skemaoplysninger!O45&gt;0,Skemaoplysninger!W45,"")</f>
        <v/>
      </c>
      <c r="F33" s="787" t="str">
        <f>IF(Skemaoplysninger!O45&gt;0,Skemaoplysninger!Y45,"")</f>
        <v/>
      </c>
      <c r="G33" s="788" t="str">
        <f>IF(Skemaoplysninger!O45&gt;0,Skemaoplysninger!AA45,"")</f>
        <v/>
      </c>
    </row>
  </sheetData>
  <sheetProtection sheet="1" objects="1" scenarios="1"/>
  <mergeCells count="4">
    <mergeCell ref="A1:G1"/>
    <mergeCell ref="A2:C2"/>
    <mergeCell ref="D2:E2"/>
    <mergeCell ref="F2:G2"/>
  </mergeCells>
  <pageMargins left="0.7" right="0.7" top="0.75" bottom="0.75" header="0.3" footer="0.3"/>
  <pageSetup paperSize="9" scale="81" orientation="portrait" horizontalDpi="0" verticalDpi="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39CB7-E494-D14F-B25C-069A279ACF1F}">
  <sheetPr>
    <tabColor theme="4" tint="0.59999389629810485"/>
    <pageSetUpPr fitToPage="1"/>
  </sheetPr>
  <dimension ref="A1:G33"/>
  <sheetViews>
    <sheetView showZeros="0" workbookViewId="0">
      <selection activeCell="A22" sqref="A22"/>
    </sheetView>
  </sheetViews>
  <sheetFormatPr baseColWidth="10" defaultRowHeight="16"/>
  <cols>
    <col min="3" max="7" width="15.83203125" customWidth="1"/>
  </cols>
  <sheetData>
    <row r="1" spans="1:7" ht="32" customHeight="1">
      <c r="A1" s="1629" t="str">
        <f>Skemaoplysninger!AC10</f>
        <v>Skema 3 vedr. Beate Simonsen</v>
      </c>
      <c r="B1" s="1630"/>
      <c r="C1" s="1630"/>
      <c r="D1" s="1630"/>
      <c r="E1" s="1630"/>
      <c r="F1" s="1630"/>
      <c r="G1" s="1631"/>
    </row>
    <row r="2" spans="1:7" ht="32" customHeight="1">
      <c r="A2" s="1627" t="s">
        <v>216</v>
      </c>
      <c r="B2" s="1628"/>
      <c r="C2" s="1628"/>
      <c r="D2" s="1632">
        <f>Skemaoplysninger!AH12</f>
        <v>0</v>
      </c>
      <c r="E2" s="1632"/>
      <c r="F2" s="1632">
        <f>Skemaoplysninger!AL12</f>
        <v>0</v>
      </c>
      <c r="G2" s="1633"/>
    </row>
    <row r="3" spans="1:7" ht="32" customHeight="1">
      <c r="A3" s="762" t="s">
        <v>64</v>
      </c>
      <c r="B3" s="268" t="s">
        <v>65</v>
      </c>
      <c r="C3" s="269" t="s">
        <v>34</v>
      </c>
      <c r="D3" s="269" t="s">
        <v>35</v>
      </c>
      <c r="E3" s="269" t="s">
        <v>36</v>
      </c>
      <c r="F3" s="269" t="s">
        <v>37</v>
      </c>
      <c r="G3" s="270" t="s">
        <v>38</v>
      </c>
    </row>
    <row r="4" spans="1:7" ht="30" customHeight="1">
      <c r="A4" s="763" t="str">
        <f>IF(Skemaoplysninger!AC16&gt;0,Skemaoplysninger!AD16,"")</f>
        <v/>
      </c>
      <c r="B4" s="34" t="str">
        <f>IF(Skemaoplysninger!AC16&gt;0,Skemaoplysninger!AE16,"")</f>
        <v/>
      </c>
      <c r="C4" s="27" t="str">
        <f>IF(Skemaoplysninger!AC16&gt;0,Skemaoplysninger!AG16,"")</f>
        <v/>
      </c>
      <c r="D4" s="27" t="str">
        <f>IF(Skemaoplysninger!AC16&gt;0,Skemaoplysninger!AI16,"")</f>
        <v/>
      </c>
      <c r="E4" s="27" t="str">
        <f>IF(Skemaoplysninger!AC16&gt;0,Skemaoplysninger!AK16,"")</f>
        <v/>
      </c>
      <c r="F4" s="27" t="str">
        <f>IF(Skemaoplysninger!AC16&gt;0,Skemaoplysninger!AM16,"")</f>
        <v/>
      </c>
      <c r="G4" s="766" t="str">
        <f>IF(Skemaoplysninger!AC16&gt;0,Skemaoplysninger!AO16,"")</f>
        <v/>
      </c>
    </row>
    <row r="5" spans="1:7" ht="30" customHeight="1">
      <c r="A5" s="765" t="str">
        <f>IF(Skemaoplysninger!AC17&gt;0,Skemaoplysninger!AD17,"")</f>
        <v/>
      </c>
      <c r="B5" s="35" t="str">
        <f>IF(Skemaoplysninger!AC17&gt;0,Skemaoplysninger!AE17,"")</f>
        <v/>
      </c>
      <c r="C5" s="271" t="str">
        <f>IF(Skemaoplysninger!AC17&gt;0,Skemaoplysninger!AG17,"")</f>
        <v/>
      </c>
      <c r="D5" s="271" t="str">
        <f>IF(Skemaoplysninger!AC17&gt;0,Skemaoplysninger!AI17,"")</f>
        <v/>
      </c>
      <c r="E5" s="271" t="str">
        <f>IF(Skemaoplysninger!AC17&gt;0,Skemaoplysninger!AK17,"")</f>
        <v/>
      </c>
      <c r="F5" s="271" t="str">
        <f>IF(Skemaoplysninger!AC17&gt;0,Skemaoplysninger!AM17,"")</f>
        <v/>
      </c>
      <c r="G5" s="725" t="str">
        <f>IF(Skemaoplysninger!AC17&gt;0,Skemaoplysninger!AO17,"")</f>
        <v/>
      </c>
    </row>
    <row r="6" spans="1:7" ht="30" customHeight="1">
      <c r="A6" s="763" t="str">
        <f>IF(Skemaoplysninger!AC18&gt;0,Skemaoplysninger!AD18,"")</f>
        <v/>
      </c>
      <c r="B6" s="34" t="str">
        <f>IF(Skemaoplysninger!AC18&gt;0,Skemaoplysninger!AE18,"")</f>
        <v/>
      </c>
      <c r="C6" s="27" t="str">
        <f>IF(Skemaoplysninger!AC18&gt;0,Skemaoplysninger!AG18,"")</f>
        <v/>
      </c>
      <c r="D6" s="27" t="str">
        <f>IF(Skemaoplysninger!AC18&gt;0,Skemaoplysninger!AI18,"")</f>
        <v/>
      </c>
      <c r="E6" s="27" t="str">
        <f>IF(Skemaoplysninger!AC18&gt;0,Skemaoplysninger!AK18,"")</f>
        <v/>
      </c>
      <c r="F6" s="27" t="str">
        <f>IF(Skemaoplysninger!AC18&gt;0,Skemaoplysninger!AM18,"")</f>
        <v/>
      </c>
      <c r="G6" s="766" t="str">
        <f>IF(Skemaoplysninger!AC18&gt;0,Skemaoplysninger!AO18,"")</f>
        <v/>
      </c>
    </row>
    <row r="7" spans="1:7" ht="30" customHeight="1">
      <c r="A7" s="765" t="str">
        <f>IF(Skemaoplysninger!AC19&gt;0,Skemaoplysninger!AD19,"")</f>
        <v/>
      </c>
      <c r="B7" s="35" t="str">
        <f>IF(Skemaoplysninger!AC19&gt;0,Skemaoplysninger!AE19,"")</f>
        <v/>
      </c>
      <c r="C7" s="271" t="str">
        <f>IF(Skemaoplysninger!AC19&gt;0,Skemaoplysninger!AG19,"")</f>
        <v/>
      </c>
      <c r="D7" s="271" t="str">
        <f>IF(Skemaoplysninger!AC19&gt;0,Skemaoplysninger!AI19,"")</f>
        <v/>
      </c>
      <c r="E7" s="271" t="str">
        <f>IF(Skemaoplysninger!AC19&gt;0,Skemaoplysninger!AK19,"")</f>
        <v/>
      </c>
      <c r="F7" s="271" t="str">
        <f>IF(Skemaoplysninger!AC19&gt;0,Skemaoplysninger!AM19,"")</f>
        <v/>
      </c>
      <c r="G7" s="725" t="str">
        <f>IF(Skemaoplysninger!AC19&gt;0,Skemaoplysninger!AO19,"")</f>
        <v/>
      </c>
    </row>
    <row r="8" spans="1:7" ht="30" customHeight="1">
      <c r="A8" s="763" t="str">
        <f>IF(Skemaoplysninger!AC20&gt;0,Skemaoplysninger!AD20,"")</f>
        <v/>
      </c>
      <c r="B8" s="34" t="str">
        <f>IF(Skemaoplysninger!AC20&gt;0,Skemaoplysninger!AE20,"")</f>
        <v/>
      </c>
      <c r="C8" s="27" t="str">
        <f>IF(Skemaoplysninger!AC20&gt;0,Skemaoplysninger!AG20,"")</f>
        <v/>
      </c>
      <c r="D8" s="27" t="str">
        <f>IF(Skemaoplysninger!AC20&gt;0,Skemaoplysninger!AI20,"")</f>
        <v/>
      </c>
      <c r="E8" s="27" t="str">
        <f>IF(Skemaoplysninger!AC20&gt;0,Skemaoplysninger!AK20,"")</f>
        <v/>
      </c>
      <c r="F8" s="27" t="str">
        <f>IF(Skemaoplysninger!AC20&gt;0,Skemaoplysninger!AM20,"")</f>
        <v/>
      </c>
      <c r="G8" s="766" t="str">
        <f>IF(Skemaoplysninger!AC20&gt;0,Skemaoplysninger!AO20,"")</f>
        <v/>
      </c>
    </row>
    <row r="9" spans="1:7" ht="30" customHeight="1">
      <c r="A9" s="765" t="str">
        <f>IF(Skemaoplysninger!AC21&gt;0,Skemaoplysninger!AD21,"")</f>
        <v/>
      </c>
      <c r="B9" s="35" t="str">
        <f>IF(Skemaoplysninger!AC21&gt;0,Skemaoplysninger!AE21,"")</f>
        <v/>
      </c>
      <c r="C9" s="271" t="str">
        <f>IF(Skemaoplysninger!AC21&gt;0,Skemaoplysninger!AG21,"")</f>
        <v/>
      </c>
      <c r="D9" s="271" t="str">
        <f>IF(Skemaoplysninger!AC21&gt;0,Skemaoplysninger!AI21,"")</f>
        <v/>
      </c>
      <c r="E9" s="271" t="str">
        <f>IF(Skemaoplysninger!AC21&gt;0,Skemaoplysninger!AK21,"")</f>
        <v/>
      </c>
      <c r="F9" s="271" t="str">
        <f>IF(Skemaoplysninger!AC21&gt;0,Skemaoplysninger!AM21,"")</f>
        <v/>
      </c>
      <c r="G9" s="725" t="str">
        <f>IF(Skemaoplysninger!AC21&gt;0,Skemaoplysninger!AO21,"")</f>
        <v/>
      </c>
    </row>
    <row r="10" spans="1:7" ht="30" customHeight="1">
      <c r="A10" s="763" t="str">
        <f>IF(Skemaoplysninger!AC22&gt;0,Skemaoplysninger!AD22,"")</f>
        <v/>
      </c>
      <c r="B10" s="34" t="str">
        <f>IF(Skemaoplysninger!AC22&gt;0,Skemaoplysninger!AE22,"")</f>
        <v/>
      </c>
      <c r="C10" s="27" t="str">
        <f>IF(Skemaoplysninger!AC22&gt;0,Skemaoplysninger!AG22,"")</f>
        <v/>
      </c>
      <c r="D10" s="27" t="str">
        <f>IF(Skemaoplysninger!AC22&gt;0,Skemaoplysninger!AI22,"")</f>
        <v/>
      </c>
      <c r="E10" s="27" t="str">
        <f>IF(Skemaoplysninger!AC22&gt;0,Skemaoplysninger!AK22,"")</f>
        <v/>
      </c>
      <c r="F10" s="27" t="str">
        <f>IF(Skemaoplysninger!AC22&gt;0,Skemaoplysninger!AM22,"")</f>
        <v/>
      </c>
      <c r="G10" s="766" t="str">
        <f>IF(Skemaoplysninger!AC22&gt;0,Skemaoplysninger!AO22,"")</f>
        <v/>
      </c>
    </row>
    <row r="11" spans="1:7" ht="30" customHeight="1">
      <c r="A11" s="765" t="str">
        <f>IF(Skemaoplysninger!AC23&gt;0,Skemaoplysninger!AD23,"")</f>
        <v/>
      </c>
      <c r="B11" s="35" t="str">
        <f>IF(Skemaoplysninger!AC23&gt;0,Skemaoplysninger!AE23,"")</f>
        <v/>
      </c>
      <c r="C11" s="271" t="str">
        <f>IF(Skemaoplysninger!AC23&gt;0,Skemaoplysninger!AG23,"")</f>
        <v/>
      </c>
      <c r="D11" s="271" t="str">
        <f>IF(Skemaoplysninger!AC23&gt;0,Skemaoplysninger!AI23,"")</f>
        <v/>
      </c>
      <c r="E11" s="271" t="str">
        <f>IF(Skemaoplysninger!AC23&gt;0,Skemaoplysninger!AK23,"")</f>
        <v/>
      </c>
      <c r="F11" s="271" t="str">
        <f>IF(Skemaoplysninger!AC23&gt;0,Skemaoplysninger!AM23,"")</f>
        <v/>
      </c>
      <c r="G11" s="725" t="str">
        <f>IF(Skemaoplysninger!AC23&gt;0,Skemaoplysninger!AO23,"")</f>
        <v/>
      </c>
    </row>
    <row r="12" spans="1:7" ht="30" customHeight="1">
      <c r="A12" s="763" t="str">
        <f>IF(Skemaoplysninger!AC24&gt;0,Skemaoplysninger!AD24,"")</f>
        <v/>
      </c>
      <c r="B12" s="34" t="str">
        <f>IF(Skemaoplysninger!AC24&gt;0,Skemaoplysninger!AE24,"")</f>
        <v/>
      </c>
      <c r="C12" s="27" t="str">
        <f>IF(Skemaoplysninger!AC24&gt;0,Skemaoplysninger!AG24,"")</f>
        <v/>
      </c>
      <c r="D12" s="27" t="str">
        <f>IF(Skemaoplysninger!AC24&gt;0,Skemaoplysninger!AI24,"")</f>
        <v/>
      </c>
      <c r="E12" s="27" t="str">
        <f>IF(Skemaoplysninger!AC24&gt;0,Skemaoplysninger!AK24,"")</f>
        <v/>
      </c>
      <c r="F12" s="27" t="str">
        <f>IF(Skemaoplysninger!AC24&gt;0,Skemaoplysninger!AM24,"")</f>
        <v/>
      </c>
      <c r="G12" s="766" t="str">
        <f>IF(Skemaoplysninger!AC24&gt;0,Skemaoplysninger!AO24,"")</f>
        <v/>
      </c>
    </row>
    <row r="13" spans="1:7" ht="30" customHeight="1">
      <c r="A13" s="765" t="str">
        <f>IF(Skemaoplysninger!AC25&gt;0,Skemaoplysninger!AD25,"")</f>
        <v/>
      </c>
      <c r="B13" s="35" t="str">
        <f>IF(Skemaoplysninger!AC25&gt;0,Skemaoplysninger!AE25,"")</f>
        <v/>
      </c>
      <c r="C13" s="271" t="str">
        <f>IF(Skemaoplysninger!AC25&gt;0,Skemaoplysninger!AG25,"")</f>
        <v/>
      </c>
      <c r="D13" s="271" t="str">
        <f>IF(Skemaoplysninger!AC25&gt;0,Skemaoplysninger!AI25,"")</f>
        <v/>
      </c>
      <c r="E13" s="271" t="str">
        <f>IF(Skemaoplysninger!AC25&gt;0,Skemaoplysninger!AK25,"")</f>
        <v/>
      </c>
      <c r="F13" s="271" t="str">
        <f>IF(Skemaoplysninger!AC25&gt;0,Skemaoplysninger!AM25,"")</f>
        <v/>
      </c>
      <c r="G13" s="725" t="str">
        <f>IF(Skemaoplysninger!AC25&gt;0,Skemaoplysninger!AO25,"")</f>
        <v/>
      </c>
    </row>
    <row r="14" spans="1:7" ht="30" customHeight="1">
      <c r="A14" s="763" t="str">
        <f>IF(Skemaoplysninger!AC26&gt;0,Skemaoplysninger!AD26,"")</f>
        <v/>
      </c>
      <c r="B14" s="34" t="str">
        <f>IF(Skemaoplysninger!AC26&gt;0,Skemaoplysninger!AE26,"")</f>
        <v/>
      </c>
      <c r="C14" s="27" t="str">
        <f>IF(Skemaoplysninger!AC26&gt;0,Skemaoplysninger!AG26,"")</f>
        <v/>
      </c>
      <c r="D14" s="27" t="str">
        <f>IF(Skemaoplysninger!AC26&gt;0,Skemaoplysninger!AI26,"")</f>
        <v/>
      </c>
      <c r="E14" s="27" t="str">
        <f>IF(Skemaoplysninger!AC26&gt;0,Skemaoplysninger!AK26,"")</f>
        <v/>
      </c>
      <c r="F14" s="27" t="str">
        <f>IF(Skemaoplysninger!AC26&gt;0,Skemaoplysninger!AM26,"")</f>
        <v/>
      </c>
      <c r="G14" s="766" t="str">
        <f>IF(Skemaoplysninger!AC26&gt;0,Skemaoplysninger!AO26,"")</f>
        <v/>
      </c>
    </row>
    <row r="15" spans="1:7" ht="30" customHeight="1">
      <c r="A15" s="765" t="str">
        <f>IF(Skemaoplysninger!AC27&gt;0,Skemaoplysninger!AD27,"")</f>
        <v/>
      </c>
      <c r="B15" s="35" t="str">
        <f>IF(Skemaoplysninger!AC27&gt;0,Skemaoplysninger!AE27,"")</f>
        <v/>
      </c>
      <c r="C15" s="271" t="str">
        <f>IF(Skemaoplysninger!AC27&gt;0,Skemaoplysninger!AG27,"")</f>
        <v/>
      </c>
      <c r="D15" s="271" t="str">
        <f>IF(Skemaoplysninger!AC27&gt;0,Skemaoplysninger!AI27,"")</f>
        <v/>
      </c>
      <c r="E15" s="271" t="str">
        <f>IF(Skemaoplysninger!AC27&gt;0,Skemaoplysninger!AK27,"")</f>
        <v/>
      </c>
      <c r="F15" s="271" t="str">
        <f>IF(Skemaoplysninger!AC27&gt;0,Skemaoplysninger!AM27,"")</f>
        <v/>
      </c>
      <c r="G15" s="725" t="str">
        <f>IF(Skemaoplysninger!AC27&gt;0,Skemaoplysninger!AO27,"")</f>
        <v/>
      </c>
    </row>
    <row r="16" spans="1:7" ht="30" customHeight="1">
      <c r="A16" s="763" t="str">
        <f>IF(Skemaoplysninger!AC28&gt;0,Skemaoplysninger!AD28,"")</f>
        <v/>
      </c>
      <c r="B16" s="34" t="str">
        <f>IF(Skemaoplysninger!AC28&gt;0,Skemaoplysninger!AE28,"")</f>
        <v/>
      </c>
      <c r="C16" s="27" t="str">
        <f>IF(Skemaoplysninger!AC28&gt;0,Skemaoplysninger!AG28,"")</f>
        <v/>
      </c>
      <c r="D16" s="27" t="str">
        <f>IF(Skemaoplysninger!AC28&gt;0,Skemaoplysninger!AI28,"")</f>
        <v/>
      </c>
      <c r="E16" s="27" t="str">
        <f>IF(Skemaoplysninger!AC28&gt;0,Skemaoplysninger!AK28,"")</f>
        <v/>
      </c>
      <c r="F16" s="27" t="str">
        <f>IF(Skemaoplysninger!AC28&gt;0,Skemaoplysninger!AM28,"")</f>
        <v/>
      </c>
      <c r="G16" s="766" t="str">
        <f>IF(Skemaoplysninger!AC28&gt;0,Skemaoplysninger!AO28,"")</f>
        <v/>
      </c>
    </row>
    <row r="17" spans="1:7" ht="30" customHeight="1">
      <c r="A17" s="765" t="str">
        <f>IF(Skemaoplysninger!AC29&gt;0,Skemaoplysninger!AD29,"")</f>
        <v/>
      </c>
      <c r="B17" s="35" t="str">
        <f>IF(Skemaoplysninger!AC29&gt;0,Skemaoplysninger!AE29,"")</f>
        <v/>
      </c>
      <c r="C17" s="271" t="str">
        <f>IF(Skemaoplysninger!AC29&gt;0,Skemaoplysninger!AG29,"")</f>
        <v/>
      </c>
      <c r="D17" s="271" t="str">
        <f>IF(Skemaoplysninger!AC29&gt;0,Skemaoplysninger!AI29,"")</f>
        <v/>
      </c>
      <c r="E17" s="271" t="str">
        <f>IF(Skemaoplysninger!AC29&gt;0,Skemaoplysninger!AK29,"")</f>
        <v/>
      </c>
      <c r="F17" s="271" t="str">
        <f>IF(Skemaoplysninger!AC29&gt;0,Skemaoplysninger!AM29,"")</f>
        <v/>
      </c>
      <c r="G17" s="725" t="str">
        <f>IF(Skemaoplysninger!AC29&gt;0,Skemaoplysninger!AO29,"")</f>
        <v/>
      </c>
    </row>
    <row r="18" spans="1:7" ht="30" customHeight="1">
      <c r="A18" s="763" t="str">
        <f>IF(Skemaoplysninger!AC30&gt;0,Skemaoplysninger!AD30,"")</f>
        <v/>
      </c>
      <c r="B18" s="34" t="str">
        <f>IF(Skemaoplysninger!AC30&gt;0,Skemaoplysninger!AE30,"")</f>
        <v/>
      </c>
      <c r="C18" s="27" t="str">
        <f>IF(Skemaoplysninger!AC30&gt;0,Skemaoplysninger!AG30,"")</f>
        <v/>
      </c>
      <c r="D18" s="27" t="str">
        <f>IF(Skemaoplysninger!AC30&gt;0,Skemaoplysninger!AI30,"")</f>
        <v/>
      </c>
      <c r="E18" s="27" t="str">
        <f>IF(Skemaoplysninger!AC30&gt;0,Skemaoplysninger!AK30,"")</f>
        <v/>
      </c>
      <c r="F18" s="27" t="str">
        <f>IF(Skemaoplysninger!AC30&gt;0,Skemaoplysninger!AM30,"")</f>
        <v/>
      </c>
      <c r="G18" s="766" t="str">
        <f>IF(Skemaoplysninger!AC30&gt;0,Skemaoplysninger!AO30,"")</f>
        <v/>
      </c>
    </row>
    <row r="19" spans="1:7" ht="30" customHeight="1">
      <c r="A19" s="765" t="str">
        <f>IF(Skemaoplysninger!AC31&gt;0,Skemaoplysninger!AD31,"")</f>
        <v/>
      </c>
      <c r="B19" s="35" t="str">
        <f>IF(Skemaoplysninger!AC31&gt;0,Skemaoplysninger!AE31,"")</f>
        <v/>
      </c>
      <c r="C19" s="271" t="str">
        <f>IF(Skemaoplysninger!AC31&gt;0,Skemaoplysninger!AG31,"")</f>
        <v/>
      </c>
      <c r="D19" s="271" t="str">
        <f>IF(Skemaoplysninger!AC31&gt;0,Skemaoplysninger!AI31,"")</f>
        <v/>
      </c>
      <c r="E19" s="271" t="str">
        <f>IF(Skemaoplysninger!AC31&gt;0,Skemaoplysninger!AK31,"")</f>
        <v/>
      </c>
      <c r="F19" s="271" t="str">
        <f>IF(Skemaoplysninger!AC31&gt;0,Skemaoplysninger!AM31,"")</f>
        <v/>
      </c>
      <c r="G19" s="725" t="str">
        <f>IF(Skemaoplysninger!AC31&gt;0,Skemaoplysninger!AO31,"")</f>
        <v/>
      </c>
    </row>
    <row r="20" spans="1:7" ht="30" customHeight="1">
      <c r="A20" s="763" t="str">
        <f>IF(Skemaoplysninger!AC32&gt;0,Skemaoplysninger!AD32,"")</f>
        <v/>
      </c>
      <c r="B20" s="34" t="str">
        <f>IF(Skemaoplysninger!AC32&gt;0,Skemaoplysninger!AE32,"")</f>
        <v/>
      </c>
      <c r="C20" s="27" t="str">
        <f>IF(Skemaoplysninger!AC32&gt;0,Skemaoplysninger!AG32,"")</f>
        <v/>
      </c>
      <c r="D20" s="27" t="str">
        <f>IF(Skemaoplysninger!AC32&gt;0,Skemaoplysninger!AI32,"")</f>
        <v/>
      </c>
      <c r="E20" s="27" t="str">
        <f>IF(Skemaoplysninger!AC32&gt;0,Skemaoplysninger!AK32,"")</f>
        <v/>
      </c>
      <c r="F20" s="27" t="str">
        <f>IF(Skemaoplysninger!AC32&gt;0,Skemaoplysninger!AM32,"")</f>
        <v/>
      </c>
      <c r="G20" s="766" t="str">
        <f>IF(Skemaoplysninger!AC32&gt;0,Skemaoplysninger!AO32,"")</f>
        <v/>
      </c>
    </row>
    <row r="21" spans="1:7" ht="30" customHeight="1">
      <c r="A21" s="765" t="str">
        <f>IF(Skemaoplysninger!AC33&gt;0,Skemaoplysninger!AD33,"")</f>
        <v/>
      </c>
      <c r="B21" s="35" t="str">
        <f>IF(Skemaoplysninger!AC33&gt;0,Skemaoplysninger!AE33,"")</f>
        <v/>
      </c>
      <c r="C21" s="271" t="str">
        <f>IF(Skemaoplysninger!AC33&gt;0,Skemaoplysninger!AG33,"")</f>
        <v/>
      </c>
      <c r="D21" s="271" t="str">
        <f>IF(Skemaoplysninger!AC33&gt;0,Skemaoplysninger!AI33,"")</f>
        <v/>
      </c>
      <c r="E21" s="271" t="str">
        <f>IF(Skemaoplysninger!AC33&gt;0,Skemaoplysninger!AK33,"")</f>
        <v/>
      </c>
      <c r="F21" s="271" t="str">
        <f>IF(Skemaoplysninger!AC33&gt;0,Skemaoplysninger!AM33,"")</f>
        <v/>
      </c>
      <c r="G21" s="725" t="str">
        <f>IF(Skemaoplysninger!AC33&gt;0,Skemaoplysninger!AO33,"")</f>
        <v/>
      </c>
    </row>
    <row r="22" spans="1:7" ht="30" customHeight="1" thickBot="1">
      <c r="A22" s="767" t="str">
        <f>IF(Skemaoplysninger!AC34&gt;0,Skemaoplysninger!AD34,"")</f>
        <v/>
      </c>
      <c r="B22" s="768" t="str">
        <f>IF(Skemaoplysninger!AC34&gt;0,Skemaoplysninger!AE34,"")</f>
        <v/>
      </c>
      <c r="C22" s="769" t="str">
        <f>IF(Skemaoplysninger!AC34&gt;0,Skemaoplysninger!AG34,"")</f>
        <v/>
      </c>
      <c r="D22" s="769" t="str">
        <f>IF(Skemaoplysninger!AC34&gt;0,Skemaoplysninger!AI34,"")</f>
        <v/>
      </c>
      <c r="E22" s="769" t="str">
        <f>IF(Skemaoplysninger!AC34&gt;0,Skemaoplysninger!AK34,"")</f>
        <v/>
      </c>
      <c r="F22" s="769" t="str">
        <f>IF(Skemaoplysninger!AC34&gt;0,Skemaoplysninger!AM34,"")</f>
        <v/>
      </c>
      <c r="G22" s="770" t="str">
        <f>IF(Skemaoplysninger!AC34&gt;0,Skemaoplysninger!AO34,"")</f>
        <v/>
      </c>
    </row>
    <row r="23" spans="1:7" ht="30" hidden="1" customHeight="1">
      <c r="A23" s="789" t="str">
        <f>IF(Skemaoplysninger!AC35&gt;0,Skemaoplysninger!AD35,"")</f>
        <v/>
      </c>
      <c r="B23" s="790" t="str">
        <f>IF(Skemaoplysninger!AC35&gt;0,Skemaoplysninger!AE35,"")</f>
        <v/>
      </c>
      <c r="C23" s="791" t="str">
        <f>IF(Skemaoplysninger!AC35&gt;0,Skemaoplysninger!AG35,"")</f>
        <v/>
      </c>
      <c r="D23" s="791" t="str">
        <f>IF(Skemaoplysninger!AC35&gt;0,Skemaoplysninger!AI35,"")</f>
        <v/>
      </c>
      <c r="E23" s="791" t="str">
        <f>IF(Skemaoplysninger!AC35&gt;0,Skemaoplysninger!AK35,"")</f>
        <v/>
      </c>
      <c r="F23" s="791" t="str">
        <f>IF(Skemaoplysninger!AC35&gt;0,Skemaoplysninger!AM35,"")</f>
        <v/>
      </c>
      <c r="G23" s="792" t="str">
        <f>IF(Skemaoplysninger!AC35&gt;0,Skemaoplysninger!AO35,"")</f>
        <v/>
      </c>
    </row>
    <row r="24" spans="1:7" ht="30" hidden="1" customHeight="1">
      <c r="A24" s="763" t="str">
        <f>IF(Skemaoplysninger!AC36&gt;0,Skemaoplysninger!AD36,"")</f>
        <v/>
      </c>
      <c r="B24" s="34" t="str">
        <f>IF(Skemaoplysninger!AC36&gt;0,Skemaoplysninger!AE36,"")</f>
        <v/>
      </c>
      <c r="C24" s="27" t="str">
        <f>IF(Skemaoplysninger!AC36&gt;0,Skemaoplysninger!AG36,"")</f>
        <v/>
      </c>
      <c r="D24" s="27" t="str">
        <f>IF(Skemaoplysninger!AC36&gt;0,Skemaoplysninger!AI36,"")</f>
        <v/>
      </c>
      <c r="E24" s="27" t="str">
        <f>IF(Skemaoplysninger!AC36&gt;0,Skemaoplysninger!AK36,"")</f>
        <v/>
      </c>
      <c r="F24" s="27" t="str">
        <f>IF(Skemaoplysninger!AC36&gt;0,Skemaoplysninger!AM36,"")</f>
        <v/>
      </c>
      <c r="G24" s="766" t="str">
        <f>IF(Skemaoplysninger!AC36&gt;0,Skemaoplysninger!AO36,"")</f>
        <v/>
      </c>
    </row>
    <row r="25" spans="1:7" ht="30" hidden="1" customHeight="1">
      <c r="A25" s="765" t="str">
        <f>IF(Skemaoplysninger!AC37&gt;0,Skemaoplysninger!AD37,"")</f>
        <v/>
      </c>
      <c r="B25" s="35" t="str">
        <f>IF(Skemaoplysninger!AC37&gt;0,Skemaoplysninger!AE37,"")</f>
        <v/>
      </c>
      <c r="C25" s="271" t="str">
        <f>IF(Skemaoplysninger!AC37&gt;0,Skemaoplysninger!AG37,"")</f>
        <v/>
      </c>
      <c r="D25" s="271" t="str">
        <f>IF(Skemaoplysninger!AC37&gt;0,Skemaoplysninger!AI37,"")</f>
        <v/>
      </c>
      <c r="E25" s="271" t="str">
        <f>IF(Skemaoplysninger!AC37&gt;0,Skemaoplysninger!AK37,"")</f>
        <v/>
      </c>
      <c r="F25" s="271" t="str">
        <f>IF(Skemaoplysninger!AC37&gt;0,Skemaoplysninger!AM37,"")</f>
        <v/>
      </c>
      <c r="G25" s="725" t="str">
        <f>IF(Skemaoplysninger!AC37&gt;0,Skemaoplysninger!AO37,"")</f>
        <v/>
      </c>
    </row>
    <row r="26" spans="1:7" ht="30" hidden="1" customHeight="1">
      <c r="A26" s="763" t="str">
        <f>IF(Skemaoplysninger!AC38&gt;0,Skemaoplysninger!AD38,"")</f>
        <v/>
      </c>
      <c r="B26" s="34" t="str">
        <f>IF(Skemaoplysninger!AC38&gt;0,Skemaoplysninger!AE38,"")</f>
        <v/>
      </c>
      <c r="C26" s="27" t="str">
        <f>IF(Skemaoplysninger!AC38&gt;0,Skemaoplysninger!AG38,"")</f>
        <v/>
      </c>
      <c r="D26" s="27" t="str">
        <f>IF(Skemaoplysninger!AC38&gt;0,Skemaoplysninger!AI38,"")</f>
        <v/>
      </c>
      <c r="E26" s="27" t="str">
        <f>IF(Skemaoplysninger!AC38&gt;0,Skemaoplysninger!AK38,"")</f>
        <v/>
      </c>
      <c r="F26" s="27" t="str">
        <f>IF(Skemaoplysninger!AC38&gt;0,Skemaoplysninger!AM38,"")</f>
        <v/>
      </c>
      <c r="G26" s="766" t="str">
        <f>IF(Skemaoplysninger!AC38&gt;0,Skemaoplysninger!AO38,"")</f>
        <v/>
      </c>
    </row>
    <row r="27" spans="1:7" ht="30" hidden="1" customHeight="1">
      <c r="A27" s="765" t="str">
        <f>IF(Skemaoplysninger!AC39&gt;0,Skemaoplysninger!AD39,"")</f>
        <v/>
      </c>
      <c r="B27" s="35" t="str">
        <f>IF(Skemaoplysninger!AC39&gt;0,Skemaoplysninger!AE39,"")</f>
        <v/>
      </c>
      <c r="C27" s="271" t="str">
        <f>IF(Skemaoplysninger!AC39&gt;0,Skemaoplysninger!AG39,"")</f>
        <v/>
      </c>
      <c r="D27" s="271" t="str">
        <f>IF(Skemaoplysninger!AC39&gt;0,Skemaoplysninger!AI39,"")</f>
        <v/>
      </c>
      <c r="E27" s="271" t="str">
        <f>IF(Skemaoplysninger!AC39&gt;0,Skemaoplysninger!AK39,"")</f>
        <v/>
      </c>
      <c r="F27" s="271" t="str">
        <f>IF(Skemaoplysninger!AC39&gt;0,Skemaoplysninger!AM39,"")</f>
        <v/>
      </c>
      <c r="G27" s="725" t="str">
        <f>IF(Skemaoplysninger!AC39&gt;0,Skemaoplysninger!AO39,"")</f>
        <v/>
      </c>
    </row>
    <row r="28" spans="1:7" ht="30" hidden="1" customHeight="1">
      <c r="A28" s="763" t="str">
        <f>IF(Skemaoplysninger!AC40&gt;0,Skemaoplysninger!AD40,"")</f>
        <v/>
      </c>
      <c r="B28" s="34" t="str">
        <f>IF(Skemaoplysninger!AC40&gt;0,Skemaoplysninger!AE40,"")</f>
        <v/>
      </c>
      <c r="C28" s="27" t="str">
        <f>IF(Skemaoplysninger!AC40&gt;0,Skemaoplysninger!AG40,"")</f>
        <v/>
      </c>
      <c r="D28" s="27" t="str">
        <f>IF(Skemaoplysninger!AC40&gt;0,Skemaoplysninger!AI40,"")</f>
        <v/>
      </c>
      <c r="E28" s="27" t="str">
        <f>IF(Skemaoplysninger!AC40&gt;0,Skemaoplysninger!AK40,"")</f>
        <v/>
      </c>
      <c r="F28" s="27" t="str">
        <f>IF(Skemaoplysninger!AC40&gt;0,Skemaoplysninger!AM40,"")</f>
        <v/>
      </c>
      <c r="G28" s="766" t="str">
        <f>IF(Skemaoplysninger!AC40&gt;0,Skemaoplysninger!AO40,"")</f>
        <v/>
      </c>
    </row>
    <row r="29" spans="1:7" ht="30" hidden="1" customHeight="1">
      <c r="A29" s="765" t="str">
        <f>IF(Skemaoplysninger!AC41&gt;0,Skemaoplysninger!AD41,"")</f>
        <v/>
      </c>
      <c r="B29" s="35" t="str">
        <f>IF(Skemaoplysninger!AC41&gt;0,Skemaoplysninger!AE41,"")</f>
        <v/>
      </c>
      <c r="C29" s="271" t="str">
        <f>IF(Skemaoplysninger!AC41&gt;0,Skemaoplysninger!AG41,"")</f>
        <v/>
      </c>
      <c r="D29" s="271" t="str">
        <f>IF(Skemaoplysninger!AC41&gt;0,Skemaoplysninger!AI41,"")</f>
        <v/>
      </c>
      <c r="E29" s="271" t="str">
        <f>IF(Skemaoplysninger!AC41&gt;0,Skemaoplysninger!AK41,"")</f>
        <v/>
      </c>
      <c r="F29" s="271" t="str">
        <f>IF(Skemaoplysninger!AC41&gt;0,Skemaoplysninger!AM41,"")</f>
        <v/>
      </c>
      <c r="G29" s="725" t="str">
        <f>IF(Skemaoplysninger!AC41&gt;0,Skemaoplysninger!AO41,"")</f>
        <v/>
      </c>
    </row>
    <row r="30" spans="1:7" ht="30" hidden="1" customHeight="1">
      <c r="A30" s="763" t="str">
        <f>IF(Skemaoplysninger!AC42&gt;0,Skemaoplysninger!AD42,"")</f>
        <v/>
      </c>
      <c r="B30" s="34" t="str">
        <f>IF(Skemaoplysninger!AC42&gt;0,Skemaoplysninger!AE42,"")</f>
        <v/>
      </c>
      <c r="C30" s="27" t="str">
        <f>IF(Skemaoplysninger!AC42&gt;0,Skemaoplysninger!AG42,"")</f>
        <v/>
      </c>
      <c r="D30" s="27" t="str">
        <f>IF(Skemaoplysninger!AC42&gt;0,Skemaoplysninger!AI42,"")</f>
        <v/>
      </c>
      <c r="E30" s="27" t="str">
        <f>IF(Skemaoplysninger!AC42&gt;0,Skemaoplysninger!AK42,"")</f>
        <v/>
      </c>
      <c r="F30" s="27" t="str">
        <f>IF(Skemaoplysninger!AC42&gt;0,Skemaoplysninger!AM42,"")</f>
        <v/>
      </c>
      <c r="G30" s="766" t="str">
        <f>IF(Skemaoplysninger!AC42&gt;0,Skemaoplysninger!AO42,"")</f>
        <v/>
      </c>
    </row>
    <row r="31" spans="1:7" ht="30" hidden="1" customHeight="1">
      <c r="A31" s="765" t="str">
        <f>IF(Skemaoplysninger!AC43&gt;0,Skemaoplysninger!AD43,"")</f>
        <v/>
      </c>
      <c r="B31" s="35" t="str">
        <f>IF(Skemaoplysninger!AC43&gt;0,Skemaoplysninger!AE43,"")</f>
        <v/>
      </c>
      <c r="C31" s="271" t="str">
        <f>IF(Skemaoplysninger!AC43&gt;0,Skemaoplysninger!AG43,"")</f>
        <v/>
      </c>
      <c r="D31" s="271" t="str">
        <f>IF(Skemaoplysninger!AC43&gt;0,Skemaoplysninger!AI43,"")</f>
        <v/>
      </c>
      <c r="E31" s="271" t="str">
        <f>IF(Skemaoplysninger!AC43&gt;0,Skemaoplysninger!AK43,"")</f>
        <v/>
      </c>
      <c r="F31" s="271" t="str">
        <f>IF(Skemaoplysninger!AC43&gt;0,Skemaoplysninger!AM43,"")</f>
        <v/>
      </c>
      <c r="G31" s="725" t="str">
        <f>IF(Skemaoplysninger!AC43&gt;0,Skemaoplysninger!AO43,"")</f>
        <v/>
      </c>
    </row>
    <row r="32" spans="1:7" ht="30" hidden="1" customHeight="1">
      <c r="A32" s="763" t="str">
        <f>IF(Skemaoplysninger!AC44&gt;0,Skemaoplysninger!AD44,"")</f>
        <v/>
      </c>
      <c r="B32" s="34" t="str">
        <f>IF(Skemaoplysninger!AC44&gt;0,Skemaoplysninger!AE44,"")</f>
        <v/>
      </c>
      <c r="C32" s="27" t="str">
        <f>IF(Skemaoplysninger!AC44&gt;0,Skemaoplysninger!AG44,"")</f>
        <v/>
      </c>
      <c r="D32" s="27" t="str">
        <f>IF(Skemaoplysninger!AC44&gt;0,Skemaoplysninger!AI44,"")</f>
        <v/>
      </c>
      <c r="E32" s="27" t="str">
        <f>IF(Skemaoplysninger!AC44&gt;0,Skemaoplysninger!AK44,"")</f>
        <v/>
      </c>
      <c r="F32" s="27" t="str">
        <f>IF(Skemaoplysninger!AC44&gt;0,Skemaoplysninger!AM44,"")</f>
        <v/>
      </c>
      <c r="G32" s="766" t="str">
        <f>IF(Skemaoplysninger!AC44&gt;0,Skemaoplysninger!AO44,"")</f>
        <v/>
      </c>
    </row>
    <row r="33" spans="1:7" ht="30" hidden="1" customHeight="1" thickBot="1">
      <c r="A33" s="786" t="str">
        <f>IF(Skemaoplysninger!AC45&gt;0,Skemaoplysninger!AD45,"")</f>
        <v/>
      </c>
      <c r="B33" s="781" t="str">
        <f>IF(Skemaoplysninger!AC45&gt;0,Skemaoplysninger!AE45,"")</f>
        <v/>
      </c>
      <c r="C33" s="787" t="str">
        <f>IF(Skemaoplysninger!AC45&gt;0,Skemaoplysninger!AG45,"")</f>
        <v/>
      </c>
      <c r="D33" s="787" t="str">
        <f>IF(Skemaoplysninger!AC45&gt;0,Skemaoplysninger!AI45,"")</f>
        <v/>
      </c>
      <c r="E33" s="787" t="str">
        <f>IF(Skemaoplysninger!AC45&gt;0,Skemaoplysninger!AK45,"")</f>
        <v/>
      </c>
      <c r="F33" s="787" t="str">
        <f>IF(Skemaoplysninger!AC45&gt;0,Skemaoplysninger!AM45,"")</f>
        <v/>
      </c>
      <c r="G33" s="788" t="str">
        <f>IF(Skemaoplysninger!AC45&gt;0,Skemaoplysninger!AO45,"")</f>
        <v/>
      </c>
    </row>
  </sheetData>
  <sheetProtection sheet="1" objects="1" scenarios="1"/>
  <mergeCells count="4">
    <mergeCell ref="A1:G1"/>
    <mergeCell ref="A2:C2"/>
    <mergeCell ref="D2:E2"/>
    <mergeCell ref="F2:G2"/>
  </mergeCells>
  <pageMargins left="0.7" right="0.7" top="0.75" bottom="0.75" header="0.3" footer="0.3"/>
  <pageSetup paperSize="9" scale="81" orientation="portrait" horizontalDpi="0" verticalDpi="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EE2CC-64D5-BA45-B2A5-7C301F6BD835}">
  <sheetPr>
    <tabColor theme="4" tint="0.59999389629810485"/>
    <pageSetUpPr fitToPage="1"/>
  </sheetPr>
  <dimension ref="A1:G33"/>
  <sheetViews>
    <sheetView showZeros="0" topLeftCell="A10" workbookViewId="0">
      <selection activeCell="A22" sqref="A22"/>
    </sheetView>
  </sheetViews>
  <sheetFormatPr baseColWidth="10" defaultRowHeight="16"/>
  <cols>
    <col min="3" max="7" width="15.83203125" customWidth="1"/>
  </cols>
  <sheetData>
    <row r="1" spans="1:7" ht="32" customHeight="1">
      <c r="A1" s="1629" t="str">
        <f>Skemaoplysninger!AQ10</f>
        <v>Skema 4 vedr. Beate Simonsen</v>
      </c>
      <c r="B1" s="1630"/>
      <c r="C1" s="1630"/>
      <c r="D1" s="1630"/>
      <c r="E1" s="1630"/>
      <c r="F1" s="1630"/>
      <c r="G1" s="1631"/>
    </row>
    <row r="2" spans="1:7" ht="32" customHeight="1">
      <c r="A2" s="1627" t="s">
        <v>216</v>
      </c>
      <c r="B2" s="1628"/>
      <c r="C2" s="1628"/>
      <c r="D2" s="1632">
        <f>Skemaoplysninger!AV12</f>
        <v>0</v>
      </c>
      <c r="E2" s="1632"/>
      <c r="F2" s="1632">
        <f>Skemaoplysninger!AZ12</f>
        <v>0</v>
      </c>
      <c r="G2" s="1633"/>
    </row>
    <row r="3" spans="1:7" ht="32" customHeight="1">
      <c r="A3" s="762" t="s">
        <v>64</v>
      </c>
      <c r="B3" s="268" t="s">
        <v>65</v>
      </c>
      <c r="C3" s="269" t="s">
        <v>34</v>
      </c>
      <c r="D3" s="269" t="s">
        <v>35</v>
      </c>
      <c r="E3" s="269" t="s">
        <v>36</v>
      </c>
      <c r="F3" s="269" t="s">
        <v>37</v>
      </c>
      <c r="G3" s="270" t="s">
        <v>38</v>
      </c>
    </row>
    <row r="4" spans="1:7" ht="30" customHeight="1">
      <c r="A4" s="763" t="str">
        <f>IF(Skemaoplysninger!AQ16&gt;0,Skemaoplysninger!AR16,"")</f>
        <v/>
      </c>
      <c r="B4" s="34" t="str">
        <f>IF(Skemaoplysninger!AQ16&gt;0,Skemaoplysninger!AS16,"")</f>
        <v/>
      </c>
      <c r="C4" s="27" t="str">
        <f>IF(Skemaoplysninger!AQ16&gt;0,Skemaoplysninger!AU16,"")</f>
        <v/>
      </c>
      <c r="D4" s="27" t="str">
        <f>IF(Skemaoplysninger!AQ16&gt;0,Skemaoplysninger!AW16,"")</f>
        <v/>
      </c>
      <c r="E4" s="27" t="str">
        <f>IF(Skemaoplysninger!AQ16&gt;0,Skemaoplysninger!AY16,"")</f>
        <v/>
      </c>
      <c r="F4" s="27" t="str">
        <f>IF(Skemaoplysninger!AQ16&gt;0,Skemaoplysninger!BA16,"")</f>
        <v/>
      </c>
      <c r="G4" s="766" t="str">
        <f>IF(Skemaoplysninger!AQ16&gt;0,Skemaoplysninger!BC16,"")</f>
        <v/>
      </c>
    </row>
    <row r="5" spans="1:7" ht="30" customHeight="1">
      <c r="A5" s="765" t="str">
        <f>IF(Skemaoplysninger!AQ17&gt;0,Skemaoplysninger!AR17,"")</f>
        <v/>
      </c>
      <c r="B5" s="35" t="str">
        <f>IF(Skemaoplysninger!AQ17&gt;0,Skemaoplysninger!AS17,"")</f>
        <v/>
      </c>
      <c r="C5" s="271" t="str">
        <f>IF(Skemaoplysninger!AQ17&gt;0,Skemaoplysninger!AU17,"")</f>
        <v/>
      </c>
      <c r="D5" s="271" t="str">
        <f>IF(Skemaoplysninger!AQ17&gt;0,Skemaoplysninger!AW17,"")</f>
        <v/>
      </c>
      <c r="E5" s="271" t="str">
        <f>IF(Skemaoplysninger!AQ17&gt;0,Skemaoplysninger!AY17,"")</f>
        <v/>
      </c>
      <c r="F5" s="271" t="str">
        <f>IF(Skemaoplysninger!AQ17&gt;0,Skemaoplysninger!BA17,"")</f>
        <v/>
      </c>
      <c r="G5" s="725" t="str">
        <f>IF(Skemaoplysninger!AQ17&gt;0,Skemaoplysninger!BC17,"")</f>
        <v/>
      </c>
    </row>
    <row r="6" spans="1:7" ht="30" customHeight="1">
      <c r="A6" s="763" t="str">
        <f>IF(Skemaoplysninger!AQ18&gt;0,Skemaoplysninger!AR18,"")</f>
        <v/>
      </c>
      <c r="B6" s="34" t="str">
        <f>IF(Skemaoplysninger!AQ18&gt;0,Skemaoplysninger!AS18,"")</f>
        <v/>
      </c>
      <c r="C6" s="27" t="str">
        <f>IF(Skemaoplysninger!AQ18&gt;0,Skemaoplysninger!AU18,"")</f>
        <v/>
      </c>
      <c r="D6" s="27" t="str">
        <f>IF(Skemaoplysninger!AQ18&gt;0,Skemaoplysninger!AW18,"")</f>
        <v/>
      </c>
      <c r="E6" s="27" t="str">
        <f>IF(Skemaoplysninger!AQ18&gt;0,Skemaoplysninger!AY18,"")</f>
        <v/>
      </c>
      <c r="F6" s="27" t="str">
        <f>IF(Skemaoplysninger!AQ18&gt;0,Skemaoplysninger!BA18,"")</f>
        <v/>
      </c>
      <c r="G6" s="766" t="str">
        <f>IF(Skemaoplysninger!AQ18&gt;0,Skemaoplysninger!BC18,"")</f>
        <v/>
      </c>
    </row>
    <row r="7" spans="1:7" ht="30" customHeight="1">
      <c r="A7" s="765" t="str">
        <f>IF(Skemaoplysninger!AQ19&gt;0,Skemaoplysninger!AR19,"")</f>
        <v/>
      </c>
      <c r="B7" s="35" t="str">
        <f>IF(Skemaoplysninger!AQ19&gt;0,Skemaoplysninger!AS19,"")</f>
        <v/>
      </c>
      <c r="C7" s="271" t="str">
        <f>IF(Skemaoplysninger!AQ19&gt;0,Skemaoplysninger!AU19,"")</f>
        <v/>
      </c>
      <c r="D7" s="271" t="str">
        <f>IF(Skemaoplysninger!AQ19&gt;0,Skemaoplysninger!AW19,"")</f>
        <v/>
      </c>
      <c r="E7" s="271" t="str">
        <f>IF(Skemaoplysninger!AQ19&gt;0,Skemaoplysninger!AY19,"")</f>
        <v/>
      </c>
      <c r="F7" s="271" t="str">
        <f>IF(Skemaoplysninger!AQ19&gt;0,Skemaoplysninger!BA19,"")</f>
        <v/>
      </c>
      <c r="G7" s="725" t="str">
        <f>IF(Skemaoplysninger!AQ19&gt;0,Skemaoplysninger!BC19,"")</f>
        <v/>
      </c>
    </row>
    <row r="8" spans="1:7" ht="30" customHeight="1">
      <c r="A8" s="763" t="str">
        <f>IF(Skemaoplysninger!AQ20&gt;0,Skemaoplysninger!AR20,"")</f>
        <v/>
      </c>
      <c r="B8" s="34" t="str">
        <f>IF(Skemaoplysninger!AQ20&gt;0,Skemaoplysninger!AS20,"")</f>
        <v/>
      </c>
      <c r="C8" s="27" t="str">
        <f>IF(Skemaoplysninger!AQ20&gt;0,Skemaoplysninger!AU20,"")</f>
        <v/>
      </c>
      <c r="D8" s="27" t="str">
        <f>IF(Skemaoplysninger!AQ20&gt;0,Skemaoplysninger!AW20,"")</f>
        <v/>
      </c>
      <c r="E8" s="27" t="str">
        <f>IF(Skemaoplysninger!AQ20&gt;0,Skemaoplysninger!AY20,"")</f>
        <v/>
      </c>
      <c r="F8" s="27" t="str">
        <f>IF(Skemaoplysninger!AQ20&gt;0,Skemaoplysninger!BA20,"")</f>
        <v/>
      </c>
      <c r="G8" s="766" t="str">
        <f>IF(Skemaoplysninger!AQ20&gt;0,Skemaoplysninger!BC20,"")</f>
        <v/>
      </c>
    </row>
    <row r="9" spans="1:7" ht="30" customHeight="1">
      <c r="A9" s="765" t="str">
        <f>IF(Skemaoplysninger!AQ21&gt;0,Skemaoplysninger!AR21,"")</f>
        <v/>
      </c>
      <c r="B9" s="35" t="str">
        <f>IF(Skemaoplysninger!AQ21&gt;0,Skemaoplysninger!AS21,"")</f>
        <v/>
      </c>
      <c r="C9" s="271" t="str">
        <f>IF(Skemaoplysninger!AQ21&gt;0,Skemaoplysninger!AU21,"")</f>
        <v/>
      </c>
      <c r="D9" s="271" t="str">
        <f>IF(Skemaoplysninger!AQ21&gt;0,Skemaoplysninger!AW21,"")</f>
        <v/>
      </c>
      <c r="E9" s="271" t="str">
        <f>IF(Skemaoplysninger!AQ21&gt;0,Skemaoplysninger!AY21,"")</f>
        <v/>
      </c>
      <c r="F9" s="271" t="str">
        <f>IF(Skemaoplysninger!AQ21&gt;0,Skemaoplysninger!BA21,"")</f>
        <v/>
      </c>
      <c r="G9" s="725" t="str">
        <f>IF(Skemaoplysninger!AQ21&gt;0,Skemaoplysninger!BC21,"")</f>
        <v/>
      </c>
    </row>
    <row r="10" spans="1:7" ht="30" customHeight="1">
      <c r="A10" s="763" t="str">
        <f>IF(Skemaoplysninger!AQ22&gt;0,Skemaoplysninger!AR22,"")</f>
        <v/>
      </c>
      <c r="B10" s="34" t="str">
        <f>IF(Skemaoplysninger!AQ22&gt;0,Skemaoplysninger!AS22,"")</f>
        <v/>
      </c>
      <c r="C10" s="27" t="str">
        <f>IF(Skemaoplysninger!AQ22&gt;0,Skemaoplysninger!AU22,"")</f>
        <v/>
      </c>
      <c r="D10" s="27" t="str">
        <f>IF(Skemaoplysninger!AQ22&gt;0,Skemaoplysninger!AW22,"")</f>
        <v/>
      </c>
      <c r="E10" s="27" t="str">
        <f>IF(Skemaoplysninger!AQ22&gt;0,Skemaoplysninger!AY22,"")</f>
        <v/>
      </c>
      <c r="F10" s="27" t="str">
        <f>IF(Skemaoplysninger!AQ22&gt;0,Skemaoplysninger!BA22,"")</f>
        <v/>
      </c>
      <c r="G10" s="766" t="str">
        <f>IF(Skemaoplysninger!AQ22&gt;0,Skemaoplysninger!BC22,"")</f>
        <v/>
      </c>
    </row>
    <row r="11" spans="1:7" ht="30" customHeight="1">
      <c r="A11" s="765" t="str">
        <f>IF(Skemaoplysninger!AQ23&gt;0,Skemaoplysninger!AR23,"")</f>
        <v/>
      </c>
      <c r="B11" s="35" t="str">
        <f>IF(Skemaoplysninger!AQ23&gt;0,Skemaoplysninger!AS23,"")</f>
        <v/>
      </c>
      <c r="C11" s="271" t="str">
        <f>IF(Skemaoplysninger!AQ23&gt;0,Skemaoplysninger!AU23,"")</f>
        <v/>
      </c>
      <c r="D11" s="271" t="str">
        <f>IF(Skemaoplysninger!AQ23&gt;0,Skemaoplysninger!AW23,"")</f>
        <v/>
      </c>
      <c r="E11" s="271" t="str">
        <f>IF(Skemaoplysninger!AQ23&gt;0,Skemaoplysninger!AY23,"")</f>
        <v/>
      </c>
      <c r="F11" s="271" t="str">
        <f>IF(Skemaoplysninger!AQ23&gt;0,Skemaoplysninger!BA23,"")</f>
        <v/>
      </c>
      <c r="G11" s="725" t="str">
        <f>IF(Skemaoplysninger!AQ23&gt;0,Skemaoplysninger!BC23,"")</f>
        <v/>
      </c>
    </row>
    <row r="12" spans="1:7" ht="30" customHeight="1">
      <c r="A12" s="763" t="str">
        <f>IF(Skemaoplysninger!AQ24&gt;0,Skemaoplysninger!AR24,"")</f>
        <v/>
      </c>
      <c r="B12" s="34" t="str">
        <f>IF(Skemaoplysninger!AQ24&gt;0,Skemaoplysninger!AS24,"")</f>
        <v/>
      </c>
      <c r="C12" s="27" t="str">
        <f>IF(Skemaoplysninger!AQ24&gt;0,Skemaoplysninger!AU24,"")</f>
        <v/>
      </c>
      <c r="D12" s="27" t="str">
        <f>IF(Skemaoplysninger!AQ24&gt;0,Skemaoplysninger!AW24,"")</f>
        <v/>
      </c>
      <c r="E12" s="27" t="str">
        <f>IF(Skemaoplysninger!AQ24&gt;0,Skemaoplysninger!AY24,"")</f>
        <v/>
      </c>
      <c r="F12" s="27" t="str">
        <f>IF(Skemaoplysninger!AQ24&gt;0,Skemaoplysninger!BA24,"")</f>
        <v/>
      </c>
      <c r="G12" s="766" t="str">
        <f>IF(Skemaoplysninger!AQ24&gt;0,Skemaoplysninger!BC24,"")</f>
        <v/>
      </c>
    </row>
    <row r="13" spans="1:7" ht="30" customHeight="1">
      <c r="A13" s="765" t="str">
        <f>IF(Skemaoplysninger!AQ25&gt;0,Skemaoplysninger!AR25,"")</f>
        <v/>
      </c>
      <c r="B13" s="35" t="str">
        <f>IF(Skemaoplysninger!AQ25&gt;0,Skemaoplysninger!AS25,"")</f>
        <v/>
      </c>
      <c r="C13" s="271" t="str">
        <f>IF(Skemaoplysninger!AQ25&gt;0,Skemaoplysninger!AU25,"")</f>
        <v/>
      </c>
      <c r="D13" s="271" t="str">
        <f>IF(Skemaoplysninger!AQ25&gt;0,Skemaoplysninger!AW25,"")</f>
        <v/>
      </c>
      <c r="E13" s="271" t="str">
        <f>IF(Skemaoplysninger!AQ25&gt;0,Skemaoplysninger!AY25,"")</f>
        <v/>
      </c>
      <c r="F13" s="271" t="str">
        <f>IF(Skemaoplysninger!AQ25&gt;0,Skemaoplysninger!BA25,"")</f>
        <v/>
      </c>
      <c r="G13" s="725" t="str">
        <f>IF(Skemaoplysninger!AQ25&gt;0,Skemaoplysninger!BC25,"")</f>
        <v/>
      </c>
    </row>
    <row r="14" spans="1:7" ht="30" customHeight="1">
      <c r="A14" s="763" t="str">
        <f>IF(Skemaoplysninger!AQ26&gt;0,Skemaoplysninger!AR26,"")</f>
        <v/>
      </c>
      <c r="B14" s="34" t="str">
        <f>IF(Skemaoplysninger!AQ26&gt;0,Skemaoplysninger!AS26,"")</f>
        <v/>
      </c>
      <c r="C14" s="27" t="str">
        <f>IF(Skemaoplysninger!AQ26&gt;0,Skemaoplysninger!AU26,"")</f>
        <v/>
      </c>
      <c r="D14" s="27" t="str">
        <f>IF(Skemaoplysninger!AQ26&gt;0,Skemaoplysninger!AW26,"")</f>
        <v/>
      </c>
      <c r="E14" s="27" t="str">
        <f>IF(Skemaoplysninger!AQ26&gt;0,Skemaoplysninger!AY26,"")</f>
        <v/>
      </c>
      <c r="F14" s="27" t="str">
        <f>IF(Skemaoplysninger!AQ26&gt;0,Skemaoplysninger!BA26,"")</f>
        <v/>
      </c>
      <c r="G14" s="766" t="str">
        <f>IF(Skemaoplysninger!AQ26&gt;0,Skemaoplysninger!BC26,"")</f>
        <v/>
      </c>
    </row>
    <row r="15" spans="1:7" ht="30" customHeight="1">
      <c r="A15" s="765" t="str">
        <f>IF(Skemaoplysninger!AQ27&gt;0,Skemaoplysninger!AR27,"")</f>
        <v/>
      </c>
      <c r="B15" s="35" t="str">
        <f>IF(Skemaoplysninger!AQ27&gt;0,Skemaoplysninger!AS27,"")</f>
        <v/>
      </c>
      <c r="C15" s="271" t="str">
        <f>IF(Skemaoplysninger!AQ27&gt;0,Skemaoplysninger!AU27,"")</f>
        <v/>
      </c>
      <c r="D15" s="271" t="str">
        <f>IF(Skemaoplysninger!AQ27&gt;0,Skemaoplysninger!AW27,"")</f>
        <v/>
      </c>
      <c r="E15" s="271" t="str">
        <f>IF(Skemaoplysninger!AQ27&gt;0,Skemaoplysninger!AY27,"")</f>
        <v/>
      </c>
      <c r="F15" s="271" t="str">
        <f>IF(Skemaoplysninger!AQ27&gt;0,Skemaoplysninger!BA27,"")</f>
        <v/>
      </c>
      <c r="G15" s="725" t="str">
        <f>IF(Skemaoplysninger!AQ27&gt;0,Skemaoplysninger!BC27,"")</f>
        <v/>
      </c>
    </row>
    <row r="16" spans="1:7" ht="30" customHeight="1">
      <c r="A16" s="763" t="str">
        <f>IF(Skemaoplysninger!AQ28&gt;0,Skemaoplysninger!AR28,"")</f>
        <v/>
      </c>
      <c r="B16" s="34" t="str">
        <f>IF(Skemaoplysninger!AQ28&gt;0,Skemaoplysninger!AS28,"")</f>
        <v/>
      </c>
      <c r="C16" s="27" t="str">
        <f>IF(Skemaoplysninger!AQ28&gt;0,Skemaoplysninger!AU28,"")</f>
        <v/>
      </c>
      <c r="D16" s="27" t="str">
        <f>IF(Skemaoplysninger!AQ28&gt;0,Skemaoplysninger!AW28,"")</f>
        <v/>
      </c>
      <c r="E16" s="27" t="str">
        <f>IF(Skemaoplysninger!AQ28&gt;0,Skemaoplysninger!AY28,"")</f>
        <v/>
      </c>
      <c r="F16" s="27" t="str">
        <f>IF(Skemaoplysninger!AQ28&gt;0,Skemaoplysninger!BA28,"")</f>
        <v/>
      </c>
      <c r="G16" s="766" t="str">
        <f>IF(Skemaoplysninger!AQ28&gt;0,Skemaoplysninger!BC28,"")</f>
        <v/>
      </c>
    </row>
    <row r="17" spans="1:7" ht="30" customHeight="1">
      <c r="A17" s="765" t="str">
        <f>IF(Skemaoplysninger!AQ29&gt;0,Skemaoplysninger!AR29,"")</f>
        <v/>
      </c>
      <c r="B17" s="35" t="str">
        <f>IF(Skemaoplysninger!AQ29&gt;0,Skemaoplysninger!AS29,"")</f>
        <v/>
      </c>
      <c r="C17" s="271" t="str">
        <f>IF(Skemaoplysninger!AQ29&gt;0,Skemaoplysninger!AU29,"")</f>
        <v/>
      </c>
      <c r="D17" s="271" t="str">
        <f>IF(Skemaoplysninger!AQ29&gt;0,Skemaoplysninger!AW29,"")</f>
        <v/>
      </c>
      <c r="E17" s="271" t="str">
        <f>IF(Skemaoplysninger!AQ29&gt;0,Skemaoplysninger!AY29,"")</f>
        <v/>
      </c>
      <c r="F17" s="271" t="str">
        <f>IF(Skemaoplysninger!AQ29&gt;0,Skemaoplysninger!BA29,"")</f>
        <v/>
      </c>
      <c r="G17" s="725" t="str">
        <f>IF(Skemaoplysninger!AQ29&gt;0,Skemaoplysninger!BC29,"")</f>
        <v/>
      </c>
    </row>
    <row r="18" spans="1:7" ht="30" customHeight="1">
      <c r="A18" s="763" t="str">
        <f>IF(Skemaoplysninger!AQ30&gt;0,Skemaoplysninger!AR30,"")</f>
        <v/>
      </c>
      <c r="B18" s="34" t="str">
        <f>IF(Skemaoplysninger!AQ30&gt;0,Skemaoplysninger!AS30,"")</f>
        <v/>
      </c>
      <c r="C18" s="27" t="str">
        <f>IF(Skemaoplysninger!AQ30&gt;0,Skemaoplysninger!AU30,"")</f>
        <v/>
      </c>
      <c r="D18" s="27" t="str">
        <f>IF(Skemaoplysninger!AQ30&gt;0,Skemaoplysninger!AW30,"")</f>
        <v/>
      </c>
      <c r="E18" s="27" t="str">
        <f>IF(Skemaoplysninger!AQ30&gt;0,Skemaoplysninger!AY30,"")</f>
        <v/>
      </c>
      <c r="F18" s="27" t="str">
        <f>IF(Skemaoplysninger!AQ30&gt;0,Skemaoplysninger!BA30,"")</f>
        <v/>
      </c>
      <c r="G18" s="766" t="str">
        <f>IF(Skemaoplysninger!AQ30&gt;0,Skemaoplysninger!BC30,"")</f>
        <v/>
      </c>
    </row>
    <row r="19" spans="1:7" ht="30" customHeight="1">
      <c r="A19" s="765" t="str">
        <f>IF(Skemaoplysninger!AQ31&gt;0,Skemaoplysninger!AR31,"")</f>
        <v/>
      </c>
      <c r="B19" s="35" t="str">
        <f>IF(Skemaoplysninger!AQ31&gt;0,Skemaoplysninger!AS31,"")</f>
        <v/>
      </c>
      <c r="C19" s="271" t="str">
        <f>IF(Skemaoplysninger!AQ31&gt;0,Skemaoplysninger!AU31,"")</f>
        <v/>
      </c>
      <c r="D19" s="271" t="str">
        <f>IF(Skemaoplysninger!AQ31&gt;0,Skemaoplysninger!AW31,"")</f>
        <v/>
      </c>
      <c r="E19" s="271" t="str">
        <f>IF(Skemaoplysninger!AQ31&gt;0,Skemaoplysninger!AY31,"")</f>
        <v/>
      </c>
      <c r="F19" s="271" t="str">
        <f>IF(Skemaoplysninger!AQ31&gt;0,Skemaoplysninger!BA31,"")</f>
        <v/>
      </c>
      <c r="G19" s="725" t="str">
        <f>IF(Skemaoplysninger!AQ31&gt;0,Skemaoplysninger!BC31,"")</f>
        <v/>
      </c>
    </row>
    <row r="20" spans="1:7" ht="30" customHeight="1">
      <c r="A20" s="763" t="str">
        <f>IF(Skemaoplysninger!AQ32&gt;0,Skemaoplysninger!AR32,"")</f>
        <v/>
      </c>
      <c r="B20" s="34" t="str">
        <f>IF(Skemaoplysninger!AQ32&gt;0,Skemaoplysninger!AS32,"")</f>
        <v/>
      </c>
      <c r="C20" s="27" t="str">
        <f>IF(Skemaoplysninger!AQ32&gt;0,Skemaoplysninger!AU32,"")</f>
        <v/>
      </c>
      <c r="D20" s="27" t="str">
        <f>IF(Skemaoplysninger!AQ32&gt;0,Skemaoplysninger!AW32,"")</f>
        <v/>
      </c>
      <c r="E20" s="27" t="str">
        <f>IF(Skemaoplysninger!AQ32&gt;0,Skemaoplysninger!AY32,"")</f>
        <v/>
      </c>
      <c r="F20" s="27" t="str">
        <f>IF(Skemaoplysninger!AQ32&gt;0,Skemaoplysninger!BA32,"")</f>
        <v/>
      </c>
      <c r="G20" s="766" t="str">
        <f>IF(Skemaoplysninger!AQ32&gt;0,Skemaoplysninger!BC32,"")</f>
        <v/>
      </c>
    </row>
    <row r="21" spans="1:7" ht="30" customHeight="1">
      <c r="A21" s="765" t="str">
        <f>IF(Skemaoplysninger!AQ33&gt;0,Skemaoplysninger!AR33,"")</f>
        <v/>
      </c>
      <c r="B21" s="35" t="str">
        <f>IF(Skemaoplysninger!AQ33&gt;0,Skemaoplysninger!AS33,"")</f>
        <v/>
      </c>
      <c r="C21" s="271" t="str">
        <f>IF(Skemaoplysninger!AQ33&gt;0,Skemaoplysninger!AU33,"")</f>
        <v/>
      </c>
      <c r="D21" s="271" t="str">
        <f>IF(Skemaoplysninger!AQ33&gt;0,Skemaoplysninger!AW33,"")</f>
        <v/>
      </c>
      <c r="E21" s="271" t="str">
        <f>IF(Skemaoplysninger!AQ33&gt;0,Skemaoplysninger!AY33,"")</f>
        <v/>
      </c>
      <c r="F21" s="271" t="str">
        <f>IF(Skemaoplysninger!AQ33&gt;0,Skemaoplysninger!BA33,"")</f>
        <v/>
      </c>
      <c r="G21" s="725" t="str">
        <f>IF(Skemaoplysninger!AQ33&gt;0,Skemaoplysninger!BC33,"")</f>
        <v/>
      </c>
    </row>
    <row r="22" spans="1:7" ht="30" customHeight="1" thickBot="1">
      <c r="A22" s="767" t="str">
        <f>IF(Skemaoplysninger!AQ34&gt;0,Skemaoplysninger!AR34,"")</f>
        <v/>
      </c>
      <c r="B22" s="768" t="str">
        <f>IF(Skemaoplysninger!AQ34&gt;0,Skemaoplysninger!AS34,"")</f>
        <v/>
      </c>
      <c r="C22" s="769" t="str">
        <f>IF(Skemaoplysninger!AQ34&gt;0,Skemaoplysninger!AU34,"")</f>
        <v/>
      </c>
      <c r="D22" s="769" t="str">
        <f>IF(Skemaoplysninger!AQ34&gt;0,Skemaoplysninger!AW34,"")</f>
        <v/>
      </c>
      <c r="E22" s="769" t="str">
        <f>IF(Skemaoplysninger!AQ34&gt;0,Skemaoplysninger!AY34,"")</f>
        <v/>
      </c>
      <c r="F22" s="769" t="str">
        <f>IF(Skemaoplysninger!AQ34&gt;0,Skemaoplysninger!BA34,"")</f>
        <v/>
      </c>
      <c r="G22" s="770" t="str">
        <f>IF(Skemaoplysninger!AQ34&gt;0,Skemaoplysninger!BC34,"")</f>
        <v/>
      </c>
    </row>
    <row r="23" spans="1:7" ht="30" hidden="1" customHeight="1">
      <c r="A23" s="789" t="str">
        <f>IF(Skemaoplysninger!AQ35&gt;0,Skemaoplysninger!AR35,"")</f>
        <v/>
      </c>
      <c r="B23" s="790" t="str">
        <f>IF(Skemaoplysninger!AQ35&gt;0,Skemaoplysninger!AS35,"")</f>
        <v/>
      </c>
      <c r="C23" s="791" t="str">
        <f>IF(Skemaoplysninger!AQ35&gt;0,Skemaoplysninger!AU35,"")</f>
        <v/>
      </c>
      <c r="D23" s="791" t="str">
        <f>IF(Skemaoplysninger!AQ35&gt;0,Skemaoplysninger!AW35,"")</f>
        <v/>
      </c>
      <c r="E23" s="791" t="str">
        <f>IF(Skemaoplysninger!AQ35&gt;0,Skemaoplysninger!AY35,"")</f>
        <v/>
      </c>
      <c r="F23" s="791" t="str">
        <f>IF(Skemaoplysninger!AQ35&gt;0,Skemaoplysninger!BA35,"")</f>
        <v/>
      </c>
      <c r="G23" s="792" t="str">
        <f>IF(Skemaoplysninger!AQ35&gt;0,Skemaoplysninger!BC35,"")</f>
        <v/>
      </c>
    </row>
    <row r="24" spans="1:7" ht="30" hidden="1" customHeight="1">
      <c r="A24" s="763" t="str">
        <f>IF(Skemaoplysninger!AQ36&gt;0,Skemaoplysninger!AR36,"")</f>
        <v/>
      </c>
      <c r="B24" s="34" t="str">
        <f>IF(Skemaoplysninger!AQ36&gt;0,Skemaoplysninger!AS36,"")</f>
        <v/>
      </c>
      <c r="C24" s="27" t="str">
        <f>IF(Skemaoplysninger!AQ36&gt;0,Skemaoplysninger!AU36,"")</f>
        <v/>
      </c>
      <c r="D24" s="27" t="str">
        <f>IF(Skemaoplysninger!AQ36&gt;0,Skemaoplysninger!AW36,"")</f>
        <v/>
      </c>
      <c r="E24" s="27" t="str">
        <f>IF(Skemaoplysninger!AQ36&gt;0,Skemaoplysninger!AY36,"")</f>
        <v/>
      </c>
      <c r="F24" s="27" t="str">
        <f>IF(Skemaoplysninger!AQ36&gt;0,Skemaoplysninger!BA36,"")</f>
        <v/>
      </c>
      <c r="G24" s="766" t="str">
        <f>IF(Skemaoplysninger!AQ36&gt;0,Skemaoplysninger!BC36,"")</f>
        <v/>
      </c>
    </row>
    <row r="25" spans="1:7" ht="30" hidden="1" customHeight="1">
      <c r="A25" s="765" t="str">
        <f>IF(Skemaoplysninger!AQ37&gt;0,Skemaoplysninger!AR37,"")</f>
        <v/>
      </c>
      <c r="B25" s="35" t="str">
        <f>IF(Skemaoplysninger!AQ37&gt;0,Skemaoplysninger!AS37,"")</f>
        <v/>
      </c>
      <c r="C25" s="271" t="str">
        <f>IF(Skemaoplysninger!AQ37&gt;0,Skemaoplysninger!AU37,"")</f>
        <v/>
      </c>
      <c r="D25" s="271" t="str">
        <f>IF(Skemaoplysninger!AQ37&gt;0,Skemaoplysninger!AW37,"")</f>
        <v/>
      </c>
      <c r="E25" s="271" t="str">
        <f>IF(Skemaoplysninger!AQ37&gt;0,Skemaoplysninger!AY37,"")</f>
        <v/>
      </c>
      <c r="F25" s="271" t="str">
        <f>IF(Skemaoplysninger!AQ37&gt;0,Skemaoplysninger!BA37,"")</f>
        <v/>
      </c>
      <c r="G25" s="725" t="str">
        <f>IF(Skemaoplysninger!AQ37&gt;0,Skemaoplysninger!BC37,"")</f>
        <v/>
      </c>
    </row>
    <row r="26" spans="1:7" ht="30" hidden="1" customHeight="1">
      <c r="A26" s="763" t="str">
        <f>IF(Skemaoplysninger!AQ38&gt;0,Skemaoplysninger!AR38,"")</f>
        <v/>
      </c>
      <c r="B26" s="34" t="str">
        <f>IF(Skemaoplysninger!AQ38&gt;0,Skemaoplysninger!AS38,"")</f>
        <v/>
      </c>
      <c r="C26" s="27" t="str">
        <f>IF(Skemaoplysninger!AQ38&gt;0,Skemaoplysninger!AU38,"")</f>
        <v/>
      </c>
      <c r="D26" s="27" t="str">
        <f>IF(Skemaoplysninger!AQ38&gt;0,Skemaoplysninger!AW38,"")</f>
        <v/>
      </c>
      <c r="E26" s="27" t="str">
        <f>IF(Skemaoplysninger!AQ38&gt;0,Skemaoplysninger!AY38,"")</f>
        <v/>
      </c>
      <c r="F26" s="27" t="str">
        <f>IF(Skemaoplysninger!AQ38&gt;0,Skemaoplysninger!BA38,"")</f>
        <v/>
      </c>
      <c r="G26" s="766" t="str">
        <f>IF(Skemaoplysninger!AQ38&gt;0,Skemaoplysninger!BC38,"")</f>
        <v/>
      </c>
    </row>
    <row r="27" spans="1:7" ht="30" hidden="1" customHeight="1">
      <c r="A27" s="765" t="str">
        <f>IF(Skemaoplysninger!AQ39&gt;0,Skemaoplysninger!AR39,"")</f>
        <v/>
      </c>
      <c r="B27" s="35" t="str">
        <f>IF(Skemaoplysninger!AQ39&gt;0,Skemaoplysninger!AS39,"")</f>
        <v/>
      </c>
      <c r="C27" s="271" t="str">
        <f>IF(Skemaoplysninger!AQ39&gt;0,Skemaoplysninger!AU39,"")</f>
        <v/>
      </c>
      <c r="D27" s="271" t="str">
        <f>IF(Skemaoplysninger!AQ39&gt;0,Skemaoplysninger!AW39,"")</f>
        <v/>
      </c>
      <c r="E27" s="271" t="str">
        <f>IF(Skemaoplysninger!AQ39&gt;0,Skemaoplysninger!AY39,"")</f>
        <v/>
      </c>
      <c r="F27" s="271" t="str">
        <f>IF(Skemaoplysninger!AQ39&gt;0,Skemaoplysninger!BA39,"")</f>
        <v/>
      </c>
      <c r="G27" s="725" t="str">
        <f>IF(Skemaoplysninger!AQ39&gt;0,Skemaoplysninger!BC39,"")</f>
        <v/>
      </c>
    </row>
    <row r="28" spans="1:7" ht="30" hidden="1" customHeight="1">
      <c r="A28" s="763" t="str">
        <f>IF(Skemaoplysninger!AQ40&gt;0,Skemaoplysninger!AR40,"")</f>
        <v/>
      </c>
      <c r="B28" s="34" t="str">
        <f>IF(Skemaoplysninger!AQ40&gt;0,Skemaoplysninger!AS40,"")</f>
        <v/>
      </c>
      <c r="C28" s="27" t="str">
        <f>IF(Skemaoplysninger!AQ40&gt;0,Skemaoplysninger!AU40,"")</f>
        <v/>
      </c>
      <c r="D28" s="27" t="str">
        <f>IF(Skemaoplysninger!AQ40&gt;0,Skemaoplysninger!AW40,"")</f>
        <v/>
      </c>
      <c r="E28" s="27" t="str">
        <f>IF(Skemaoplysninger!AQ40&gt;0,Skemaoplysninger!AY40,"")</f>
        <v/>
      </c>
      <c r="F28" s="27" t="str">
        <f>IF(Skemaoplysninger!AQ40&gt;0,Skemaoplysninger!BA40,"")</f>
        <v/>
      </c>
      <c r="G28" s="766" t="str">
        <f>IF(Skemaoplysninger!AQ40&gt;0,Skemaoplysninger!BC40,"")</f>
        <v/>
      </c>
    </row>
    <row r="29" spans="1:7" ht="30" hidden="1" customHeight="1">
      <c r="A29" s="765" t="str">
        <f>IF(Skemaoplysninger!AQ41&gt;0,Skemaoplysninger!AR41,"")</f>
        <v/>
      </c>
      <c r="B29" s="35" t="str">
        <f>IF(Skemaoplysninger!AQ41&gt;0,Skemaoplysninger!AS41,"")</f>
        <v/>
      </c>
      <c r="C29" s="271" t="str">
        <f>IF(Skemaoplysninger!AQ41&gt;0,Skemaoplysninger!AU41,"")</f>
        <v/>
      </c>
      <c r="D29" s="271" t="str">
        <f>IF(Skemaoplysninger!AQ41&gt;0,Skemaoplysninger!AW41,"")</f>
        <v/>
      </c>
      <c r="E29" s="271" t="str">
        <f>IF(Skemaoplysninger!AQ41&gt;0,Skemaoplysninger!AY41,"")</f>
        <v/>
      </c>
      <c r="F29" s="271" t="str">
        <f>IF(Skemaoplysninger!AQ41&gt;0,Skemaoplysninger!BA41,"")</f>
        <v/>
      </c>
      <c r="G29" s="725" t="str">
        <f>IF(Skemaoplysninger!AQ41&gt;0,Skemaoplysninger!BC41,"")</f>
        <v/>
      </c>
    </row>
    <row r="30" spans="1:7" ht="30" hidden="1" customHeight="1">
      <c r="A30" s="763" t="str">
        <f>IF(Skemaoplysninger!AQ42&gt;0,Skemaoplysninger!AR42,"")</f>
        <v/>
      </c>
      <c r="B30" s="34" t="str">
        <f>IF(Skemaoplysninger!AQ42&gt;0,Skemaoplysninger!AS42,"")</f>
        <v/>
      </c>
      <c r="C30" s="27" t="str">
        <f>IF(Skemaoplysninger!AQ42&gt;0,Skemaoplysninger!AU42,"")</f>
        <v/>
      </c>
      <c r="D30" s="27" t="str">
        <f>IF(Skemaoplysninger!AQ42&gt;0,Skemaoplysninger!AW42,"")</f>
        <v/>
      </c>
      <c r="E30" s="27" t="str">
        <f>IF(Skemaoplysninger!AQ42&gt;0,Skemaoplysninger!AY42,"")</f>
        <v/>
      </c>
      <c r="F30" s="27" t="str">
        <f>IF(Skemaoplysninger!AQ42&gt;0,Skemaoplysninger!BA42,"")</f>
        <v/>
      </c>
      <c r="G30" s="766" t="str">
        <f>IF(Skemaoplysninger!AQ42&gt;0,Skemaoplysninger!BC42,"")</f>
        <v/>
      </c>
    </row>
    <row r="31" spans="1:7" ht="30" hidden="1" customHeight="1">
      <c r="A31" s="765" t="str">
        <f>IF(Skemaoplysninger!AQ43&gt;0,Skemaoplysninger!AR43,"")</f>
        <v/>
      </c>
      <c r="B31" s="35" t="str">
        <f>IF(Skemaoplysninger!AQ43&gt;0,Skemaoplysninger!AS43,"")</f>
        <v/>
      </c>
      <c r="C31" s="271" t="str">
        <f>IF(Skemaoplysninger!AQ43&gt;0,Skemaoplysninger!AU43,"")</f>
        <v/>
      </c>
      <c r="D31" s="271" t="str">
        <f>IF(Skemaoplysninger!AQ43&gt;0,Skemaoplysninger!AW43,"")</f>
        <v/>
      </c>
      <c r="E31" s="271" t="str">
        <f>IF(Skemaoplysninger!AQ43&gt;0,Skemaoplysninger!AY43,"")</f>
        <v/>
      </c>
      <c r="F31" s="271" t="str">
        <f>IF(Skemaoplysninger!AQ43&gt;0,Skemaoplysninger!BA43,"")</f>
        <v/>
      </c>
      <c r="G31" s="725" t="str">
        <f>IF(Skemaoplysninger!AQ43&gt;0,Skemaoplysninger!BC43,"")</f>
        <v/>
      </c>
    </row>
    <row r="32" spans="1:7" ht="30" hidden="1" customHeight="1">
      <c r="A32" s="763" t="str">
        <f>IF(Skemaoplysninger!AQ44&gt;0,Skemaoplysninger!AR44,"")</f>
        <v/>
      </c>
      <c r="B32" s="34" t="str">
        <f>IF(Skemaoplysninger!AQ44&gt;0,Skemaoplysninger!AS44,"")</f>
        <v/>
      </c>
      <c r="C32" s="27" t="str">
        <f>IF(Skemaoplysninger!AQ44&gt;0,Skemaoplysninger!AU44,"")</f>
        <v/>
      </c>
      <c r="D32" s="27" t="str">
        <f>IF(Skemaoplysninger!AQ44&gt;0,Skemaoplysninger!AW44,"")</f>
        <v/>
      </c>
      <c r="E32" s="27" t="str">
        <f>IF(Skemaoplysninger!AQ44&gt;0,Skemaoplysninger!AY44,"")</f>
        <v/>
      </c>
      <c r="F32" s="27" t="str">
        <f>IF(Skemaoplysninger!AQ44&gt;0,Skemaoplysninger!BA44,"")</f>
        <v/>
      </c>
      <c r="G32" s="766" t="str">
        <f>IF(Skemaoplysninger!AQ44&gt;0,Skemaoplysninger!BC44,"")</f>
        <v/>
      </c>
    </row>
    <row r="33" spans="1:7" ht="30" hidden="1" customHeight="1" thickBot="1">
      <c r="A33" s="786" t="str">
        <f>IF(Skemaoplysninger!AQ45&gt;0,Skemaoplysninger!AR45,"")</f>
        <v/>
      </c>
      <c r="B33" s="781" t="str">
        <f>IF(Skemaoplysninger!AQ45&gt;0,Skemaoplysninger!AS45,"")</f>
        <v/>
      </c>
      <c r="C33" s="787" t="str">
        <f>IF(Skemaoplysninger!AQ45&gt;0,Skemaoplysninger!AU45,"")</f>
        <v/>
      </c>
      <c r="D33" s="787" t="str">
        <f>IF(Skemaoplysninger!AQ45&gt;0,Skemaoplysninger!AW45,"")</f>
        <v/>
      </c>
      <c r="E33" s="787" t="str">
        <f>IF(Skemaoplysninger!AQ45&gt;0,Skemaoplysninger!AY45,"")</f>
        <v/>
      </c>
      <c r="F33" s="787" t="str">
        <f>IF(Skemaoplysninger!AQ45&gt;0,Skemaoplysninger!BA45,"")</f>
        <v/>
      </c>
      <c r="G33" s="788" t="str">
        <f>IF(Skemaoplysninger!AQ45&gt;0,Skemaoplysninger!BC45,"")</f>
        <v/>
      </c>
    </row>
  </sheetData>
  <sheetProtection sheet="1" objects="1" scenarios="1"/>
  <mergeCells count="4">
    <mergeCell ref="A1:G1"/>
    <mergeCell ref="A2:C2"/>
    <mergeCell ref="D2:E2"/>
    <mergeCell ref="F2:G2"/>
  </mergeCells>
  <pageMargins left="0.7" right="0.7" top="0.75" bottom="0.75" header="0.3" footer="0.3"/>
  <pageSetup paperSize="9" scale="81" orientation="portrait" horizontalDpi="0" verticalDpi="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F1494-C8D9-7540-92CE-93A9557FE761}">
  <sheetPr>
    <pageSetUpPr fitToPage="1"/>
  </sheetPr>
  <dimension ref="A1:AW34"/>
  <sheetViews>
    <sheetView workbookViewId="0">
      <selection activeCell="T32" sqref="T32"/>
    </sheetView>
  </sheetViews>
  <sheetFormatPr baseColWidth="10" defaultRowHeight="16"/>
  <cols>
    <col min="1" max="2" width="2.83203125" customWidth="1"/>
    <col min="3" max="3" width="11.83203125" customWidth="1"/>
    <col min="4" max="4" width="2.83203125" style="181" customWidth="1"/>
    <col min="5" max="6" width="2.83203125" customWidth="1"/>
    <col min="7" max="7" width="11.83203125" customWidth="1"/>
    <col min="8" max="10" width="2.83203125" customWidth="1"/>
    <col min="11" max="11" width="11.83203125" customWidth="1"/>
    <col min="12" max="14" width="2.83203125" customWidth="1"/>
    <col min="15" max="15" width="11.83203125" customWidth="1"/>
    <col min="16" max="18" width="2.83203125" customWidth="1"/>
    <col min="19" max="19" width="11.83203125" customWidth="1"/>
    <col min="20" max="22" width="2.83203125" customWidth="1"/>
    <col min="23" max="23" width="11.83203125" customWidth="1"/>
    <col min="24" max="26" width="2.83203125" customWidth="1"/>
    <col min="27" max="27" width="11.83203125" customWidth="1"/>
    <col min="28" max="30" width="2.83203125" customWidth="1"/>
    <col min="31" max="31" width="11.83203125" customWidth="1"/>
    <col min="32" max="34" width="2.83203125" customWidth="1"/>
    <col min="35" max="35" width="11.83203125" customWidth="1"/>
    <col min="36" max="38" width="2.83203125" customWidth="1"/>
    <col min="39" max="39" width="11.83203125" customWidth="1"/>
    <col min="40" max="42" width="2.83203125" customWidth="1"/>
    <col min="43" max="43" width="11.83203125" customWidth="1"/>
    <col min="44" max="46" width="2.83203125" customWidth="1"/>
    <col min="47" max="47" width="11.83203125" customWidth="1"/>
    <col min="48" max="48" width="2.83203125" customWidth="1"/>
  </cols>
  <sheetData>
    <row r="1" spans="1:48" ht="31" thickBot="1">
      <c r="A1" s="295" t="s">
        <v>778</v>
      </c>
      <c r="B1" s="296"/>
      <c r="C1" s="297"/>
      <c r="D1" s="298"/>
      <c r="E1" s="297"/>
      <c r="F1" s="296"/>
      <c r="G1" s="297"/>
      <c r="H1" s="298"/>
      <c r="I1" s="297"/>
      <c r="J1" s="296"/>
      <c r="K1" s="297"/>
      <c r="L1" s="298"/>
      <c r="M1" s="297"/>
      <c r="N1" s="296"/>
      <c r="O1" s="297"/>
      <c r="P1" s="298"/>
      <c r="Q1" s="297"/>
      <c r="R1" s="296"/>
      <c r="S1" s="297"/>
      <c r="T1" s="298"/>
      <c r="U1" s="297"/>
      <c r="V1" s="296"/>
      <c r="W1" s="297"/>
      <c r="X1" s="298"/>
      <c r="Y1" s="297"/>
      <c r="Z1" s="296"/>
      <c r="AA1" s="297"/>
      <c r="AB1" s="298"/>
      <c r="AC1" s="297"/>
      <c r="AD1" s="296"/>
      <c r="AE1" s="297"/>
      <c r="AF1" s="298"/>
      <c r="AG1" s="297"/>
      <c r="AH1" s="296"/>
      <c r="AI1" s="297"/>
      <c r="AJ1" s="298"/>
      <c r="AK1" s="297"/>
      <c r="AL1" s="296"/>
      <c r="AM1" s="297"/>
      <c r="AN1" s="298"/>
      <c r="AO1" s="297"/>
      <c r="AP1" s="296"/>
      <c r="AQ1" s="297"/>
      <c r="AR1" s="298"/>
      <c r="AS1" s="297"/>
      <c r="AT1" s="296"/>
      <c r="AU1" s="297"/>
      <c r="AV1" s="299"/>
    </row>
    <row r="2" spans="1:48" ht="18">
      <c r="A2" s="300" t="s">
        <v>90</v>
      </c>
      <c r="B2" s="301"/>
      <c r="C2" s="302"/>
      <c r="D2" s="303"/>
      <c r="E2" s="300" t="s">
        <v>91</v>
      </c>
      <c r="F2" s="301"/>
      <c r="G2" s="302"/>
      <c r="H2" s="303"/>
      <c r="I2" s="304" t="s">
        <v>92</v>
      </c>
      <c r="J2" s="301"/>
      <c r="K2" s="302"/>
      <c r="L2" s="303"/>
      <c r="M2" s="300" t="s">
        <v>93</v>
      </c>
      <c r="N2" s="301"/>
      <c r="O2" s="302"/>
      <c r="P2" s="303"/>
      <c r="Q2" s="300" t="s">
        <v>94</v>
      </c>
      <c r="R2" s="301"/>
      <c r="S2" s="302"/>
      <c r="T2" s="303"/>
      <c r="U2" s="300" t="s">
        <v>95</v>
      </c>
      <c r="V2" s="301"/>
      <c r="W2" s="302"/>
      <c r="X2" s="303"/>
      <c r="Y2" s="304" t="s">
        <v>98</v>
      </c>
      <c r="Z2" s="301"/>
      <c r="AA2" s="302"/>
      <c r="AB2" s="303"/>
      <c r="AC2" s="300" t="s">
        <v>99</v>
      </c>
      <c r="AD2" s="301"/>
      <c r="AE2" s="302"/>
      <c r="AF2" s="303"/>
      <c r="AG2" s="300" t="s">
        <v>100</v>
      </c>
      <c r="AH2" s="301"/>
      <c r="AI2" s="302"/>
      <c r="AJ2" s="303"/>
      <c r="AK2" s="300" t="s">
        <v>101</v>
      </c>
      <c r="AL2" s="301"/>
      <c r="AM2" s="302"/>
      <c r="AN2" s="303"/>
      <c r="AO2" s="300" t="s">
        <v>102</v>
      </c>
      <c r="AP2" s="301"/>
      <c r="AQ2" s="302"/>
      <c r="AR2" s="303"/>
      <c r="AS2" s="300" t="s">
        <v>103</v>
      </c>
      <c r="AT2" s="301"/>
      <c r="AU2" s="302"/>
      <c r="AV2" s="303"/>
    </row>
    <row r="3" spans="1:48">
      <c r="A3" s="519">
        <v>1</v>
      </c>
      <c r="B3" s="520" t="s">
        <v>152</v>
      </c>
      <c r="C3" s="521"/>
      <c r="D3" s="600" t="s">
        <v>140</v>
      </c>
      <c r="E3" s="514">
        <v>1</v>
      </c>
      <c r="F3" s="515" t="s">
        <v>155</v>
      </c>
      <c r="G3" s="516"/>
      <c r="H3" s="518" t="s">
        <v>140</v>
      </c>
      <c r="I3" s="514">
        <v>1</v>
      </c>
      <c r="J3" s="515" t="s">
        <v>154</v>
      </c>
      <c r="K3" s="516"/>
      <c r="L3" s="523" t="s">
        <v>140</v>
      </c>
      <c r="M3" s="519">
        <v>1</v>
      </c>
      <c r="N3" s="520" t="s">
        <v>157</v>
      </c>
      <c r="O3" s="521"/>
      <c r="P3" s="522" t="s">
        <v>140</v>
      </c>
      <c r="Q3" s="514">
        <v>1</v>
      </c>
      <c r="R3" s="515" t="s">
        <v>155</v>
      </c>
      <c r="S3" s="516"/>
      <c r="T3" s="523" t="s">
        <v>140</v>
      </c>
      <c r="U3" s="514">
        <v>1</v>
      </c>
      <c r="V3" s="515" t="s">
        <v>156</v>
      </c>
      <c r="W3" s="516" t="s">
        <v>139</v>
      </c>
      <c r="X3" s="523" t="s">
        <v>140</v>
      </c>
      <c r="Y3" s="514">
        <v>1</v>
      </c>
      <c r="Z3" s="515" t="s">
        <v>153</v>
      </c>
      <c r="AA3" s="516"/>
      <c r="AB3" s="518">
        <v>5.4285714285714288</v>
      </c>
      <c r="AC3" s="514">
        <v>1</v>
      </c>
      <c r="AD3" s="515" t="s">
        <v>153</v>
      </c>
      <c r="AE3" s="516"/>
      <c r="AF3" s="523">
        <v>9.4285714285714288</v>
      </c>
      <c r="AG3" s="514">
        <v>1</v>
      </c>
      <c r="AH3" s="515" t="s">
        <v>154</v>
      </c>
      <c r="AI3" s="516"/>
      <c r="AJ3" s="518" t="s">
        <v>140</v>
      </c>
      <c r="AK3" s="519">
        <v>1</v>
      </c>
      <c r="AL3" s="520" t="s">
        <v>152</v>
      </c>
      <c r="AM3" s="521"/>
      <c r="AN3" s="522" t="s">
        <v>140</v>
      </c>
      <c r="AO3" s="514">
        <v>1</v>
      </c>
      <c r="AP3" s="515" t="s">
        <v>155</v>
      </c>
      <c r="AQ3" s="516"/>
      <c r="AR3" s="518" t="s">
        <v>140</v>
      </c>
      <c r="AS3" s="514">
        <v>1</v>
      </c>
      <c r="AT3" s="515" t="s">
        <v>154</v>
      </c>
      <c r="AU3" s="516"/>
      <c r="AV3" s="523" t="s">
        <v>140</v>
      </c>
    </row>
    <row r="4" spans="1:48">
      <c r="A4" s="519">
        <v>2</v>
      </c>
      <c r="B4" s="520" t="s">
        <v>157</v>
      </c>
      <c r="C4" s="521"/>
      <c r="D4" s="600" t="s">
        <v>140</v>
      </c>
      <c r="E4" s="514">
        <v>2</v>
      </c>
      <c r="F4" s="515" t="s">
        <v>151</v>
      </c>
      <c r="G4" s="516"/>
      <c r="H4" s="518" t="s">
        <v>140</v>
      </c>
      <c r="I4" s="514">
        <v>2</v>
      </c>
      <c r="J4" s="515" t="s">
        <v>156</v>
      </c>
      <c r="K4" s="516"/>
      <c r="L4" s="523" t="s">
        <v>140</v>
      </c>
      <c r="M4" s="514">
        <v>2</v>
      </c>
      <c r="N4" s="515" t="s">
        <v>153</v>
      </c>
      <c r="O4" s="516"/>
      <c r="P4" s="523">
        <v>44.571428571428569</v>
      </c>
      <c r="Q4" s="514">
        <v>2</v>
      </c>
      <c r="R4" s="515" t="s">
        <v>151</v>
      </c>
      <c r="S4" s="516"/>
      <c r="T4" s="523" t="s">
        <v>140</v>
      </c>
      <c r="U4" s="519">
        <v>2</v>
      </c>
      <c r="V4" s="520" t="s">
        <v>152</v>
      </c>
      <c r="W4" s="521"/>
      <c r="X4" s="522" t="s">
        <v>140</v>
      </c>
      <c r="Y4" s="514">
        <v>2</v>
      </c>
      <c r="Z4" s="515" t="s">
        <v>155</v>
      </c>
      <c r="AA4" s="516"/>
      <c r="AB4" s="518" t="s">
        <v>140</v>
      </c>
      <c r="AC4" s="514">
        <v>2</v>
      </c>
      <c r="AD4" s="515" t="s">
        <v>155</v>
      </c>
      <c r="AE4" s="516"/>
      <c r="AF4" s="523" t="s">
        <v>140</v>
      </c>
      <c r="AG4" s="514">
        <v>2</v>
      </c>
      <c r="AH4" s="515" t="s">
        <v>156</v>
      </c>
      <c r="AI4" s="516"/>
      <c r="AJ4" s="518" t="s">
        <v>140</v>
      </c>
      <c r="AK4" s="519">
        <v>2</v>
      </c>
      <c r="AL4" s="520" t="s">
        <v>157</v>
      </c>
      <c r="AM4" s="521"/>
      <c r="AN4" s="522" t="s">
        <v>140</v>
      </c>
      <c r="AO4" s="514">
        <v>2</v>
      </c>
      <c r="AP4" s="515" t="s">
        <v>151</v>
      </c>
      <c r="AQ4" s="516"/>
      <c r="AR4" s="518" t="s">
        <v>140</v>
      </c>
      <c r="AS4" s="514">
        <v>2</v>
      </c>
      <c r="AT4" s="515" t="s">
        <v>156</v>
      </c>
      <c r="AU4" s="516"/>
      <c r="AV4" s="523" t="s">
        <v>140</v>
      </c>
    </row>
    <row r="5" spans="1:48">
      <c r="A5" s="514">
        <v>3</v>
      </c>
      <c r="B5" s="515" t="s">
        <v>153</v>
      </c>
      <c r="C5" s="516"/>
      <c r="D5" s="517">
        <v>31.571428571428573</v>
      </c>
      <c r="E5" s="514">
        <v>3</v>
      </c>
      <c r="F5" s="515" t="s">
        <v>154</v>
      </c>
      <c r="G5" s="516"/>
      <c r="H5" s="518" t="s">
        <v>140</v>
      </c>
      <c r="I5" s="519">
        <v>3</v>
      </c>
      <c r="J5" s="520" t="s">
        <v>152</v>
      </c>
      <c r="K5" s="521"/>
      <c r="L5" s="522" t="s">
        <v>140</v>
      </c>
      <c r="M5" s="514">
        <v>3</v>
      </c>
      <c r="N5" s="515" t="s">
        <v>155</v>
      </c>
      <c r="O5" s="516"/>
      <c r="P5" s="523" t="s">
        <v>140</v>
      </c>
      <c r="Q5" s="514">
        <v>3</v>
      </c>
      <c r="R5" s="515" t="s">
        <v>154</v>
      </c>
      <c r="S5" s="516"/>
      <c r="T5" s="523" t="s">
        <v>140</v>
      </c>
      <c r="U5" s="519">
        <v>3</v>
      </c>
      <c r="V5" s="520" t="s">
        <v>157</v>
      </c>
      <c r="W5" s="521"/>
      <c r="X5" s="522" t="s">
        <v>140</v>
      </c>
      <c r="Y5" s="514">
        <v>3</v>
      </c>
      <c r="Z5" s="515" t="s">
        <v>151</v>
      </c>
      <c r="AA5" s="516"/>
      <c r="AB5" s="518" t="s">
        <v>140</v>
      </c>
      <c r="AC5" s="514">
        <v>3</v>
      </c>
      <c r="AD5" s="515" t="s">
        <v>151</v>
      </c>
      <c r="AE5" s="516"/>
      <c r="AF5" s="523" t="s">
        <v>140</v>
      </c>
      <c r="AG5" s="519">
        <v>3</v>
      </c>
      <c r="AH5" s="520" t="s">
        <v>152</v>
      </c>
      <c r="AI5" s="521"/>
      <c r="AJ5" s="524" t="s">
        <v>140</v>
      </c>
      <c r="AK5" s="514">
        <v>3</v>
      </c>
      <c r="AL5" s="515" t="s">
        <v>153</v>
      </c>
      <c r="AM5" s="516"/>
      <c r="AN5" s="523">
        <v>18.428571428571427</v>
      </c>
      <c r="AO5" s="514">
        <v>3</v>
      </c>
      <c r="AP5" s="515" t="s">
        <v>154</v>
      </c>
      <c r="AQ5" s="516"/>
      <c r="AR5" s="518" t="s">
        <v>140</v>
      </c>
      <c r="AS5" s="519">
        <v>3</v>
      </c>
      <c r="AT5" s="520" t="s">
        <v>152</v>
      </c>
      <c r="AU5" s="521"/>
      <c r="AV5" s="522" t="s">
        <v>140</v>
      </c>
    </row>
    <row r="6" spans="1:48">
      <c r="A6" s="514">
        <v>4</v>
      </c>
      <c r="B6" s="515" t="s">
        <v>155</v>
      </c>
      <c r="C6" s="516"/>
      <c r="D6" s="517" t="s">
        <v>140</v>
      </c>
      <c r="E6" s="514">
        <v>4</v>
      </c>
      <c r="F6" s="515" t="s">
        <v>156</v>
      </c>
      <c r="G6" s="516"/>
      <c r="H6" s="518" t="s">
        <v>140</v>
      </c>
      <c r="I6" s="519">
        <v>4</v>
      </c>
      <c r="J6" s="520" t="s">
        <v>157</v>
      </c>
      <c r="K6" s="521"/>
      <c r="L6" s="522" t="s">
        <v>140</v>
      </c>
      <c r="M6" s="514">
        <v>4</v>
      </c>
      <c r="N6" s="515" t="s">
        <v>151</v>
      </c>
      <c r="O6" s="516"/>
      <c r="P6" s="523" t="s">
        <v>140</v>
      </c>
      <c r="Q6" s="514">
        <v>4</v>
      </c>
      <c r="R6" s="515" t="s">
        <v>156</v>
      </c>
      <c r="S6" s="516"/>
      <c r="T6" s="523" t="s">
        <v>140</v>
      </c>
      <c r="U6" s="514">
        <v>4</v>
      </c>
      <c r="V6" s="515" t="s">
        <v>153</v>
      </c>
      <c r="W6" s="516"/>
      <c r="X6" s="523">
        <v>1.4285714285714286</v>
      </c>
      <c r="Y6" s="514">
        <v>4</v>
      </c>
      <c r="Z6" s="515" t="s">
        <v>154</v>
      </c>
      <c r="AA6" s="516"/>
      <c r="AB6" s="518" t="s">
        <v>140</v>
      </c>
      <c r="AC6" s="514">
        <v>4</v>
      </c>
      <c r="AD6" s="515" t="s">
        <v>154</v>
      </c>
      <c r="AE6" s="516"/>
      <c r="AF6" s="523" t="s">
        <v>140</v>
      </c>
      <c r="AG6" s="519">
        <v>4</v>
      </c>
      <c r="AH6" s="520" t="s">
        <v>157</v>
      </c>
      <c r="AI6" s="521"/>
      <c r="AJ6" s="524" t="s">
        <v>140</v>
      </c>
      <c r="AK6" s="514">
        <v>4</v>
      </c>
      <c r="AL6" s="515" t="s">
        <v>155</v>
      </c>
      <c r="AM6" s="516"/>
      <c r="AN6" s="523" t="s">
        <v>140</v>
      </c>
      <c r="AO6" s="514">
        <v>4</v>
      </c>
      <c r="AP6" s="515" t="s">
        <v>156</v>
      </c>
      <c r="AQ6" s="516"/>
      <c r="AR6" s="518" t="s">
        <v>140</v>
      </c>
      <c r="AS6" s="519">
        <v>4</v>
      </c>
      <c r="AT6" s="520" t="s">
        <v>157</v>
      </c>
      <c r="AU6" s="521"/>
      <c r="AV6" s="522" t="s">
        <v>140</v>
      </c>
    </row>
    <row r="7" spans="1:48">
      <c r="A7" s="514">
        <v>5</v>
      </c>
      <c r="B7" s="515" t="s">
        <v>151</v>
      </c>
      <c r="C7" s="516"/>
      <c r="D7" s="526" t="s">
        <v>140</v>
      </c>
      <c r="E7" s="519">
        <v>5</v>
      </c>
      <c r="F7" s="520" t="s">
        <v>152</v>
      </c>
      <c r="G7" s="521"/>
      <c r="H7" s="524" t="s">
        <v>140</v>
      </c>
      <c r="I7" s="514">
        <v>5</v>
      </c>
      <c r="J7" s="515" t="s">
        <v>153</v>
      </c>
      <c r="K7" s="516"/>
      <c r="L7" s="523">
        <v>40.571428571428569</v>
      </c>
      <c r="M7" s="514">
        <v>5</v>
      </c>
      <c r="N7" s="515" t="s">
        <v>154</v>
      </c>
      <c r="O7" s="516"/>
      <c r="P7" s="523" t="s">
        <v>140</v>
      </c>
      <c r="Q7" s="519">
        <v>5</v>
      </c>
      <c r="R7" s="520" t="s">
        <v>152</v>
      </c>
      <c r="S7" s="521"/>
      <c r="T7" s="522" t="s">
        <v>140</v>
      </c>
      <c r="U7" s="514">
        <v>5</v>
      </c>
      <c r="V7" s="515" t="s">
        <v>155</v>
      </c>
      <c r="W7" s="516"/>
      <c r="X7" s="523" t="s">
        <v>140</v>
      </c>
      <c r="Y7" s="514">
        <v>5</v>
      </c>
      <c r="Z7" s="515" t="s">
        <v>156</v>
      </c>
      <c r="AA7" s="516"/>
      <c r="AB7" s="518" t="s">
        <v>140</v>
      </c>
      <c r="AC7" s="514">
        <v>5</v>
      </c>
      <c r="AD7" s="515" t="s">
        <v>156</v>
      </c>
      <c r="AE7" s="516"/>
      <c r="AF7" s="523" t="s">
        <v>140</v>
      </c>
      <c r="AG7" s="514">
        <v>5</v>
      </c>
      <c r="AH7" s="515" t="s">
        <v>153</v>
      </c>
      <c r="AI7" s="516"/>
      <c r="AJ7" s="518">
        <v>14.428571428571429</v>
      </c>
      <c r="AK7" s="514">
        <v>5</v>
      </c>
      <c r="AL7" s="515" t="s">
        <v>151</v>
      </c>
      <c r="AM7" s="516"/>
      <c r="AN7" s="523" t="s">
        <v>140</v>
      </c>
      <c r="AO7" s="519">
        <v>5</v>
      </c>
      <c r="AP7" s="520" t="s">
        <v>152</v>
      </c>
      <c r="AQ7" s="521" t="s">
        <v>215</v>
      </c>
      <c r="AR7" s="524" t="s">
        <v>140</v>
      </c>
      <c r="AS7" s="514">
        <v>5</v>
      </c>
      <c r="AT7" s="515" t="s">
        <v>153</v>
      </c>
      <c r="AU7" s="516"/>
      <c r="AV7" s="523">
        <v>27.428571428571427</v>
      </c>
    </row>
    <row r="8" spans="1:48">
      <c r="A8" s="514">
        <v>6</v>
      </c>
      <c r="B8" s="515" t="s">
        <v>154</v>
      </c>
      <c r="C8" s="516"/>
      <c r="D8" s="526" t="s">
        <v>140</v>
      </c>
      <c r="E8" s="519">
        <v>6</v>
      </c>
      <c r="F8" s="520" t="s">
        <v>157</v>
      </c>
      <c r="G8" s="521"/>
      <c r="H8" s="524" t="s">
        <v>140</v>
      </c>
      <c r="I8" s="514">
        <v>6</v>
      </c>
      <c r="J8" s="515" t="s">
        <v>155</v>
      </c>
      <c r="K8" s="516"/>
      <c r="L8" s="523" t="s">
        <v>140</v>
      </c>
      <c r="M8" s="514">
        <v>6</v>
      </c>
      <c r="N8" s="515" t="s">
        <v>156</v>
      </c>
      <c r="O8" s="516"/>
      <c r="P8" s="523" t="s">
        <v>140</v>
      </c>
      <c r="Q8" s="519">
        <v>6</v>
      </c>
      <c r="R8" s="520" t="s">
        <v>157</v>
      </c>
      <c r="S8" s="521"/>
      <c r="T8" s="522" t="s">
        <v>140</v>
      </c>
      <c r="U8" s="514">
        <v>6</v>
      </c>
      <c r="V8" s="515" t="s">
        <v>151</v>
      </c>
      <c r="W8" s="516"/>
      <c r="X8" s="523" t="s">
        <v>140</v>
      </c>
      <c r="Y8" s="519">
        <v>6</v>
      </c>
      <c r="Z8" s="520" t="s">
        <v>152</v>
      </c>
      <c r="AA8" s="521"/>
      <c r="AB8" s="524" t="s">
        <v>140</v>
      </c>
      <c r="AC8" s="519">
        <v>6</v>
      </c>
      <c r="AD8" s="520" t="s">
        <v>152</v>
      </c>
      <c r="AE8" s="521"/>
      <c r="AF8" s="522" t="s">
        <v>140</v>
      </c>
      <c r="AG8" s="514">
        <v>6</v>
      </c>
      <c r="AH8" s="515" t="s">
        <v>155</v>
      </c>
      <c r="AI8" s="516"/>
      <c r="AJ8" s="518" t="s">
        <v>140</v>
      </c>
      <c r="AK8" s="514">
        <v>6</v>
      </c>
      <c r="AL8" s="515" t="s">
        <v>154</v>
      </c>
      <c r="AM8" s="748" t="s">
        <v>716</v>
      </c>
      <c r="AN8" s="523" t="s">
        <v>140</v>
      </c>
      <c r="AO8" s="519">
        <v>6</v>
      </c>
      <c r="AP8" s="520" t="s">
        <v>157</v>
      </c>
      <c r="AQ8" s="521"/>
      <c r="AR8" s="524" t="s">
        <v>140</v>
      </c>
      <c r="AS8" s="514">
        <v>6</v>
      </c>
      <c r="AT8" s="515" t="s">
        <v>155</v>
      </c>
      <c r="AU8" s="516"/>
      <c r="AV8" s="523" t="s">
        <v>140</v>
      </c>
    </row>
    <row r="9" spans="1:48">
      <c r="A9" s="514">
        <v>7</v>
      </c>
      <c r="B9" s="515" t="s">
        <v>156</v>
      </c>
      <c r="C9" s="516"/>
      <c r="D9" s="526" t="s">
        <v>140</v>
      </c>
      <c r="E9" s="514">
        <v>7</v>
      </c>
      <c r="F9" s="515" t="s">
        <v>153</v>
      </c>
      <c r="G9" s="516"/>
      <c r="H9" s="518">
        <v>36.571428571428569</v>
      </c>
      <c r="I9" s="514">
        <v>7</v>
      </c>
      <c r="J9" s="515" t="s">
        <v>151</v>
      </c>
      <c r="K9" s="516"/>
      <c r="L9" s="523" t="s">
        <v>140</v>
      </c>
      <c r="M9" s="519">
        <v>7</v>
      </c>
      <c r="N9" s="520" t="s">
        <v>152</v>
      </c>
      <c r="O9" s="521"/>
      <c r="P9" s="522" t="s">
        <v>140</v>
      </c>
      <c r="Q9" s="514">
        <v>7</v>
      </c>
      <c r="R9" s="515" t="s">
        <v>153</v>
      </c>
      <c r="S9" s="516"/>
      <c r="T9" s="523">
        <v>49.571428571428569</v>
      </c>
      <c r="U9" s="514">
        <v>7</v>
      </c>
      <c r="V9" s="515" t="s">
        <v>154</v>
      </c>
      <c r="W9" s="516"/>
      <c r="X9" s="523" t="s">
        <v>140</v>
      </c>
      <c r="Y9" s="519">
        <v>7</v>
      </c>
      <c r="Z9" s="520" t="s">
        <v>157</v>
      </c>
      <c r="AA9" s="521"/>
      <c r="AB9" s="524" t="s">
        <v>140</v>
      </c>
      <c r="AC9" s="519">
        <v>7</v>
      </c>
      <c r="AD9" s="520" t="s">
        <v>157</v>
      </c>
      <c r="AE9" s="521"/>
      <c r="AF9" s="522" t="s">
        <v>140</v>
      </c>
      <c r="AG9" s="514">
        <v>7</v>
      </c>
      <c r="AH9" s="515" t="s">
        <v>151</v>
      </c>
      <c r="AI9" s="516"/>
      <c r="AJ9" s="518" t="s">
        <v>140</v>
      </c>
      <c r="AK9" s="514">
        <v>7</v>
      </c>
      <c r="AL9" s="515" t="s">
        <v>156</v>
      </c>
      <c r="AM9" s="516"/>
      <c r="AN9" s="523" t="s">
        <v>140</v>
      </c>
      <c r="AO9" s="514">
        <v>7</v>
      </c>
      <c r="AP9" s="515" t="s">
        <v>153</v>
      </c>
      <c r="AQ9" s="516"/>
      <c r="AR9" s="518">
        <v>23.428571428571427</v>
      </c>
      <c r="AS9" s="514">
        <v>7</v>
      </c>
      <c r="AT9" s="515" t="s">
        <v>151</v>
      </c>
      <c r="AU9" s="516"/>
      <c r="AV9" s="523" t="s">
        <v>140</v>
      </c>
    </row>
    <row r="10" spans="1:48">
      <c r="A10" s="519">
        <v>8</v>
      </c>
      <c r="B10" s="520" t="s">
        <v>152</v>
      </c>
      <c r="C10" s="521"/>
      <c r="D10" s="600" t="s">
        <v>140</v>
      </c>
      <c r="E10" s="514">
        <v>8</v>
      </c>
      <c r="F10" s="515" t="s">
        <v>155</v>
      </c>
      <c r="G10" s="516"/>
      <c r="H10" s="518" t="s">
        <v>140</v>
      </c>
      <c r="I10" s="514">
        <v>8</v>
      </c>
      <c r="J10" s="515" t="s">
        <v>154</v>
      </c>
      <c r="K10" s="516"/>
      <c r="L10" s="523" t="s">
        <v>140</v>
      </c>
      <c r="M10" s="519">
        <v>8</v>
      </c>
      <c r="N10" s="520" t="s">
        <v>157</v>
      </c>
      <c r="O10" s="521"/>
      <c r="P10" s="522" t="s">
        <v>140</v>
      </c>
      <c r="Q10" s="514">
        <v>8</v>
      </c>
      <c r="R10" s="515" t="s">
        <v>155</v>
      </c>
      <c r="S10" s="516"/>
      <c r="T10" s="523" t="s">
        <v>140</v>
      </c>
      <c r="U10" s="514">
        <v>8</v>
      </c>
      <c r="V10" s="515" t="s">
        <v>156</v>
      </c>
      <c r="W10" s="516"/>
      <c r="X10" s="523" t="s">
        <v>140</v>
      </c>
      <c r="Y10" s="514">
        <v>8</v>
      </c>
      <c r="Z10" s="515" t="s">
        <v>153</v>
      </c>
      <c r="AA10" s="516"/>
      <c r="AB10" s="518">
        <v>6.4285714285714288</v>
      </c>
      <c r="AC10" s="514">
        <v>8</v>
      </c>
      <c r="AD10" s="515" t="s">
        <v>153</v>
      </c>
      <c r="AE10" s="516"/>
      <c r="AF10" s="523">
        <v>10.428571428571429</v>
      </c>
      <c r="AG10" s="514">
        <v>8</v>
      </c>
      <c r="AH10" s="515" t="s">
        <v>154</v>
      </c>
      <c r="AI10" s="516"/>
      <c r="AJ10" s="518" t="s">
        <v>140</v>
      </c>
      <c r="AK10" s="519">
        <v>8</v>
      </c>
      <c r="AL10" s="520" t="s">
        <v>152</v>
      </c>
      <c r="AM10" s="521"/>
      <c r="AN10" s="522" t="s">
        <v>140</v>
      </c>
      <c r="AO10" s="514">
        <v>8</v>
      </c>
      <c r="AP10" s="515" t="s">
        <v>155</v>
      </c>
      <c r="AQ10" s="516"/>
      <c r="AR10" s="518" t="s">
        <v>140</v>
      </c>
      <c r="AS10" s="514">
        <v>8</v>
      </c>
      <c r="AT10" s="515" t="s">
        <v>154</v>
      </c>
      <c r="AU10" s="516"/>
      <c r="AV10" s="523" t="s">
        <v>140</v>
      </c>
    </row>
    <row r="11" spans="1:48">
      <c r="A11" s="519">
        <v>9</v>
      </c>
      <c r="B11" s="520" t="s">
        <v>157</v>
      </c>
      <c r="C11" s="521"/>
      <c r="D11" s="600" t="s">
        <v>140</v>
      </c>
      <c r="E11" s="514">
        <v>9</v>
      </c>
      <c r="F11" s="515" t="s">
        <v>151</v>
      </c>
      <c r="G11" s="516"/>
      <c r="H11" s="518" t="s">
        <v>140</v>
      </c>
      <c r="I11" s="514">
        <v>9</v>
      </c>
      <c r="J11" s="515" t="s">
        <v>156</v>
      </c>
      <c r="K11" s="516"/>
      <c r="L11" s="523" t="s">
        <v>140</v>
      </c>
      <c r="M11" s="514">
        <v>9</v>
      </c>
      <c r="N11" s="515" t="s">
        <v>153</v>
      </c>
      <c r="O11" s="516"/>
      <c r="P11" s="523">
        <v>45.571428571428569</v>
      </c>
      <c r="Q11" s="514">
        <v>9</v>
      </c>
      <c r="R11" s="515" t="s">
        <v>151</v>
      </c>
      <c r="S11" s="516"/>
      <c r="T11" s="523" t="s">
        <v>140</v>
      </c>
      <c r="U11" s="519">
        <v>9</v>
      </c>
      <c r="V11" s="520" t="s">
        <v>152</v>
      </c>
      <c r="W11" s="521"/>
      <c r="X11" s="522" t="s">
        <v>140</v>
      </c>
      <c r="Y11" s="514">
        <v>9</v>
      </c>
      <c r="Z11" s="515" t="s">
        <v>155</v>
      </c>
      <c r="AA11" s="516"/>
      <c r="AB11" s="518" t="s">
        <v>140</v>
      </c>
      <c r="AC11" s="514">
        <v>9</v>
      </c>
      <c r="AD11" s="515" t="s">
        <v>155</v>
      </c>
      <c r="AE11" s="516"/>
      <c r="AF11" s="523" t="s">
        <v>140</v>
      </c>
      <c r="AG11" s="514">
        <v>9</v>
      </c>
      <c r="AH11" s="515" t="s">
        <v>156</v>
      </c>
      <c r="AI11" s="516"/>
      <c r="AJ11" s="518" t="s">
        <v>140</v>
      </c>
      <c r="AK11" s="519">
        <v>9</v>
      </c>
      <c r="AL11" s="520" t="s">
        <v>157</v>
      </c>
      <c r="AM11" s="747"/>
      <c r="AN11" s="522" t="s">
        <v>140</v>
      </c>
      <c r="AO11" s="514">
        <v>9</v>
      </c>
      <c r="AP11" s="515" t="s">
        <v>151</v>
      </c>
      <c r="AQ11" s="516"/>
      <c r="AR11" s="518" t="s">
        <v>140</v>
      </c>
      <c r="AS11" s="514">
        <v>9</v>
      </c>
      <c r="AT11" s="515" t="s">
        <v>156</v>
      </c>
      <c r="AU11" s="516"/>
      <c r="AV11" s="523" t="s">
        <v>140</v>
      </c>
    </row>
    <row r="12" spans="1:48">
      <c r="A12" s="514">
        <v>10</v>
      </c>
      <c r="B12" s="515" t="s">
        <v>153</v>
      </c>
      <c r="C12" s="516"/>
      <c r="D12" s="517">
        <v>32.571428571428569</v>
      </c>
      <c r="E12" s="514">
        <v>10</v>
      </c>
      <c r="F12" s="515" t="s">
        <v>154</v>
      </c>
      <c r="G12" s="516"/>
      <c r="H12" s="518" t="s">
        <v>140</v>
      </c>
      <c r="I12" s="519">
        <v>10</v>
      </c>
      <c r="J12" s="520" t="s">
        <v>152</v>
      </c>
      <c r="K12" s="521"/>
      <c r="L12" s="522" t="s">
        <v>140</v>
      </c>
      <c r="M12" s="514">
        <v>10</v>
      </c>
      <c r="N12" s="515" t="s">
        <v>155</v>
      </c>
      <c r="O12" s="516"/>
      <c r="P12" s="523" t="s">
        <v>140</v>
      </c>
      <c r="Q12" s="514">
        <v>10</v>
      </c>
      <c r="R12" s="515" t="s">
        <v>154</v>
      </c>
      <c r="S12" s="516"/>
      <c r="T12" s="523" t="s">
        <v>140</v>
      </c>
      <c r="U12" s="519">
        <v>10</v>
      </c>
      <c r="V12" s="520" t="s">
        <v>157</v>
      </c>
      <c r="W12" s="521"/>
      <c r="X12" s="522" t="s">
        <v>140</v>
      </c>
      <c r="Y12" s="514">
        <v>10</v>
      </c>
      <c r="Z12" s="515" t="s">
        <v>151</v>
      </c>
      <c r="AA12" s="516"/>
      <c r="AB12" s="518" t="s">
        <v>140</v>
      </c>
      <c r="AC12" s="514">
        <v>10</v>
      </c>
      <c r="AD12" s="515" t="s">
        <v>151</v>
      </c>
      <c r="AE12" s="516"/>
      <c r="AF12" s="523" t="s">
        <v>140</v>
      </c>
      <c r="AG12" s="519">
        <v>10</v>
      </c>
      <c r="AH12" s="520" t="s">
        <v>152</v>
      </c>
      <c r="AI12" s="521"/>
      <c r="AJ12" s="524" t="s">
        <v>140</v>
      </c>
      <c r="AK12" s="514">
        <v>10</v>
      </c>
      <c r="AL12" s="515" t="s">
        <v>153</v>
      </c>
      <c r="AM12" s="516"/>
      <c r="AN12" s="523">
        <v>19.428571428571427</v>
      </c>
      <c r="AO12" s="514">
        <v>10</v>
      </c>
      <c r="AP12" s="515" t="s">
        <v>154</v>
      </c>
      <c r="AQ12" s="516"/>
      <c r="AR12" s="518" t="s">
        <v>140</v>
      </c>
      <c r="AS12" s="519">
        <v>10</v>
      </c>
      <c r="AT12" s="520" t="s">
        <v>152</v>
      </c>
      <c r="AU12" s="521"/>
      <c r="AV12" s="522" t="s">
        <v>140</v>
      </c>
    </row>
    <row r="13" spans="1:48">
      <c r="A13" s="514">
        <v>11</v>
      </c>
      <c r="B13" s="515" t="s">
        <v>155</v>
      </c>
      <c r="C13" s="516"/>
      <c r="D13" s="517" t="s">
        <v>140</v>
      </c>
      <c r="E13" s="514">
        <v>11</v>
      </c>
      <c r="F13" s="515" t="s">
        <v>156</v>
      </c>
      <c r="G13" s="516"/>
      <c r="H13" s="518" t="s">
        <v>140</v>
      </c>
      <c r="I13" s="519">
        <v>11</v>
      </c>
      <c r="J13" s="520" t="s">
        <v>157</v>
      </c>
      <c r="K13" s="521"/>
      <c r="L13" s="522" t="s">
        <v>140</v>
      </c>
      <c r="M13" s="514">
        <v>11</v>
      </c>
      <c r="N13" s="515" t="s">
        <v>151</v>
      </c>
      <c r="O13" s="516"/>
      <c r="P13" s="523" t="s">
        <v>140</v>
      </c>
      <c r="Q13" s="514">
        <v>11</v>
      </c>
      <c r="R13" s="515" t="s">
        <v>156</v>
      </c>
      <c r="S13" s="516"/>
      <c r="T13" s="523" t="s">
        <v>140</v>
      </c>
      <c r="U13" s="514">
        <v>11</v>
      </c>
      <c r="V13" s="515" t="s">
        <v>153</v>
      </c>
      <c r="W13" s="516"/>
      <c r="X13" s="523">
        <v>2.4285714285714284</v>
      </c>
      <c r="Y13" s="514">
        <v>11</v>
      </c>
      <c r="Z13" s="515" t="s">
        <v>154</v>
      </c>
      <c r="AA13" s="516"/>
      <c r="AB13" s="518" t="s">
        <v>140</v>
      </c>
      <c r="AC13" s="514">
        <v>11</v>
      </c>
      <c r="AD13" s="515" t="s">
        <v>154</v>
      </c>
      <c r="AE13" s="516"/>
      <c r="AF13" s="523" t="s">
        <v>140</v>
      </c>
      <c r="AG13" s="519">
        <v>11</v>
      </c>
      <c r="AH13" s="520" t="s">
        <v>157</v>
      </c>
      <c r="AI13" s="521"/>
      <c r="AJ13" s="524" t="s">
        <v>140</v>
      </c>
      <c r="AK13" s="514">
        <v>11</v>
      </c>
      <c r="AL13" s="515" t="s">
        <v>155</v>
      </c>
      <c r="AM13" s="516"/>
      <c r="AN13" s="523" t="s">
        <v>140</v>
      </c>
      <c r="AO13" s="514">
        <v>11</v>
      </c>
      <c r="AP13" s="515" t="s">
        <v>156</v>
      </c>
      <c r="AQ13" s="516"/>
      <c r="AR13" s="518" t="s">
        <v>140</v>
      </c>
      <c r="AS13" s="519">
        <v>11</v>
      </c>
      <c r="AT13" s="520" t="s">
        <v>157</v>
      </c>
      <c r="AU13" s="521"/>
      <c r="AV13" s="522" t="s">
        <v>140</v>
      </c>
    </row>
    <row r="14" spans="1:48">
      <c r="A14" s="514">
        <v>12</v>
      </c>
      <c r="B14" s="515" t="s">
        <v>151</v>
      </c>
      <c r="C14" s="516"/>
      <c r="D14" s="526" t="s">
        <v>140</v>
      </c>
      <c r="E14" s="519">
        <v>12</v>
      </c>
      <c r="F14" s="520" t="s">
        <v>152</v>
      </c>
      <c r="G14" s="521"/>
      <c r="H14" s="524" t="s">
        <v>140</v>
      </c>
      <c r="I14" s="514">
        <v>12</v>
      </c>
      <c r="J14" s="515" t="s">
        <v>153</v>
      </c>
      <c r="K14" s="516"/>
      <c r="L14" s="523">
        <v>41.571428571428569</v>
      </c>
      <c r="M14" s="514">
        <v>12</v>
      </c>
      <c r="N14" s="515" t="s">
        <v>154</v>
      </c>
      <c r="O14" s="516"/>
      <c r="P14" s="523" t="s">
        <v>140</v>
      </c>
      <c r="Q14" s="519">
        <v>12</v>
      </c>
      <c r="R14" s="520" t="s">
        <v>152</v>
      </c>
      <c r="S14" s="521"/>
      <c r="T14" s="522" t="s">
        <v>140</v>
      </c>
      <c r="U14" s="514">
        <v>12</v>
      </c>
      <c r="V14" s="515" t="s">
        <v>155</v>
      </c>
      <c r="W14" s="516"/>
      <c r="X14" s="523" t="s">
        <v>140</v>
      </c>
      <c r="Y14" s="514">
        <v>12</v>
      </c>
      <c r="Z14" s="515" t="s">
        <v>156</v>
      </c>
      <c r="AA14" s="516"/>
      <c r="AB14" s="518" t="s">
        <v>140</v>
      </c>
      <c r="AC14" s="514">
        <v>12</v>
      </c>
      <c r="AD14" s="515" t="s">
        <v>156</v>
      </c>
      <c r="AE14" s="516"/>
      <c r="AF14" s="523" t="s">
        <v>140</v>
      </c>
      <c r="AG14" s="514">
        <v>12</v>
      </c>
      <c r="AH14" s="515" t="s">
        <v>153</v>
      </c>
      <c r="AI14" s="516"/>
      <c r="AJ14" s="518">
        <v>15.428571428571429</v>
      </c>
      <c r="AK14" s="514">
        <v>12</v>
      </c>
      <c r="AL14" s="515" t="s">
        <v>151</v>
      </c>
      <c r="AM14" s="516"/>
      <c r="AN14" s="523" t="s">
        <v>140</v>
      </c>
      <c r="AO14" s="519">
        <v>12</v>
      </c>
      <c r="AP14" s="520" t="s">
        <v>152</v>
      </c>
      <c r="AQ14" s="521"/>
      <c r="AR14" s="524" t="s">
        <v>140</v>
      </c>
      <c r="AS14" s="514">
        <v>12</v>
      </c>
      <c r="AT14" s="515" t="s">
        <v>153</v>
      </c>
      <c r="AU14" s="516"/>
      <c r="AV14" s="523">
        <v>28.428571428571427</v>
      </c>
    </row>
    <row r="15" spans="1:48">
      <c r="A15" s="514">
        <v>13</v>
      </c>
      <c r="B15" s="515" t="s">
        <v>154</v>
      </c>
      <c r="C15" s="516"/>
      <c r="D15" s="526" t="s">
        <v>140</v>
      </c>
      <c r="E15" s="519">
        <v>13</v>
      </c>
      <c r="F15" s="520" t="s">
        <v>157</v>
      </c>
      <c r="G15" s="521"/>
      <c r="H15" s="524" t="s">
        <v>140</v>
      </c>
      <c r="I15" s="514">
        <v>13</v>
      </c>
      <c r="J15" s="515" t="s">
        <v>155</v>
      </c>
      <c r="K15" s="516"/>
      <c r="L15" s="523" t="s">
        <v>140</v>
      </c>
      <c r="M15" s="514">
        <v>13</v>
      </c>
      <c r="N15" s="515" t="s">
        <v>156</v>
      </c>
      <c r="O15" s="516"/>
      <c r="P15" s="523" t="s">
        <v>140</v>
      </c>
      <c r="Q15" s="519">
        <v>13</v>
      </c>
      <c r="R15" s="520" t="s">
        <v>157</v>
      </c>
      <c r="S15" s="521"/>
      <c r="T15" s="522" t="s">
        <v>140</v>
      </c>
      <c r="U15" s="514">
        <v>13</v>
      </c>
      <c r="V15" s="515" t="s">
        <v>151</v>
      </c>
      <c r="W15" s="516"/>
      <c r="X15" s="523" t="s">
        <v>140</v>
      </c>
      <c r="Y15" s="519">
        <v>13</v>
      </c>
      <c r="Z15" s="520" t="s">
        <v>152</v>
      </c>
      <c r="AA15" s="521"/>
      <c r="AB15" s="524" t="s">
        <v>140</v>
      </c>
      <c r="AC15" s="519">
        <v>13</v>
      </c>
      <c r="AD15" s="520" t="s">
        <v>152</v>
      </c>
      <c r="AE15" s="521"/>
      <c r="AF15" s="522" t="s">
        <v>140</v>
      </c>
      <c r="AG15" s="514">
        <v>13</v>
      </c>
      <c r="AH15" s="515" t="s">
        <v>155</v>
      </c>
      <c r="AI15" s="516"/>
      <c r="AJ15" s="518" t="s">
        <v>140</v>
      </c>
      <c r="AK15" s="514">
        <v>13</v>
      </c>
      <c r="AL15" s="515" t="s">
        <v>154</v>
      </c>
      <c r="AM15" s="516"/>
      <c r="AN15" s="523" t="s">
        <v>140</v>
      </c>
      <c r="AO15" s="519">
        <v>13</v>
      </c>
      <c r="AP15" s="520" t="s">
        <v>157</v>
      </c>
      <c r="AQ15" s="521"/>
      <c r="AR15" s="524" t="s">
        <v>140</v>
      </c>
      <c r="AS15" s="514">
        <v>13</v>
      </c>
      <c r="AT15" s="515" t="s">
        <v>155</v>
      </c>
      <c r="AU15" s="516"/>
      <c r="AV15" s="523" t="s">
        <v>140</v>
      </c>
    </row>
    <row r="16" spans="1:48">
      <c r="A16" s="514">
        <v>14</v>
      </c>
      <c r="B16" s="515" t="s">
        <v>156</v>
      </c>
      <c r="C16" s="516"/>
      <c r="D16" s="526" t="s">
        <v>140</v>
      </c>
      <c r="E16" s="514">
        <v>14</v>
      </c>
      <c r="F16" s="515" t="s">
        <v>153</v>
      </c>
      <c r="G16" s="516"/>
      <c r="H16" s="518">
        <v>37.571428571428569</v>
      </c>
      <c r="I16" s="514">
        <v>14</v>
      </c>
      <c r="J16" s="515" t="s">
        <v>151</v>
      </c>
      <c r="K16" s="516"/>
      <c r="L16" s="523" t="s">
        <v>140</v>
      </c>
      <c r="M16" s="519">
        <v>14</v>
      </c>
      <c r="N16" s="520" t="s">
        <v>152</v>
      </c>
      <c r="O16" s="521"/>
      <c r="P16" s="522" t="s">
        <v>140</v>
      </c>
      <c r="Q16" s="514">
        <v>14</v>
      </c>
      <c r="R16" s="515" t="s">
        <v>153</v>
      </c>
      <c r="S16" s="516"/>
      <c r="T16" s="523">
        <v>50.571428571428569</v>
      </c>
      <c r="U16" s="514">
        <v>14</v>
      </c>
      <c r="V16" s="515" t="s">
        <v>154</v>
      </c>
      <c r="W16" s="516"/>
      <c r="X16" s="523" t="s">
        <v>140</v>
      </c>
      <c r="Y16" s="519">
        <v>14</v>
      </c>
      <c r="Z16" s="520" t="s">
        <v>157</v>
      </c>
      <c r="AA16" s="521"/>
      <c r="AB16" s="524" t="s">
        <v>140</v>
      </c>
      <c r="AC16" s="519">
        <v>14</v>
      </c>
      <c r="AD16" s="520" t="s">
        <v>157</v>
      </c>
      <c r="AE16" s="521"/>
      <c r="AF16" s="522" t="s">
        <v>140</v>
      </c>
      <c r="AG16" s="514">
        <v>14</v>
      </c>
      <c r="AH16" s="515" t="s">
        <v>151</v>
      </c>
      <c r="AI16" s="516"/>
      <c r="AJ16" s="518" t="s">
        <v>140</v>
      </c>
      <c r="AK16" s="514">
        <v>14</v>
      </c>
      <c r="AL16" s="515" t="s">
        <v>156</v>
      </c>
      <c r="AM16" s="516"/>
      <c r="AN16" s="523" t="s">
        <v>140</v>
      </c>
      <c r="AO16" s="514">
        <v>14</v>
      </c>
      <c r="AP16" s="515" t="s">
        <v>153</v>
      </c>
      <c r="AQ16" s="516"/>
      <c r="AR16" s="518">
        <v>24.428571428571427</v>
      </c>
      <c r="AS16" s="514">
        <v>14</v>
      </c>
      <c r="AT16" s="515" t="s">
        <v>151</v>
      </c>
      <c r="AU16" s="516"/>
      <c r="AV16" s="523" t="s">
        <v>140</v>
      </c>
    </row>
    <row r="17" spans="1:49">
      <c r="A17" s="519">
        <v>15</v>
      </c>
      <c r="B17" s="520" t="s">
        <v>152</v>
      </c>
      <c r="C17" s="521"/>
      <c r="D17" s="600" t="s">
        <v>140</v>
      </c>
      <c r="E17" s="514">
        <v>15</v>
      </c>
      <c r="F17" s="515" t="s">
        <v>155</v>
      </c>
      <c r="G17" s="516"/>
      <c r="H17" s="518" t="s">
        <v>140</v>
      </c>
      <c r="I17" s="514">
        <v>15</v>
      </c>
      <c r="J17" s="515" t="s">
        <v>154</v>
      </c>
      <c r="K17" s="516"/>
      <c r="L17" s="523" t="s">
        <v>140</v>
      </c>
      <c r="M17" s="519">
        <v>15</v>
      </c>
      <c r="N17" s="520" t="s">
        <v>157</v>
      </c>
      <c r="O17" s="521"/>
      <c r="P17" s="522" t="s">
        <v>140</v>
      </c>
      <c r="Q17" s="514">
        <v>15</v>
      </c>
      <c r="R17" s="515" t="s">
        <v>155</v>
      </c>
      <c r="S17" s="516"/>
      <c r="T17" s="523" t="s">
        <v>140</v>
      </c>
      <c r="U17" s="514">
        <v>15</v>
      </c>
      <c r="V17" s="515" t="s">
        <v>156</v>
      </c>
      <c r="W17" s="516"/>
      <c r="X17" s="523" t="s">
        <v>140</v>
      </c>
      <c r="Y17" s="514">
        <v>15</v>
      </c>
      <c r="Z17" s="515" t="s">
        <v>153</v>
      </c>
      <c r="AA17" s="516"/>
      <c r="AB17" s="518">
        <v>7.4285714285714288</v>
      </c>
      <c r="AC17" s="514">
        <v>15</v>
      </c>
      <c r="AD17" s="515" t="s">
        <v>153</v>
      </c>
      <c r="AE17" s="516"/>
      <c r="AF17" s="523">
        <v>11.428571428571429</v>
      </c>
      <c r="AG17" s="514">
        <v>15</v>
      </c>
      <c r="AH17" s="515" t="s">
        <v>154</v>
      </c>
      <c r="AI17" s="516"/>
      <c r="AJ17" s="518" t="s">
        <v>140</v>
      </c>
      <c r="AK17" s="519">
        <v>15</v>
      </c>
      <c r="AL17" s="520" t="s">
        <v>152</v>
      </c>
      <c r="AM17" s="521"/>
      <c r="AN17" s="522" t="s">
        <v>140</v>
      </c>
      <c r="AO17" s="514">
        <v>15</v>
      </c>
      <c r="AP17" s="515" t="s">
        <v>155</v>
      </c>
      <c r="AQ17" s="516"/>
      <c r="AR17" s="518" t="s">
        <v>140</v>
      </c>
      <c r="AS17" s="514">
        <v>15</v>
      </c>
      <c r="AT17" s="515" t="s">
        <v>154</v>
      </c>
      <c r="AU17" s="516"/>
      <c r="AV17" s="523" t="s">
        <v>140</v>
      </c>
    </row>
    <row r="18" spans="1:49">
      <c r="A18" s="519">
        <v>16</v>
      </c>
      <c r="B18" s="520" t="s">
        <v>157</v>
      </c>
      <c r="C18" s="521"/>
      <c r="D18" s="600" t="s">
        <v>140</v>
      </c>
      <c r="E18" s="514">
        <v>16</v>
      </c>
      <c r="F18" s="515" t="s">
        <v>151</v>
      </c>
      <c r="G18" s="516"/>
      <c r="H18" s="518" t="s">
        <v>140</v>
      </c>
      <c r="I18" s="514">
        <v>16</v>
      </c>
      <c r="J18" s="515" t="s">
        <v>156</v>
      </c>
      <c r="K18" s="516"/>
      <c r="L18" s="523" t="s">
        <v>140</v>
      </c>
      <c r="M18" s="514">
        <v>16</v>
      </c>
      <c r="N18" s="515" t="s">
        <v>153</v>
      </c>
      <c r="O18" s="516"/>
      <c r="P18" s="523">
        <v>46.571428571428569</v>
      </c>
      <c r="Q18" s="514">
        <v>16</v>
      </c>
      <c r="R18" s="515" t="s">
        <v>151</v>
      </c>
      <c r="S18" s="516"/>
      <c r="T18" s="523" t="s">
        <v>140</v>
      </c>
      <c r="U18" s="519">
        <v>16</v>
      </c>
      <c r="V18" s="520" t="s">
        <v>152</v>
      </c>
      <c r="W18" s="521"/>
      <c r="X18" s="522" t="s">
        <v>140</v>
      </c>
      <c r="Y18" s="514">
        <v>16</v>
      </c>
      <c r="Z18" s="515" t="s">
        <v>155</v>
      </c>
      <c r="AA18" s="516"/>
      <c r="AB18" s="518" t="s">
        <v>140</v>
      </c>
      <c r="AC18" s="514">
        <v>16</v>
      </c>
      <c r="AD18" s="515" t="s">
        <v>155</v>
      </c>
      <c r="AE18" s="516"/>
      <c r="AF18" s="523" t="s">
        <v>140</v>
      </c>
      <c r="AG18" s="514">
        <v>16</v>
      </c>
      <c r="AH18" s="515" t="s">
        <v>156</v>
      </c>
      <c r="AI18" s="516"/>
      <c r="AJ18" s="518" t="s">
        <v>140</v>
      </c>
      <c r="AK18" s="519">
        <v>16</v>
      </c>
      <c r="AL18" s="520" t="s">
        <v>157</v>
      </c>
      <c r="AM18" s="521" t="s">
        <v>174</v>
      </c>
      <c r="AN18" s="522" t="s">
        <v>140</v>
      </c>
      <c r="AO18" s="514">
        <v>16</v>
      </c>
      <c r="AP18" s="515" t="s">
        <v>151</v>
      </c>
      <c r="AQ18" s="516"/>
      <c r="AR18" s="518" t="s">
        <v>140</v>
      </c>
      <c r="AS18" s="514">
        <v>16</v>
      </c>
      <c r="AT18" s="515" t="s">
        <v>156</v>
      </c>
      <c r="AU18" s="516"/>
      <c r="AV18" s="523" t="s">
        <v>140</v>
      </c>
    </row>
    <row r="19" spans="1:49">
      <c r="A19" s="514">
        <v>17</v>
      </c>
      <c r="B19" s="515" t="s">
        <v>153</v>
      </c>
      <c r="C19" s="516"/>
      <c r="D19" s="517">
        <v>33.571428571428569</v>
      </c>
      <c r="E19" s="514">
        <v>17</v>
      </c>
      <c r="F19" s="515" t="s">
        <v>154</v>
      </c>
      <c r="G19" s="516"/>
      <c r="H19" s="518" t="s">
        <v>140</v>
      </c>
      <c r="I19" s="519">
        <v>17</v>
      </c>
      <c r="J19" s="520" t="s">
        <v>152</v>
      </c>
      <c r="K19" s="521"/>
      <c r="L19" s="522" t="s">
        <v>140</v>
      </c>
      <c r="M19" s="514">
        <v>17</v>
      </c>
      <c r="N19" s="515" t="s">
        <v>155</v>
      </c>
      <c r="O19" s="516"/>
      <c r="P19" s="523" t="s">
        <v>140</v>
      </c>
      <c r="Q19" s="514">
        <v>17</v>
      </c>
      <c r="R19" s="515" t="s">
        <v>154</v>
      </c>
      <c r="S19" s="516"/>
      <c r="T19" s="523" t="s">
        <v>140</v>
      </c>
      <c r="U19" s="519">
        <v>17</v>
      </c>
      <c r="V19" s="520" t="s">
        <v>157</v>
      </c>
      <c r="W19" s="521"/>
      <c r="X19" s="522" t="s">
        <v>140</v>
      </c>
      <c r="Y19" s="514">
        <v>17</v>
      </c>
      <c r="Z19" s="515" t="s">
        <v>151</v>
      </c>
      <c r="AA19" s="516"/>
      <c r="AB19" s="518" t="s">
        <v>140</v>
      </c>
      <c r="AC19" s="514">
        <v>17</v>
      </c>
      <c r="AD19" s="515" t="s">
        <v>151</v>
      </c>
      <c r="AE19" s="516"/>
      <c r="AF19" s="523" t="s">
        <v>140</v>
      </c>
      <c r="AG19" s="519">
        <v>17</v>
      </c>
      <c r="AH19" s="520" t="s">
        <v>152</v>
      </c>
      <c r="AI19" s="521"/>
      <c r="AJ19" s="524" t="s">
        <v>140</v>
      </c>
      <c r="AK19" s="514">
        <v>17</v>
      </c>
      <c r="AL19" s="515" t="s">
        <v>153</v>
      </c>
      <c r="AM19" s="516" t="s">
        <v>520</v>
      </c>
      <c r="AN19" s="523">
        <v>20.428571428571427</v>
      </c>
      <c r="AO19" s="514">
        <v>17</v>
      </c>
      <c r="AP19" s="515" t="s">
        <v>154</v>
      </c>
      <c r="AQ19" s="516"/>
      <c r="AR19" s="518" t="s">
        <v>140</v>
      </c>
      <c r="AS19" s="519">
        <v>17</v>
      </c>
      <c r="AT19" s="520" t="s">
        <v>152</v>
      </c>
      <c r="AU19" s="521"/>
      <c r="AV19" s="522" t="s">
        <v>140</v>
      </c>
    </row>
    <row r="20" spans="1:49">
      <c r="A20" s="514">
        <v>18</v>
      </c>
      <c r="B20" s="515" t="s">
        <v>155</v>
      </c>
      <c r="C20" s="516"/>
      <c r="D20" s="517" t="s">
        <v>140</v>
      </c>
      <c r="E20" s="514">
        <v>18</v>
      </c>
      <c r="F20" s="515" t="s">
        <v>156</v>
      </c>
      <c r="G20" s="516"/>
      <c r="H20" s="518" t="s">
        <v>140</v>
      </c>
      <c r="I20" s="519">
        <v>18</v>
      </c>
      <c r="J20" s="520" t="s">
        <v>157</v>
      </c>
      <c r="K20" s="521"/>
      <c r="L20" s="522" t="s">
        <v>140</v>
      </c>
      <c r="M20" s="514">
        <v>18</v>
      </c>
      <c r="N20" s="515" t="s">
        <v>151</v>
      </c>
      <c r="O20" s="516"/>
      <c r="P20" s="523" t="s">
        <v>140</v>
      </c>
      <c r="Q20" s="514">
        <v>18</v>
      </c>
      <c r="R20" s="515" t="s">
        <v>156</v>
      </c>
      <c r="S20" s="516"/>
      <c r="T20" s="523" t="s">
        <v>140</v>
      </c>
      <c r="U20" s="514">
        <v>18</v>
      </c>
      <c r="V20" s="515" t="s">
        <v>153</v>
      </c>
      <c r="W20" s="516"/>
      <c r="X20" s="523">
        <v>3.4285714285714284</v>
      </c>
      <c r="Y20" s="514">
        <v>18</v>
      </c>
      <c r="Z20" s="515" t="s">
        <v>154</v>
      </c>
      <c r="AA20" s="516"/>
      <c r="AB20" s="518" t="s">
        <v>140</v>
      </c>
      <c r="AC20" s="514">
        <v>18</v>
      </c>
      <c r="AD20" s="515" t="s">
        <v>154</v>
      </c>
      <c r="AE20" s="516"/>
      <c r="AF20" s="523" t="s">
        <v>140</v>
      </c>
      <c r="AG20" s="519">
        <v>18</v>
      </c>
      <c r="AH20" s="520" t="s">
        <v>157</v>
      </c>
      <c r="AI20" s="521"/>
      <c r="AJ20" s="524" t="s">
        <v>140</v>
      </c>
      <c r="AK20" s="514">
        <v>18</v>
      </c>
      <c r="AL20" s="515" t="s">
        <v>155</v>
      </c>
      <c r="AM20" s="601"/>
      <c r="AN20" s="749" t="s">
        <v>140</v>
      </c>
      <c r="AO20" s="514">
        <v>18</v>
      </c>
      <c r="AP20" s="515" t="s">
        <v>156</v>
      </c>
      <c r="AQ20" s="516"/>
      <c r="AR20" s="518" t="s">
        <v>140</v>
      </c>
      <c r="AS20" s="519">
        <v>18</v>
      </c>
      <c r="AT20" s="533" t="s">
        <v>157</v>
      </c>
      <c r="AU20" s="521"/>
      <c r="AV20" s="522" t="s">
        <v>140</v>
      </c>
    </row>
    <row r="21" spans="1:49">
      <c r="A21" s="514">
        <v>19</v>
      </c>
      <c r="B21" s="515" t="s">
        <v>151</v>
      </c>
      <c r="C21" s="516"/>
      <c r="D21" s="526" t="s">
        <v>140</v>
      </c>
      <c r="E21" s="519">
        <v>19</v>
      </c>
      <c r="F21" s="520" t="s">
        <v>152</v>
      </c>
      <c r="G21" s="521"/>
      <c r="H21" s="524" t="s">
        <v>140</v>
      </c>
      <c r="I21" s="514">
        <v>19</v>
      </c>
      <c r="J21" s="515" t="s">
        <v>153</v>
      </c>
      <c r="K21" s="516"/>
      <c r="L21" s="523">
        <v>42.571428571428569</v>
      </c>
      <c r="M21" s="514">
        <v>19</v>
      </c>
      <c r="N21" s="515" t="s">
        <v>154</v>
      </c>
      <c r="O21" s="516"/>
      <c r="P21" s="523" t="s">
        <v>140</v>
      </c>
      <c r="Q21" s="519">
        <v>19</v>
      </c>
      <c r="R21" s="520" t="s">
        <v>152</v>
      </c>
      <c r="S21" s="521"/>
      <c r="T21" s="522" t="s">
        <v>140</v>
      </c>
      <c r="U21" s="514">
        <v>19</v>
      </c>
      <c r="V21" s="515" t="s">
        <v>155</v>
      </c>
      <c r="W21" s="516"/>
      <c r="X21" s="523" t="s">
        <v>140</v>
      </c>
      <c r="Y21" s="514">
        <v>19</v>
      </c>
      <c r="Z21" s="515" t="s">
        <v>156</v>
      </c>
      <c r="AA21" s="516"/>
      <c r="AB21" s="518" t="s">
        <v>140</v>
      </c>
      <c r="AC21" s="514">
        <v>19</v>
      </c>
      <c r="AD21" s="515" t="s">
        <v>156</v>
      </c>
      <c r="AE21" s="516"/>
      <c r="AF21" s="523" t="s">
        <v>140</v>
      </c>
      <c r="AG21" s="514">
        <v>19</v>
      </c>
      <c r="AH21" s="515" t="s">
        <v>153</v>
      </c>
      <c r="AI21" s="516"/>
      <c r="AJ21" s="518">
        <v>16.428571428571427</v>
      </c>
      <c r="AK21" s="514">
        <v>19</v>
      </c>
      <c r="AL21" s="515" t="s">
        <v>151</v>
      </c>
      <c r="AM21" s="516"/>
      <c r="AN21" s="523" t="s">
        <v>140</v>
      </c>
      <c r="AO21" s="519">
        <v>19</v>
      </c>
      <c r="AP21" s="520" t="s">
        <v>152</v>
      </c>
      <c r="AQ21" s="521"/>
      <c r="AR21" s="524" t="s">
        <v>140</v>
      </c>
      <c r="AS21" s="514">
        <v>19</v>
      </c>
      <c r="AT21" s="515" t="s">
        <v>153</v>
      </c>
      <c r="AU21" s="516"/>
      <c r="AV21" s="523">
        <v>29.428571428571427</v>
      </c>
    </row>
    <row r="22" spans="1:49">
      <c r="A22" s="514">
        <v>20</v>
      </c>
      <c r="B22" s="515" t="s">
        <v>154</v>
      </c>
      <c r="C22" s="516"/>
      <c r="D22" s="526" t="s">
        <v>140</v>
      </c>
      <c r="E22" s="519">
        <v>20</v>
      </c>
      <c r="F22" s="520" t="s">
        <v>157</v>
      </c>
      <c r="G22" s="521"/>
      <c r="H22" s="524" t="s">
        <v>140</v>
      </c>
      <c r="I22" s="514">
        <v>20</v>
      </c>
      <c r="J22" s="515" t="s">
        <v>155</v>
      </c>
      <c r="K22" s="516"/>
      <c r="L22" s="523" t="s">
        <v>140</v>
      </c>
      <c r="M22" s="514">
        <v>20</v>
      </c>
      <c r="N22" s="515" t="s">
        <v>156</v>
      </c>
      <c r="O22" s="516"/>
      <c r="P22" s="523" t="s">
        <v>140</v>
      </c>
      <c r="Q22" s="519">
        <v>20</v>
      </c>
      <c r="R22" s="520" t="s">
        <v>157</v>
      </c>
      <c r="S22" s="521"/>
      <c r="T22" s="522" t="s">
        <v>140</v>
      </c>
      <c r="U22" s="514">
        <v>20</v>
      </c>
      <c r="V22" s="515" t="s">
        <v>151</v>
      </c>
      <c r="W22" s="516"/>
      <c r="X22" s="523" t="s">
        <v>140</v>
      </c>
      <c r="Y22" s="519">
        <v>20</v>
      </c>
      <c r="Z22" s="520" t="s">
        <v>152</v>
      </c>
      <c r="AA22" s="521"/>
      <c r="AB22" s="524" t="s">
        <v>140</v>
      </c>
      <c r="AC22" s="519">
        <v>20</v>
      </c>
      <c r="AD22" s="520" t="s">
        <v>152</v>
      </c>
      <c r="AE22" s="521"/>
      <c r="AF22" s="522" t="s">
        <v>140</v>
      </c>
      <c r="AG22" s="514">
        <v>20</v>
      </c>
      <c r="AH22" s="515" t="s">
        <v>155</v>
      </c>
      <c r="AI22" s="516"/>
      <c r="AJ22" s="518" t="s">
        <v>140</v>
      </c>
      <c r="AK22" s="514">
        <v>20</v>
      </c>
      <c r="AL22" s="515" t="s">
        <v>154</v>
      </c>
      <c r="AM22" s="516"/>
      <c r="AN22" s="523" t="s">
        <v>140</v>
      </c>
      <c r="AO22" s="519">
        <v>20</v>
      </c>
      <c r="AP22" s="533" t="s">
        <v>157</v>
      </c>
      <c r="AQ22" s="521"/>
      <c r="AR22" s="524" t="s">
        <v>140</v>
      </c>
      <c r="AS22" s="514">
        <v>20</v>
      </c>
      <c r="AT22" s="515" t="s">
        <v>155</v>
      </c>
      <c r="AU22" s="516"/>
      <c r="AV22" s="523" t="s">
        <v>140</v>
      </c>
    </row>
    <row r="23" spans="1:49">
      <c r="A23" s="514">
        <v>21</v>
      </c>
      <c r="B23" s="515" t="s">
        <v>156</v>
      </c>
      <c r="C23" s="516"/>
      <c r="D23" s="526" t="s">
        <v>140</v>
      </c>
      <c r="E23" s="514">
        <v>21</v>
      </c>
      <c r="F23" s="515" t="s">
        <v>153</v>
      </c>
      <c r="G23" s="516"/>
      <c r="H23" s="518">
        <v>38.571428571428569</v>
      </c>
      <c r="I23" s="514">
        <v>21</v>
      </c>
      <c r="J23" s="515" t="s">
        <v>151</v>
      </c>
      <c r="K23" s="516"/>
      <c r="L23" s="523" t="s">
        <v>140</v>
      </c>
      <c r="M23" s="519">
        <v>21</v>
      </c>
      <c r="N23" s="520" t="s">
        <v>152</v>
      </c>
      <c r="O23" s="521"/>
      <c r="P23" s="522" t="s">
        <v>140</v>
      </c>
      <c r="Q23" s="514">
        <v>21</v>
      </c>
      <c r="R23" s="515" t="s">
        <v>153</v>
      </c>
      <c r="S23" s="516"/>
      <c r="T23" s="523">
        <v>51.571428571428569</v>
      </c>
      <c r="U23" s="514">
        <v>21</v>
      </c>
      <c r="V23" s="515" t="s">
        <v>154</v>
      </c>
      <c r="W23" s="516"/>
      <c r="X23" s="523" t="s">
        <v>140</v>
      </c>
      <c r="Y23" s="519">
        <v>21</v>
      </c>
      <c r="Z23" s="520" t="s">
        <v>157</v>
      </c>
      <c r="AA23" s="521"/>
      <c r="AB23" s="524" t="s">
        <v>140</v>
      </c>
      <c r="AC23" s="519">
        <v>21</v>
      </c>
      <c r="AD23" s="520" t="s">
        <v>157</v>
      </c>
      <c r="AE23" s="521" t="s">
        <v>173</v>
      </c>
      <c r="AF23" s="522" t="s">
        <v>140</v>
      </c>
      <c r="AG23" s="514">
        <v>21</v>
      </c>
      <c r="AH23" s="515" t="s">
        <v>151</v>
      </c>
      <c r="AI23" s="516"/>
      <c r="AJ23" s="518" t="s">
        <v>140</v>
      </c>
      <c r="AK23" s="514">
        <v>21</v>
      </c>
      <c r="AL23" s="515" t="s">
        <v>156</v>
      </c>
      <c r="AM23" s="516"/>
      <c r="AN23" s="523" t="s">
        <v>140</v>
      </c>
      <c r="AO23" s="514">
        <v>21</v>
      </c>
      <c r="AP23" s="515" t="s">
        <v>153</v>
      </c>
      <c r="AQ23" s="516"/>
      <c r="AR23" s="518">
        <v>25.428571428571427</v>
      </c>
      <c r="AS23" s="514">
        <v>21</v>
      </c>
      <c r="AT23" s="529" t="s">
        <v>151</v>
      </c>
      <c r="AU23" s="516"/>
      <c r="AV23" s="523" t="s">
        <v>140</v>
      </c>
      <c r="AW23" s="4"/>
    </row>
    <row r="24" spans="1:49">
      <c r="A24" s="519">
        <v>22</v>
      </c>
      <c r="B24" s="520" t="s">
        <v>152</v>
      </c>
      <c r="C24" s="521"/>
      <c r="D24" s="525" t="s">
        <v>140</v>
      </c>
      <c r="E24" s="514">
        <v>22</v>
      </c>
      <c r="F24" s="515" t="s">
        <v>155</v>
      </c>
      <c r="G24" s="516"/>
      <c r="H24" s="518" t="s">
        <v>140</v>
      </c>
      <c r="I24" s="514">
        <v>22</v>
      </c>
      <c r="J24" s="515" t="s">
        <v>154</v>
      </c>
      <c r="K24" s="516"/>
      <c r="L24" s="523" t="s">
        <v>140</v>
      </c>
      <c r="M24" s="519">
        <v>22</v>
      </c>
      <c r="N24" s="520" t="s">
        <v>157</v>
      </c>
      <c r="O24" s="521"/>
      <c r="P24" s="522" t="s">
        <v>140</v>
      </c>
      <c r="Q24" s="514">
        <v>22</v>
      </c>
      <c r="R24" s="515" t="s">
        <v>155</v>
      </c>
      <c r="S24" s="516"/>
      <c r="T24" s="523" t="s">
        <v>140</v>
      </c>
      <c r="U24" s="514">
        <v>22</v>
      </c>
      <c r="V24" s="515" t="s">
        <v>156</v>
      </c>
      <c r="W24" s="516"/>
      <c r="X24" s="523" t="s">
        <v>140</v>
      </c>
      <c r="Y24" s="514">
        <v>22</v>
      </c>
      <c r="Z24" s="515" t="s">
        <v>153</v>
      </c>
      <c r="AA24" s="516"/>
      <c r="AB24" s="518">
        <v>8.4285714285714288</v>
      </c>
      <c r="AC24" s="514">
        <v>22</v>
      </c>
      <c r="AD24" s="515" t="s">
        <v>153</v>
      </c>
      <c r="AE24" s="516"/>
      <c r="AF24" s="523">
        <v>12.428571428571429</v>
      </c>
      <c r="AG24" s="514">
        <v>22</v>
      </c>
      <c r="AH24" s="515" t="s">
        <v>154</v>
      </c>
      <c r="AI24" s="516"/>
      <c r="AJ24" s="518" t="s">
        <v>140</v>
      </c>
      <c r="AK24" s="519">
        <v>22</v>
      </c>
      <c r="AL24" s="520" t="s">
        <v>152</v>
      </c>
      <c r="AM24" s="521"/>
      <c r="AN24" s="522" t="s">
        <v>140</v>
      </c>
      <c r="AO24" s="514">
        <v>22</v>
      </c>
      <c r="AP24" s="515" t="s">
        <v>155</v>
      </c>
      <c r="AQ24" s="516"/>
      <c r="AR24" s="518" t="s">
        <v>140</v>
      </c>
      <c r="AS24" s="514">
        <v>22</v>
      </c>
      <c r="AT24" s="515" t="s">
        <v>154</v>
      </c>
      <c r="AU24" s="516"/>
      <c r="AV24" s="523" t="s">
        <v>140</v>
      </c>
      <c r="AW24" s="4"/>
    </row>
    <row r="25" spans="1:49">
      <c r="A25" s="519">
        <v>23</v>
      </c>
      <c r="B25" s="520" t="s">
        <v>157</v>
      </c>
      <c r="C25" s="521"/>
      <c r="D25" s="525" t="s">
        <v>140</v>
      </c>
      <c r="E25" s="514">
        <v>23</v>
      </c>
      <c r="F25" s="515" t="s">
        <v>151</v>
      </c>
      <c r="G25" s="516"/>
      <c r="H25" s="518" t="s">
        <v>140</v>
      </c>
      <c r="I25" s="514">
        <v>23</v>
      </c>
      <c r="J25" s="515" t="s">
        <v>156</v>
      </c>
      <c r="K25" s="516"/>
      <c r="L25" s="523" t="s">
        <v>140</v>
      </c>
      <c r="M25" s="514">
        <v>23</v>
      </c>
      <c r="N25" s="515" t="s">
        <v>153</v>
      </c>
      <c r="O25" s="516"/>
      <c r="P25" s="523">
        <v>47.571428571428569</v>
      </c>
      <c r="Q25" s="514">
        <v>23</v>
      </c>
      <c r="R25" s="515" t="s">
        <v>151</v>
      </c>
      <c r="S25" s="516"/>
      <c r="T25" s="523" t="s">
        <v>140</v>
      </c>
      <c r="U25" s="519">
        <v>23</v>
      </c>
      <c r="V25" s="520" t="s">
        <v>152</v>
      </c>
      <c r="W25" s="521"/>
      <c r="X25" s="522" t="s">
        <v>140</v>
      </c>
      <c r="Y25" s="514">
        <v>23</v>
      </c>
      <c r="Z25" s="515" t="s">
        <v>155</v>
      </c>
      <c r="AA25" s="516"/>
      <c r="AB25" s="518" t="s">
        <v>140</v>
      </c>
      <c r="AC25" s="514">
        <v>23</v>
      </c>
      <c r="AD25" s="515" t="s">
        <v>155</v>
      </c>
      <c r="AE25" s="516"/>
      <c r="AF25" s="523" t="s">
        <v>140</v>
      </c>
      <c r="AG25" s="514">
        <v>23</v>
      </c>
      <c r="AH25" s="515" t="s">
        <v>156</v>
      </c>
      <c r="AI25" s="516"/>
      <c r="AJ25" s="518" t="s">
        <v>140</v>
      </c>
      <c r="AK25" s="519">
        <v>23</v>
      </c>
      <c r="AL25" s="533" t="s">
        <v>157</v>
      </c>
      <c r="AM25" s="521"/>
      <c r="AN25" s="522" t="s">
        <v>140</v>
      </c>
      <c r="AO25" s="514">
        <v>23</v>
      </c>
      <c r="AP25" s="529" t="s">
        <v>151</v>
      </c>
      <c r="AQ25" s="516"/>
      <c r="AR25" s="518" t="s">
        <v>140</v>
      </c>
      <c r="AS25" s="514">
        <v>23</v>
      </c>
      <c r="AT25" s="515" t="s">
        <v>156</v>
      </c>
      <c r="AU25" s="516"/>
      <c r="AV25" s="523" t="s">
        <v>140</v>
      </c>
    </row>
    <row r="26" spans="1:49">
      <c r="A26" s="514">
        <v>24</v>
      </c>
      <c r="B26" s="515" t="s">
        <v>153</v>
      </c>
      <c r="C26" s="516"/>
      <c r="D26" s="526">
        <v>34.571428571428569</v>
      </c>
      <c r="E26" s="514">
        <v>24</v>
      </c>
      <c r="F26" s="515" t="s">
        <v>154</v>
      </c>
      <c r="G26" s="516"/>
      <c r="H26" s="518" t="s">
        <v>140</v>
      </c>
      <c r="I26" s="519">
        <v>24</v>
      </c>
      <c r="J26" s="520" t="s">
        <v>152</v>
      </c>
      <c r="K26" s="521"/>
      <c r="L26" s="522" t="s">
        <v>140</v>
      </c>
      <c r="M26" s="514">
        <v>24</v>
      </c>
      <c r="N26" s="515" t="s">
        <v>155</v>
      </c>
      <c r="O26" s="516"/>
      <c r="P26" s="523" t="s">
        <v>140</v>
      </c>
      <c r="Q26" s="514">
        <v>24</v>
      </c>
      <c r="R26" s="515" t="s">
        <v>154</v>
      </c>
      <c r="S26" s="516" t="s">
        <v>128</v>
      </c>
      <c r="T26" s="523" t="s">
        <v>140</v>
      </c>
      <c r="U26" s="519">
        <v>24</v>
      </c>
      <c r="V26" s="520" t="s">
        <v>157</v>
      </c>
      <c r="W26" s="521"/>
      <c r="X26" s="522" t="s">
        <v>140</v>
      </c>
      <c r="Y26" s="514">
        <v>24</v>
      </c>
      <c r="Z26" s="515" t="s">
        <v>151</v>
      </c>
      <c r="AA26" s="516"/>
      <c r="AB26" s="518" t="s">
        <v>140</v>
      </c>
      <c r="AC26" s="514">
        <v>24</v>
      </c>
      <c r="AD26" s="515" t="s">
        <v>151</v>
      </c>
      <c r="AE26" s="516"/>
      <c r="AF26" s="523" t="s">
        <v>140</v>
      </c>
      <c r="AG26" s="519">
        <v>24</v>
      </c>
      <c r="AH26" s="520" t="s">
        <v>152</v>
      </c>
      <c r="AI26" s="521"/>
      <c r="AJ26" s="524" t="s">
        <v>140</v>
      </c>
      <c r="AK26" s="514">
        <v>24</v>
      </c>
      <c r="AL26" s="515" t="s">
        <v>153</v>
      </c>
      <c r="AM26" s="516"/>
      <c r="AN26" s="523">
        <v>21.428571428571427</v>
      </c>
      <c r="AO26" s="514">
        <v>24</v>
      </c>
      <c r="AP26" s="515" t="s">
        <v>154</v>
      </c>
      <c r="AQ26" s="516"/>
      <c r="AR26" s="518" t="s">
        <v>140</v>
      </c>
      <c r="AS26" s="519">
        <v>24</v>
      </c>
      <c r="AT26" s="520" t="s">
        <v>152</v>
      </c>
      <c r="AU26" s="521"/>
      <c r="AV26" s="522" t="s">
        <v>140</v>
      </c>
    </row>
    <row r="27" spans="1:49">
      <c r="A27" s="514">
        <v>25</v>
      </c>
      <c r="B27" s="515" t="s">
        <v>155</v>
      </c>
      <c r="C27" s="516"/>
      <c r="D27" s="526" t="s">
        <v>140</v>
      </c>
      <c r="E27" s="514">
        <v>25</v>
      </c>
      <c r="F27" s="515" t="s">
        <v>156</v>
      </c>
      <c r="G27" s="516"/>
      <c r="H27" s="518" t="s">
        <v>140</v>
      </c>
      <c r="I27" s="519">
        <v>25</v>
      </c>
      <c r="J27" s="520" t="s">
        <v>157</v>
      </c>
      <c r="K27" s="521"/>
      <c r="L27" s="522" t="s">
        <v>140</v>
      </c>
      <c r="M27" s="514">
        <v>25</v>
      </c>
      <c r="N27" s="515" t="s">
        <v>151</v>
      </c>
      <c r="O27" s="516"/>
      <c r="P27" s="523" t="s">
        <v>140</v>
      </c>
      <c r="Q27" s="514">
        <v>25</v>
      </c>
      <c r="R27" s="515" t="s">
        <v>156</v>
      </c>
      <c r="S27" s="516" t="s">
        <v>313</v>
      </c>
      <c r="T27" s="523" t="s">
        <v>140</v>
      </c>
      <c r="U27" s="514">
        <v>25</v>
      </c>
      <c r="V27" s="515" t="s">
        <v>153</v>
      </c>
      <c r="W27" s="516"/>
      <c r="X27" s="523">
        <v>4.4285714285714288</v>
      </c>
      <c r="Y27" s="514">
        <v>25</v>
      </c>
      <c r="Z27" s="515" t="s">
        <v>154</v>
      </c>
      <c r="AA27" s="516"/>
      <c r="AB27" s="518" t="s">
        <v>140</v>
      </c>
      <c r="AC27" s="514">
        <v>25</v>
      </c>
      <c r="AD27" s="515" t="s">
        <v>154</v>
      </c>
      <c r="AE27" s="516" t="s">
        <v>104</v>
      </c>
      <c r="AF27" s="523" t="s">
        <v>140</v>
      </c>
      <c r="AG27" s="519">
        <v>25</v>
      </c>
      <c r="AH27" s="533" t="s">
        <v>157</v>
      </c>
      <c r="AI27" s="521"/>
      <c r="AJ27" s="524" t="s">
        <v>140</v>
      </c>
      <c r="AK27" s="514">
        <v>25</v>
      </c>
      <c r="AL27" s="515" t="s">
        <v>155</v>
      </c>
      <c r="AM27" s="516"/>
      <c r="AN27" s="523" t="s">
        <v>140</v>
      </c>
      <c r="AO27" s="514">
        <v>25</v>
      </c>
      <c r="AP27" s="515" t="s">
        <v>156</v>
      </c>
      <c r="AQ27" s="516"/>
      <c r="AR27" s="518" t="s">
        <v>140</v>
      </c>
      <c r="AS27" s="519">
        <v>25</v>
      </c>
      <c r="AT27" s="520" t="s">
        <v>157</v>
      </c>
      <c r="AU27" s="521"/>
      <c r="AV27" s="522" t="s">
        <v>140</v>
      </c>
    </row>
    <row r="28" spans="1:49">
      <c r="A28" s="514">
        <v>26</v>
      </c>
      <c r="B28" s="515" t="s">
        <v>151</v>
      </c>
      <c r="C28" s="516"/>
      <c r="D28" s="526" t="s">
        <v>140</v>
      </c>
      <c r="E28" s="519">
        <v>26</v>
      </c>
      <c r="F28" s="520" t="s">
        <v>152</v>
      </c>
      <c r="G28" s="521"/>
      <c r="H28" s="524" t="s">
        <v>140</v>
      </c>
      <c r="I28" s="514">
        <v>26</v>
      </c>
      <c r="J28" s="515" t="s">
        <v>153</v>
      </c>
      <c r="K28" s="516"/>
      <c r="L28" s="523">
        <v>43.571428571428569</v>
      </c>
      <c r="M28" s="514">
        <v>26</v>
      </c>
      <c r="N28" s="515" t="s">
        <v>154</v>
      </c>
      <c r="O28" s="516"/>
      <c r="P28" s="523" t="s">
        <v>140</v>
      </c>
      <c r="Q28" s="519">
        <v>26</v>
      </c>
      <c r="R28" s="520" t="s">
        <v>152</v>
      </c>
      <c r="S28" s="521" t="s">
        <v>96</v>
      </c>
      <c r="T28" s="522" t="s">
        <v>140</v>
      </c>
      <c r="U28" s="514">
        <v>26</v>
      </c>
      <c r="V28" s="515" t="s">
        <v>155</v>
      </c>
      <c r="W28" s="516"/>
      <c r="X28" s="523" t="s">
        <v>140</v>
      </c>
      <c r="Y28" s="514">
        <v>26</v>
      </c>
      <c r="Z28" s="515" t="s">
        <v>156</v>
      </c>
      <c r="AA28" s="516"/>
      <c r="AB28" s="518" t="s">
        <v>140</v>
      </c>
      <c r="AC28" s="514">
        <v>26</v>
      </c>
      <c r="AD28" s="515" t="s">
        <v>156</v>
      </c>
      <c r="AE28" s="516" t="s">
        <v>165</v>
      </c>
      <c r="AF28" s="523" t="s">
        <v>140</v>
      </c>
      <c r="AG28" s="514">
        <v>26</v>
      </c>
      <c r="AH28" s="515" t="s">
        <v>153</v>
      </c>
      <c r="AI28" s="516"/>
      <c r="AJ28" s="518">
        <v>17.428571428571427</v>
      </c>
      <c r="AK28" s="514">
        <v>26</v>
      </c>
      <c r="AL28" s="529" t="s">
        <v>151</v>
      </c>
      <c r="AM28" s="516"/>
      <c r="AN28" s="523" t="s">
        <v>140</v>
      </c>
      <c r="AO28" s="519">
        <v>26</v>
      </c>
      <c r="AP28" s="520" t="s">
        <v>152</v>
      </c>
      <c r="AQ28" s="521"/>
      <c r="AR28" s="524" t="s">
        <v>140</v>
      </c>
      <c r="AS28" s="514">
        <v>26</v>
      </c>
      <c r="AT28" s="529" t="s">
        <v>153</v>
      </c>
      <c r="AU28" s="516"/>
      <c r="AV28" s="523">
        <v>30.428571428571427</v>
      </c>
    </row>
    <row r="29" spans="1:49">
      <c r="A29" s="514">
        <v>27</v>
      </c>
      <c r="B29" s="515" t="s">
        <v>154</v>
      </c>
      <c r="C29" s="516"/>
      <c r="D29" s="526" t="s">
        <v>140</v>
      </c>
      <c r="E29" s="519">
        <v>27</v>
      </c>
      <c r="F29" s="520" t="s">
        <v>157</v>
      </c>
      <c r="G29" s="521"/>
      <c r="H29" s="524" t="s">
        <v>140</v>
      </c>
      <c r="I29" s="514">
        <v>27</v>
      </c>
      <c r="J29" s="515" t="s">
        <v>155</v>
      </c>
      <c r="K29" s="516"/>
      <c r="L29" s="523" t="s">
        <v>140</v>
      </c>
      <c r="M29" s="514">
        <v>27</v>
      </c>
      <c r="N29" s="515" t="s">
        <v>156</v>
      </c>
      <c r="O29" s="516"/>
      <c r="P29" s="523" t="s">
        <v>140</v>
      </c>
      <c r="Q29" s="519">
        <v>27</v>
      </c>
      <c r="R29" s="520" t="s">
        <v>157</v>
      </c>
      <c r="S29" s="521"/>
      <c r="T29" s="522" t="s">
        <v>140</v>
      </c>
      <c r="U29" s="514">
        <v>27</v>
      </c>
      <c r="V29" s="515" t="s">
        <v>151</v>
      </c>
      <c r="W29" s="516"/>
      <c r="X29" s="523" t="s">
        <v>140</v>
      </c>
      <c r="Y29" s="519">
        <v>27</v>
      </c>
      <c r="Z29" s="520" t="s">
        <v>152</v>
      </c>
      <c r="AA29" s="521"/>
      <c r="AB29" s="524" t="s">
        <v>140</v>
      </c>
      <c r="AC29" s="519">
        <v>27</v>
      </c>
      <c r="AD29" s="520" t="s">
        <v>152</v>
      </c>
      <c r="AE29" s="521"/>
      <c r="AF29" s="522" t="s">
        <v>140</v>
      </c>
      <c r="AG29" s="514">
        <v>27</v>
      </c>
      <c r="AH29" s="515" t="s">
        <v>155</v>
      </c>
      <c r="AI29" s="516"/>
      <c r="AJ29" s="518" t="s">
        <v>140</v>
      </c>
      <c r="AK29" s="514">
        <v>27</v>
      </c>
      <c r="AL29" s="515" t="s">
        <v>154</v>
      </c>
      <c r="AM29" s="516"/>
      <c r="AN29" s="523" t="s">
        <v>140</v>
      </c>
      <c r="AO29" s="519">
        <v>27</v>
      </c>
      <c r="AP29" s="520" t="s">
        <v>157</v>
      </c>
      <c r="AQ29" s="521"/>
      <c r="AR29" s="524" t="s">
        <v>140</v>
      </c>
      <c r="AS29" s="514">
        <v>27</v>
      </c>
      <c r="AT29" s="515" t="s">
        <v>155</v>
      </c>
      <c r="AU29" s="516"/>
      <c r="AV29" s="523" t="s">
        <v>140</v>
      </c>
    </row>
    <row r="30" spans="1:49">
      <c r="A30" s="514">
        <v>28</v>
      </c>
      <c r="B30" s="515" t="s">
        <v>156</v>
      </c>
      <c r="C30" s="516"/>
      <c r="D30" s="526" t="s">
        <v>140</v>
      </c>
      <c r="E30" s="514">
        <v>28</v>
      </c>
      <c r="F30" s="515" t="s">
        <v>153</v>
      </c>
      <c r="G30" s="516"/>
      <c r="H30" s="518">
        <v>39.571428571428569</v>
      </c>
      <c r="I30" s="514">
        <v>28</v>
      </c>
      <c r="J30" s="515" t="s">
        <v>151</v>
      </c>
      <c r="K30" s="516"/>
      <c r="L30" s="523" t="s">
        <v>140</v>
      </c>
      <c r="M30" s="519">
        <v>28</v>
      </c>
      <c r="N30" s="520" t="s">
        <v>152</v>
      </c>
      <c r="O30" s="521"/>
      <c r="P30" s="522" t="s">
        <v>140</v>
      </c>
      <c r="Q30" s="514">
        <v>28</v>
      </c>
      <c r="R30" s="515" t="s">
        <v>153</v>
      </c>
      <c r="S30" s="516"/>
      <c r="T30" s="523">
        <v>52.571428571428569</v>
      </c>
      <c r="U30" s="514">
        <v>28</v>
      </c>
      <c r="V30" s="515" t="s">
        <v>154</v>
      </c>
      <c r="W30" s="516"/>
      <c r="X30" s="523" t="s">
        <v>140</v>
      </c>
      <c r="Y30" s="519">
        <v>28</v>
      </c>
      <c r="Z30" s="533" t="s">
        <v>157</v>
      </c>
      <c r="AA30" s="521"/>
      <c r="AB30" s="522" t="s">
        <v>140</v>
      </c>
      <c r="AC30" s="519">
        <v>28</v>
      </c>
      <c r="AD30" s="533" t="s">
        <v>157</v>
      </c>
      <c r="AE30" s="521" t="s">
        <v>717</v>
      </c>
      <c r="AF30" s="522" t="s">
        <v>140</v>
      </c>
      <c r="AG30" s="514">
        <v>28</v>
      </c>
      <c r="AH30" s="529" t="s">
        <v>151</v>
      </c>
      <c r="AI30" s="516"/>
      <c r="AJ30" s="518" t="s">
        <v>140</v>
      </c>
      <c r="AK30" s="514">
        <v>28</v>
      </c>
      <c r="AL30" s="515" t="s">
        <v>156</v>
      </c>
      <c r="AM30" s="516"/>
      <c r="AN30" s="523" t="s">
        <v>140</v>
      </c>
      <c r="AO30" s="514">
        <v>28</v>
      </c>
      <c r="AP30" s="529" t="s">
        <v>153</v>
      </c>
      <c r="AQ30" s="516"/>
      <c r="AR30" s="518">
        <v>26.428571428571427</v>
      </c>
      <c r="AS30" s="514">
        <v>28</v>
      </c>
      <c r="AT30" s="515" t="s">
        <v>151</v>
      </c>
      <c r="AU30" s="516"/>
      <c r="AV30" s="523" t="s">
        <v>140</v>
      </c>
    </row>
    <row r="31" spans="1:49">
      <c r="A31" s="519">
        <v>29</v>
      </c>
      <c r="B31" s="520" t="s">
        <v>152</v>
      </c>
      <c r="C31" s="521"/>
      <c r="D31" s="600" t="s">
        <v>140</v>
      </c>
      <c r="E31" s="514">
        <v>29</v>
      </c>
      <c r="F31" s="515" t="s">
        <v>155</v>
      </c>
      <c r="G31" s="516"/>
      <c r="H31" s="518" t="s">
        <v>140</v>
      </c>
      <c r="I31" s="514">
        <v>29</v>
      </c>
      <c r="J31" s="515" t="s">
        <v>154</v>
      </c>
      <c r="K31" s="516"/>
      <c r="L31" s="523" t="s">
        <v>140</v>
      </c>
      <c r="M31" s="519">
        <v>29</v>
      </c>
      <c r="N31" s="520" t="s">
        <v>157</v>
      </c>
      <c r="O31" s="521"/>
      <c r="P31" s="522" t="s">
        <v>140</v>
      </c>
      <c r="Q31" s="514">
        <v>29</v>
      </c>
      <c r="R31" s="515" t="s">
        <v>155</v>
      </c>
      <c r="S31" s="516"/>
      <c r="T31" s="523" t="s">
        <v>140</v>
      </c>
      <c r="U31" s="514">
        <v>29</v>
      </c>
      <c r="V31" s="515" t="s">
        <v>156</v>
      </c>
      <c r="W31" s="516"/>
      <c r="X31" s="523" t="s">
        <v>140</v>
      </c>
      <c r="Y31" s="194"/>
      <c r="Z31" s="195"/>
      <c r="AA31" s="196"/>
      <c r="AB31" s="205"/>
      <c r="AC31" s="514">
        <v>29</v>
      </c>
      <c r="AD31" s="515" t="s">
        <v>153</v>
      </c>
      <c r="AE31" s="516" t="s">
        <v>675</v>
      </c>
      <c r="AF31" s="523">
        <v>13.428571428571429</v>
      </c>
      <c r="AG31" s="514">
        <v>29</v>
      </c>
      <c r="AH31" s="515" t="s">
        <v>154</v>
      </c>
      <c r="AI31" s="516"/>
      <c r="AJ31" s="518" t="s">
        <v>140</v>
      </c>
      <c r="AK31" s="519">
        <v>29</v>
      </c>
      <c r="AL31" s="520" t="s">
        <v>152</v>
      </c>
      <c r="AM31" s="521"/>
      <c r="AN31" s="522" t="s">
        <v>140</v>
      </c>
      <c r="AO31" s="514">
        <v>29</v>
      </c>
      <c r="AP31" s="515" t="s">
        <v>155</v>
      </c>
      <c r="AQ31" s="516"/>
      <c r="AR31" s="518" t="s">
        <v>140</v>
      </c>
      <c r="AS31" s="514">
        <v>29</v>
      </c>
      <c r="AT31" s="515" t="s">
        <v>154</v>
      </c>
      <c r="AU31" s="516"/>
      <c r="AV31" s="523" t="s">
        <v>140</v>
      </c>
    </row>
    <row r="32" spans="1:49">
      <c r="A32" s="519">
        <v>30</v>
      </c>
      <c r="B32" s="520" t="s">
        <v>157</v>
      </c>
      <c r="C32" s="521"/>
      <c r="D32" s="600" t="s">
        <v>140</v>
      </c>
      <c r="E32" s="514">
        <v>30</v>
      </c>
      <c r="F32" s="515" t="s">
        <v>151</v>
      </c>
      <c r="G32" s="516"/>
      <c r="H32" s="518" t="s">
        <v>140</v>
      </c>
      <c r="I32" s="514">
        <v>30</v>
      </c>
      <c r="J32" s="515" t="s">
        <v>156</v>
      </c>
      <c r="K32" s="516"/>
      <c r="L32" s="523" t="s">
        <v>140</v>
      </c>
      <c r="M32" s="514">
        <v>30</v>
      </c>
      <c r="N32" s="515" t="s">
        <v>153</v>
      </c>
      <c r="O32" s="516"/>
      <c r="P32" s="523">
        <v>48.571428571428569</v>
      </c>
      <c r="Q32" s="514">
        <v>30</v>
      </c>
      <c r="R32" s="515" t="s">
        <v>151</v>
      </c>
      <c r="S32" s="516"/>
      <c r="T32" s="523"/>
      <c r="U32" s="519">
        <v>30</v>
      </c>
      <c r="V32" s="520" t="s">
        <v>152</v>
      </c>
      <c r="W32" s="521"/>
      <c r="X32" s="522" t="s">
        <v>140</v>
      </c>
      <c r="Y32" s="201"/>
      <c r="Z32" s="202"/>
      <c r="AA32" s="203"/>
      <c r="AB32" s="204"/>
      <c r="AC32" s="514">
        <v>30</v>
      </c>
      <c r="AD32" s="515" t="s">
        <v>155</v>
      </c>
      <c r="AE32" s="516"/>
      <c r="AF32" s="523" t="s">
        <v>140</v>
      </c>
      <c r="AG32" s="514">
        <v>30</v>
      </c>
      <c r="AH32" s="515" t="s">
        <v>156</v>
      </c>
      <c r="AI32" s="516"/>
      <c r="AJ32" s="518" t="s">
        <v>140</v>
      </c>
      <c r="AK32" s="519">
        <v>30</v>
      </c>
      <c r="AL32" s="520" t="s">
        <v>157</v>
      </c>
      <c r="AM32" s="521"/>
      <c r="AN32" s="522" t="s">
        <v>140</v>
      </c>
      <c r="AO32" s="514">
        <v>30</v>
      </c>
      <c r="AP32" s="515" t="s">
        <v>151</v>
      </c>
      <c r="AQ32" s="516"/>
      <c r="AR32" s="518" t="s">
        <v>140</v>
      </c>
      <c r="AS32" s="514">
        <v>30</v>
      </c>
      <c r="AT32" s="515" t="s">
        <v>156</v>
      </c>
      <c r="AU32" s="516"/>
      <c r="AV32" s="523" t="s">
        <v>140</v>
      </c>
    </row>
    <row r="33" spans="1:48">
      <c r="A33" s="514">
        <v>31</v>
      </c>
      <c r="B33" s="515" t="s">
        <v>153</v>
      </c>
      <c r="C33" s="516"/>
      <c r="D33" s="517">
        <v>35.571428571428569</v>
      </c>
      <c r="E33" s="201"/>
      <c r="F33" s="202"/>
      <c r="G33" s="203"/>
      <c r="H33" s="527"/>
      <c r="I33" s="532">
        <v>31</v>
      </c>
      <c r="J33" s="533" t="s">
        <v>152</v>
      </c>
      <c r="K33" s="535"/>
      <c r="L33" s="534" t="s">
        <v>140</v>
      </c>
      <c r="M33" s="201"/>
      <c r="N33" s="202"/>
      <c r="O33" s="203"/>
      <c r="P33" s="204"/>
      <c r="Q33" s="528">
        <v>31</v>
      </c>
      <c r="R33" s="529" t="s">
        <v>154</v>
      </c>
      <c r="S33" s="602" t="s">
        <v>127</v>
      </c>
      <c r="T33" s="531" t="s">
        <v>140</v>
      </c>
      <c r="U33" s="532">
        <v>31</v>
      </c>
      <c r="V33" s="533" t="s">
        <v>157</v>
      </c>
      <c r="W33" s="535"/>
      <c r="X33" s="534" t="s">
        <v>140</v>
      </c>
      <c r="Y33" s="4"/>
      <c r="Z33" s="4"/>
      <c r="AA33" s="4"/>
      <c r="AB33" s="4"/>
      <c r="AC33" s="528">
        <v>31</v>
      </c>
      <c r="AD33" s="529" t="s">
        <v>151</v>
      </c>
      <c r="AE33" s="530"/>
      <c r="AF33" s="531" t="s">
        <v>140</v>
      </c>
      <c r="AG33" s="201"/>
      <c r="AH33" s="202"/>
      <c r="AI33" s="203"/>
      <c r="AJ33" s="204"/>
      <c r="AK33" s="528">
        <v>31</v>
      </c>
      <c r="AL33" s="529" t="s">
        <v>153</v>
      </c>
      <c r="AM33" s="530"/>
      <c r="AN33" s="531">
        <v>22.428571428571427</v>
      </c>
      <c r="AO33" s="201"/>
      <c r="AP33" s="202"/>
      <c r="AQ33" s="203"/>
      <c r="AR33" s="204"/>
      <c r="AS33" s="532">
        <v>31</v>
      </c>
      <c r="AT33" s="533" t="s">
        <v>152</v>
      </c>
      <c r="AU33" s="535"/>
      <c r="AV33" s="534" t="s">
        <v>140</v>
      </c>
    </row>
    <row r="34" spans="1:48">
      <c r="A34" s="4"/>
      <c r="B34" s="4"/>
      <c r="C34" s="4"/>
      <c r="D34" s="80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sheetData>
  <pageMargins left="0.7" right="0.7" top="0.75" bottom="0.75" header="0.3" footer="0.3"/>
  <pageSetup paperSize="9" scale="53" orientation="landscape" horizontalDpi="0" verticalDpi="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3B046-3AE7-D54E-94B4-87309E1F507D}">
  <sheetPr>
    <pageSetUpPr fitToPage="1"/>
  </sheetPr>
  <dimension ref="A1:X33"/>
  <sheetViews>
    <sheetView workbookViewId="0">
      <selection activeCell="T32" sqref="T32"/>
    </sheetView>
  </sheetViews>
  <sheetFormatPr baseColWidth="10" defaultRowHeight="16"/>
  <cols>
    <col min="1" max="2" width="3.6640625" customWidth="1"/>
    <col min="3" max="3" width="18.83203125" customWidth="1"/>
    <col min="4" max="6" width="3.6640625" customWidth="1"/>
    <col min="7" max="7" width="18.83203125" customWidth="1"/>
    <col min="8" max="10" width="3.6640625" customWidth="1"/>
    <col min="11" max="11" width="18.83203125" customWidth="1"/>
    <col min="12" max="14" width="3.6640625" customWidth="1"/>
    <col min="15" max="15" width="18.83203125" customWidth="1"/>
    <col min="16" max="18" width="3.6640625" customWidth="1"/>
    <col min="19" max="19" width="18.83203125" customWidth="1"/>
    <col min="20" max="22" width="3.6640625" customWidth="1"/>
    <col min="23" max="23" width="18.83203125" customWidth="1"/>
    <col min="24" max="24" width="3.6640625" customWidth="1"/>
  </cols>
  <sheetData>
    <row r="1" spans="1:24" ht="30">
      <c r="A1" s="1634" t="str">
        <f>'TOMT ÅR'!A1</f>
        <v>Årskalender for Min egen skole 2026-2027</v>
      </c>
      <c r="B1" s="1635"/>
      <c r="C1" s="1635"/>
      <c r="D1" s="1635"/>
      <c r="E1" s="1635"/>
      <c r="F1" s="1635"/>
      <c r="G1" s="1635"/>
      <c r="H1" s="1635"/>
      <c r="I1" s="1635"/>
      <c r="J1" s="1635"/>
      <c r="K1" s="1635"/>
      <c r="L1" s="1635"/>
      <c r="M1" s="1635"/>
      <c r="N1" s="1635"/>
      <c r="O1" s="1635"/>
      <c r="P1" s="1635"/>
      <c r="Q1" s="1635"/>
      <c r="R1" s="1635"/>
      <c r="S1" s="1635"/>
      <c r="T1" s="1635"/>
      <c r="U1" s="1635"/>
      <c r="V1" s="1635"/>
      <c r="W1" s="1635"/>
      <c r="X1" s="1636"/>
    </row>
    <row r="2" spans="1:24" ht="18">
      <c r="A2" s="300" t="s">
        <v>90</v>
      </c>
      <c r="B2" s="301"/>
      <c r="C2" s="302"/>
      <c r="D2" s="303"/>
      <c r="E2" s="300" t="s">
        <v>91</v>
      </c>
      <c r="F2" s="301"/>
      <c r="G2" s="302"/>
      <c r="H2" s="303"/>
      <c r="I2" s="304" t="s">
        <v>92</v>
      </c>
      <c r="J2" s="301"/>
      <c r="K2" s="302"/>
      <c r="L2" s="303"/>
      <c r="M2" s="300" t="s">
        <v>93</v>
      </c>
      <c r="N2" s="301"/>
      <c r="O2" s="302"/>
      <c r="P2" s="303"/>
      <c r="Q2" s="300" t="s">
        <v>94</v>
      </c>
      <c r="R2" s="301"/>
      <c r="S2" s="302"/>
      <c r="T2" s="303"/>
      <c r="U2" s="300" t="s">
        <v>95</v>
      </c>
      <c r="V2" s="301"/>
      <c r="W2" s="302"/>
      <c r="X2" s="303"/>
    </row>
    <row r="3" spans="1:24">
      <c r="A3" s="519">
        <v>1</v>
      </c>
      <c r="B3" s="520" t="s">
        <v>152</v>
      </c>
      <c r="C3" s="521"/>
      <c r="D3" s="600" t="s">
        <v>140</v>
      </c>
      <c r="E3" s="514">
        <v>1</v>
      </c>
      <c r="F3" s="515" t="s">
        <v>155</v>
      </c>
      <c r="G3" s="516"/>
      <c r="H3" s="518" t="s">
        <v>140</v>
      </c>
      <c r="I3" s="514">
        <v>1</v>
      </c>
      <c r="J3" s="515" t="s">
        <v>154</v>
      </c>
      <c r="K3" s="516"/>
      <c r="L3" s="523" t="s">
        <v>140</v>
      </c>
      <c r="M3" s="519">
        <v>1</v>
      </c>
      <c r="N3" s="520" t="s">
        <v>157</v>
      </c>
      <c r="O3" s="521"/>
      <c r="P3" s="522" t="s">
        <v>140</v>
      </c>
      <c r="Q3" s="514">
        <v>1</v>
      </c>
      <c r="R3" s="515" t="s">
        <v>155</v>
      </c>
      <c r="S3" s="516"/>
      <c r="T3" s="523" t="s">
        <v>140</v>
      </c>
      <c r="U3" s="514">
        <v>1</v>
      </c>
      <c r="V3" s="515" t="s">
        <v>156</v>
      </c>
      <c r="W3" s="516" t="s">
        <v>139</v>
      </c>
      <c r="X3" s="523" t="s">
        <v>140</v>
      </c>
    </row>
    <row r="4" spans="1:24">
      <c r="A4" s="519">
        <v>2</v>
      </c>
      <c r="B4" s="520" t="s">
        <v>157</v>
      </c>
      <c r="C4" s="521"/>
      <c r="D4" s="600" t="s">
        <v>140</v>
      </c>
      <c r="E4" s="514">
        <v>2</v>
      </c>
      <c r="F4" s="515" t="s">
        <v>151</v>
      </c>
      <c r="G4" s="516"/>
      <c r="H4" s="518" t="s">
        <v>140</v>
      </c>
      <c r="I4" s="514">
        <v>2</v>
      </c>
      <c r="J4" s="515" t="s">
        <v>156</v>
      </c>
      <c r="K4" s="516"/>
      <c r="L4" s="523" t="s">
        <v>140</v>
      </c>
      <c r="M4" s="514">
        <v>2</v>
      </c>
      <c r="N4" s="515" t="s">
        <v>153</v>
      </c>
      <c r="O4" s="516"/>
      <c r="P4" s="523">
        <v>44.571428571428569</v>
      </c>
      <c r="Q4" s="514">
        <v>2</v>
      </c>
      <c r="R4" s="515" t="s">
        <v>151</v>
      </c>
      <c r="S4" s="516"/>
      <c r="T4" s="523" t="s">
        <v>140</v>
      </c>
      <c r="U4" s="519">
        <v>2</v>
      </c>
      <c r="V4" s="520" t="s">
        <v>152</v>
      </c>
      <c r="W4" s="521"/>
      <c r="X4" s="522" t="s">
        <v>140</v>
      </c>
    </row>
    <row r="5" spans="1:24">
      <c r="A5" s="514">
        <v>3</v>
      </c>
      <c r="B5" s="515" t="s">
        <v>153</v>
      </c>
      <c r="C5" s="516"/>
      <c r="D5" s="517">
        <v>31.571428571428573</v>
      </c>
      <c r="E5" s="514">
        <v>3</v>
      </c>
      <c r="F5" s="515" t="s">
        <v>154</v>
      </c>
      <c r="G5" s="516"/>
      <c r="H5" s="518" t="s">
        <v>140</v>
      </c>
      <c r="I5" s="519">
        <v>3</v>
      </c>
      <c r="J5" s="520" t="s">
        <v>152</v>
      </c>
      <c r="K5" s="521"/>
      <c r="L5" s="522" t="s">
        <v>140</v>
      </c>
      <c r="M5" s="514">
        <v>3</v>
      </c>
      <c r="N5" s="515" t="s">
        <v>155</v>
      </c>
      <c r="O5" s="516"/>
      <c r="P5" s="523" t="s">
        <v>140</v>
      </c>
      <c r="Q5" s="514">
        <v>3</v>
      </c>
      <c r="R5" s="515" t="s">
        <v>154</v>
      </c>
      <c r="S5" s="516"/>
      <c r="T5" s="523" t="s">
        <v>140</v>
      </c>
      <c r="U5" s="519">
        <v>3</v>
      </c>
      <c r="V5" s="520" t="s">
        <v>157</v>
      </c>
      <c r="W5" s="521"/>
      <c r="X5" s="522" t="s">
        <v>140</v>
      </c>
    </row>
    <row r="6" spans="1:24">
      <c r="A6" s="514">
        <v>4</v>
      </c>
      <c r="B6" s="515" t="s">
        <v>155</v>
      </c>
      <c r="C6" s="516"/>
      <c r="D6" s="517" t="s">
        <v>140</v>
      </c>
      <c r="E6" s="514">
        <v>4</v>
      </c>
      <c r="F6" s="515" t="s">
        <v>156</v>
      </c>
      <c r="G6" s="516"/>
      <c r="H6" s="518" t="s">
        <v>140</v>
      </c>
      <c r="I6" s="519">
        <v>4</v>
      </c>
      <c r="J6" s="520" t="s">
        <v>157</v>
      </c>
      <c r="K6" s="521"/>
      <c r="L6" s="522" t="s">
        <v>140</v>
      </c>
      <c r="M6" s="514">
        <v>4</v>
      </c>
      <c r="N6" s="515" t="s">
        <v>151</v>
      </c>
      <c r="O6" s="516"/>
      <c r="P6" s="523" t="s">
        <v>140</v>
      </c>
      <c r="Q6" s="514">
        <v>4</v>
      </c>
      <c r="R6" s="515" t="s">
        <v>156</v>
      </c>
      <c r="S6" s="516"/>
      <c r="T6" s="523" t="s">
        <v>140</v>
      </c>
      <c r="U6" s="514">
        <v>4</v>
      </c>
      <c r="V6" s="515" t="s">
        <v>153</v>
      </c>
      <c r="W6" s="516"/>
      <c r="X6" s="523">
        <v>1.4285714285714286</v>
      </c>
    </row>
    <row r="7" spans="1:24">
      <c r="A7" s="514">
        <v>5</v>
      </c>
      <c r="B7" s="515" t="s">
        <v>151</v>
      </c>
      <c r="C7" s="516"/>
      <c r="D7" s="526" t="s">
        <v>140</v>
      </c>
      <c r="E7" s="519">
        <v>5</v>
      </c>
      <c r="F7" s="520" t="s">
        <v>152</v>
      </c>
      <c r="G7" s="521"/>
      <c r="H7" s="524" t="s">
        <v>140</v>
      </c>
      <c r="I7" s="514">
        <v>5</v>
      </c>
      <c r="J7" s="515" t="s">
        <v>153</v>
      </c>
      <c r="K7" s="516"/>
      <c r="L7" s="523">
        <v>40.571428571428569</v>
      </c>
      <c r="M7" s="514">
        <v>5</v>
      </c>
      <c r="N7" s="515" t="s">
        <v>154</v>
      </c>
      <c r="O7" s="516"/>
      <c r="P7" s="523" t="s">
        <v>140</v>
      </c>
      <c r="Q7" s="519">
        <v>5</v>
      </c>
      <c r="R7" s="520" t="s">
        <v>152</v>
      </c>
      <c r="S7" s="521"/>
      <c r="T7" s="522" t="s">
        <v>140</v>
      </c>
      <c r="U7" s="514">
        <v>5</v>
      </c>
      <c r="V7" s="515" t="s">
        <v>155</v>
      </c>
      <c r="W7" s="516"/>
      <c r="X7" s="523" t="s">
        <v>140</v>
      </c>
    </row>
    <row r="8" spans="1:24">
      <c r="A8" s="514">
        <v>6</v>
      </c>
      <c r="B8" s="515" t="s">
        <v>154</v>
      </c>
      <c r="C8" s="516"/>
      <c r="D8" s="526" t="s">
        <v>140</v>
      </c>
      <c r="E8" s="519">
        <v>6</v>
      </c>
      <c r="F8" s="520" t="s">
        <v>157</v>
      </c>
      <c r="G8" s="521"/>
      <c r="H8" s="524" t="s">
        <v>140</v>
      </c>
      <c r="I8" s="514">
        <v>6</v>
      </c>
      <c r="J8" s="515" t="s">
        <v>155</v>
      </c>
      <c r="K8" s="516"/>
      <c r="L8" s="523" t="s">
        <v>140</v>
      </c>
      <c r="M8" s="514">
        <v>6</v>
      </c>
      <c r="N8" s="515" t="s">
        <v>156</v>
      </c>
      <c r="O8" s="516"/>
      <c r="P8" s="523" t="s">
        <v>140</v>
      </c>
      <c r="Q8" s="519">
        <v>6</v>
      </c>
      <c r="R8" s="520" t="s">
        <v>157</v>
      </c>
      <c r="S8" s="521"/>
      <c r="T8" s="522" t="s">
        <v>140</v>
      </c>
      <c r="U8" s="514">
        <v>6</v>
      </c>
      <c r="V8" s="515" t="s">
        <v>151</v>
      </c>
      <c r="W8" s="516"/>
      <c r="X8" s="523" t="s">
        <v>140</v>
      </c>
    </row>
    <row r="9" spans="1:24">
      <c r="A9" s="514">
        <v>7</v>
      </c>
      <c r="B9" s="515" t="s">
        <v>156</v>
      </c>
      <c r="C9" s="516"/>
      <c r="D9" s="526" t="s">
        <v>140</v>
      </c>
      <c r="E9" s="514">
        <v>7</v>
      </c>
      <c r="F9" s="515" t="s">
        <v>153</v>
      </c>
      <c r="G9" s="516"/>
      <c r="H9" s="518">
        <v>36.571428571428569</v>
      </c>
      <c r="I9" s="514">
        <v>7</v>
      </c>
      <c r="J9" s="515" t="s">
        <v>151</v>
      </c>
      <c r="K9" s="516"/>
      <c r="L9" s="523" t="s">
        <v>140</v>
      </c>
      <c r="M9" s="519">
        <v>7</v>
      </c>
      <c r="N9" s="520" t="s">
        <v>152</v>
      </c>
      <c r="O9" s="521"/>
      <c r="P9" s="522" t="s">
        <v>140</v>
      </c>
      <c r="Q9" s="514">
        <v>7</v>
      </c>
      <c r="R9" s="515" t="s">
        <v>153</v>
      </c>
      <c r="S9" s="516"/>
      <c r="T9" s="523">
        <v>49.571428571428569</v>
      </c>
      <c r="U9" s="514">
        <v>7</v>
      </c>
      <c r="V9" s="515" t="s">
        <v>154</v>
      </c>
      <c r="W9" s="516"/>
      <c r="X9" s="523" t="s">
        <v>140</v>
      </c>
    </row>
    <row r="10" spans="1:24">
      <c r="A10" s="519">
        <v>8</v>
      </c>
      <c r="B10" s="520" t="s">
        <v>152</v>
      </c>
      <c r="C10" s="521"/>
      <c r="D10" s="600" t="s">
        <v>140</v>
      </c>
      <c r="E10" s="514">
        <v>8</v>
      </c>
      <c r="F10" s="515" t="s">
        <v>155</v>
      </c>
      <c r="G10" s="516"/>
      <c r="H10" s="518" t="s">
        <v>140</v>
      </c>
      <c r="I10" s="514">
        <v>8</v>
      </c>
      <c r="J10" s="515" t="s">
        <v>154</v>
      </c>
      <c r="K10" s="516"/>
      <c r="L10" s="523" t="s">
        <v>140</v>
      </c>
      <c r="M10" s="519">
        <v>8</v>
      </c>
      <c r="N10" s="520" t="s">
        <v>157</v>
      </c>
      <c r="O10" s="521"/>
      <c r="P10" s="522" t="s">
        <v>140</v>
      </c>
      <c r="Q10" s="514">
        <v>8</v>
      </c>
      <c r="R10" s="515" t="s">
        <v>155</v>
      </c>
      <c r="S10" s="516"/>
      <c r="T10" s="523" t="s">
        <v>140</v>
      </c>
      <c r="U10" s="514">
        <v>8</v>
      </c>
      <c r="V10" s="515" t="s">
        <v>156</v>
      </c>
      <c r="W10" s="516"/>
      <c r="X10" s="523" t="s">
        <v>140</v>
      </c>
    </row>
    <row r="11" spans="1:24">
      <c r="A11" s="519">
        <v>9</v>
      </c>
      <c r="B11" s="520" t="s">
        <v>157</v>
      </c>
      <c r="C11" s="521"/>
      <c r="D11" s="600" t="s">
        <v>140</v>
      </c>
      <c r="E11" s="514">
        <v>9</v>
      </c>
      <c r="F11" s="515" t="s">
        <v>151</v>
      </c>
      <c r="G11" s="516"/>
      <c r="H11" s="518" t="s">
        <v>140</v>
      </c>
      <c r="I11" s="514">
        <v>9</v>
      </c>
      <c r="J11" s="515" t="s">
        <v>156</v>
      </c>
      <c r="K11" s="516"/>
      <c r="L11" s="523" t="s">
        <v>140</v>
      </c>
      <c r="M11" s="514">
        <v>9</v>
      </c>
      <c r="N11" s="515" t="s">
        <v>153</v>
      </c>
      <c r="O11" s="516"/>
      <c r="P11" s="523">
        <v>45.571428571428569</v>
      </c>
      <c r="Q11" s="514">
        <v>9</v>
      </c>
      <c r="R11" s="515" t="s">
        <v>151</v>
      </c>
      <c r="S11" s="516"/>
      <c r="T11" s="523" t="s">
        <v>140</v>
      </c>
      <c r="U11" s="519">
        <v>9</v>
      </c>
      <c r="V11" s="520" t="s">
        <v>152</v>
      </c>
      <c r="W11" s="521"/>
      <c r="X11" s="522" t="s">
        <v>140</v>
      </c>
    </row>
    <row r="12" spans="1:24">
      <c r="A12" s="514">
        <v>10</v>
      </c>
      <c r="B12" s="515" t="s">
        <v>153</v>
      </c>
      <c r="C12" s="516"/>
      <c r="D12" s="517">
        <v>32.571428571428569</v>
      </c>
      <c r="E12" s="514">
        <v>10</v>
      </c>
      <c r="F12" s="515" t="s">
        <v>154</v>
      </c>
      <c r="G12" s="516"/>
      <c r="H12" s="518" t="s">
        <v>140</v>
      </c>
      <c r="I12" s="519">
        <v>10</v>
      </c>
      <c r="J12" s="520" t="s">
        <v>152</v>
      </c>
      <c r="K12" s="521"/>
      <c r="L12" s="522" t="s">
        <v>140</v>
      </c>
      <c r="M12" s="514">
        <v>10</v>
      </c>
      <c r="N12" s="515" t="s">
        <v>155</v>
      </c>
      <c r="O12" s="516"/>
      <c r="P12" s="523" t="s">
        <v>140</v>
      </c>
      <c r="Q12" s="514">
        <v>10</v>
      </c>
      <c r="R12" s="515" t="s">
        <v>154</v>
      </c>
      <c r="S12" s="516"/>
      <c r="T12" s="523" t="s">
        <v>140</v>
      </c>
      <c r="U12" s="519">
        <v>10</v>
      </c>
      <c r="V12" s="520" t="s">
        <v>157</v>
      </c>
      <c r="W12" s="521"/>
      <c r="X12" s="522" t="s">
        <v>140</v>
      </c>
    </row>
    <row r="13" spans="1:24">
      <c r="A13" s="514">
        <v>11</v>
      </c>
      <c r="B13" s="515" t="s">
        <v>155</v>
      </c>
      <c r="C13" s="516"/>
      <c r="D13" s="517" t="s">
        <v>140</v>
      </c>
      <c r="E13" s="514">
        <v>11</v>
      </c>
      <c r="F13" s="515" t="s">
        <v>156</v>
      </c>
      <c r="G13" s="516"/>
      <c r="H13" s="518" t="s">
        <v>140</v>
      </c>
      <c r="I13" s="519">
        <v>11</v>
      </c>
      <c r="J13" s="520" t="s">
        <v>157</v>
      </c>
      <c r="K13" s="521"/>
      <c r="L13" s="522" t="s">
        <v>140</v>
      </c>
      <c r="M13" s="514">
        <v>11</v>
      </c>
      <c r="N13" s="515" t="s">
        <v>151</v>
      </c>
      <c r="O13" s="516"/>
      <c r="P13" s="523" t="s">
        <v>140</v>
      </c>
      <c r="Q13" s="514">
        <v>11</v>
      </c>
      <c r="R13" s="515" t="s">
        <v>156</v>
      </c>
      <c r="S13" s="516"/>
      <c r="T13" s="523" t="s">
        <v>140</v>
      </c>
      <c r="U13" s="514">
        <v>11</v>
      </c>
      <c r="V13" s="515" t="s">
        <v>153</v>
      </c>
      <c r="W13" s="516"/>
      <c r="X13" s="523">
        <v>2.4285714285714284</v>
      </c>
    </row>
    <row r="14" spans="1:24">
      <c r="A14" s="514">
        <v>12</v>
      </c>
      <c r="B14" s="515" t="s">
        <v>151</v>
      </c>
      <c r="C14" s="516"/>
      <c r="D14" s="526" t="s">
        <v>140</v>
      </c>
      <c r="E14" s="519">
        <v>12</v>
      </c>
      <c r="F14" s="520" t="s">
        <v>152</v>
      </c>
      <c r="G14" s="521"/>
      <c r="H14" s="524" t="s">
        <v>140</v>
      </c>
      <c r="I14" s="514">
        <v>12</v>
      </c>
      <c r="J14" s="515" t="s">
        <v>153</v>
      </c>
      <c r="K14" s="516"/>
      <c r="L14" s="523">
        <v>41.571428571428569</v>
      </c>
      <c r="M14" s="514">
        <v>12</v>
      </c>
      <c r="N14" s="515" t="s">
        <v>154</v>
      </c>
      <c r="O14" s="516"/>
      <c r="P14" s="523" t="s">
        <v>140</v>
      </c>
      <c r="Q14" s="519">
        <v>12</v>
      </c>
      <c r="R14" s="520" t="s">
        <v>152</v>
      </c>
      <c r="S14" s="521"/>
      <c r="T14" s="522" t="s">
        <v>140</v>
      </c>
      <c r="U14" s="514">
        <v>12</v>
      </c>
      <c r="V14" s="515" t="s">
        <v>155</v>
      </c>
      <c r="W14" s="516"/>
      <c r="X14" s="523" t="s">
        <v>140</v>
      </c>
    </row>
    <row r="15" spans="1:24">
      <c r="A15" s="514">
        <v>13</v>
      </c>
      <c r="B15" s="515" t="s">
        <v>154</v>
      </c>
      <c r="C15" s="516"/>
      <c r="D15" s="526" t="s">
        <v>140</v>
      </c>
      <c r="E15" s="519">
        <v>13</v>
      </c>
      <c r="F15" s="520" t="s">
        <v>157</v>
      </c>
      <c r="G15" s="521"/>
      <c r="H15" s="524" t="s">
        <v>140</v>
      </c>
      <c r="I15" s="514">
        <v>13</v>
      </c>
      <c r="J15" s="515" t="s">
        <v>155</v>
      </c>
      <c r="K15" s="516"/>
      <c r="L15" s="523" t="s">
        <v>140</v>
      </c>
      <c r="M15" s="514">
        <v>13</v>
      </c>
      <c r="N15" s="515" t="s">
        <v>156</v>
      </c>
      <c r="O15" s="516"/>
      <c r="P15" s="523" t="s">
        <v>140</v>
      </c>
      <c r="Q15" s="519">
        <v>13</v>
      </c>
      <c r="R15" s="520" t="s">
        <v>157</v>
      </c>
      <c r="S15" s="521"/>
      <c r="T15" s="522" t="s">
        <v>140</v>
      </c>
      <c r="U15" s="514">
        <v>13</v>
      </c>
      <c r="V15" s="515" t="s">
        <v>151</v>
      </c>
      <c r="W15" s="516"/>
      <c r="X15" s="523" t="s">
        <v>140</v>
      </c>
    </row>
    <row r="16" spans="1:24">
      <c r="A16" s="514">
        <v>14</v>
      </c>
      <c r="B16" s="515" t="s">
        <v>156</v>
      </c>
      <c r="C16" s="516"/>
      <c r="D16" s="526" t="s">
        <v>140</v>
      </c>
      <c r="E16" s="514">
        <v>14</v>
      </c>
      <c r="F16" s="515" t="s">
        <v>153</v>
      </c>
      <c r="G16" s="516"/>
      <c r="H16" s="518">
        <v>37.571428571428569</v>
      </c>
      <c r="I16" s="514">
        <v>14</v>
      </c>
      <c r="J16" s="515" t="s">
        <v>151</v>
      </c>
      <c r="K16" s="516"/>
      <c r="L16" s="523" t="s">
        <v>140</v>
      </c>
      <c r="M16" s="519">
        <v>14</v>
      </c>
      <c r="N16" s="520" t="s">
        <v>152</v>
      </c>
      <c r="O16" s="521"/>
      <c r="P16" s="522" t="s">
        <v>140</v>
      </c>
      <c r="Q16" s="514">
        <v>14</v>
      </c>
      <c r="R16" s="515" t="s">
        <v>153</v>
      </c>
      <c r="S16" s="516"/>
      <c r="T16" s="523">
        <v>50.571428571428569</v>
      </c>
      <c r="U16" s="514">
        <v>14</v>
      </c>
      <c r="V16" s="515" t="s">
        <v>154</v>
      </c>
      <c r="W16" s="516"/>
      <c r="X16" s="523" t="s">
        <v>140</v>
      </c>
    </row>
    <row r="17" spans="1:24">
      <c r="A17" s="519">
        <v>15</v>
      </c>
      <c r="B17" s="520" t="s">
        <v>152</v>
      </c>
      <c r="C17" s="521"/>
      <c r="D17" s="600" t="s">
        <v>140</v>
      </c>
      <c r="E17" s="514">
        <v>15</v>
      </c>
      <c r="F17" s="515" t="s">
        <v>155</v>
      </c>
      <c r="G17" s="516"/>
      <c r="H17" s="518" t="s">
        <v>140</v>
      </c>
      <c r="I17" s="514">
        <v>15</v>
      </c>
      <c r="J17" s="515" t="s">
        <v>154</v>
      </c>
      <c r="K17" s="516"/>
      <c r="L17" s="523" t="s">
        <v>140</v>
      </c>
      <c r="M17" s="519">
        <v>15</v>
      </c>
      <c r="N17" s="520" t="s">
        <v>157</v>
      </c>
      <c r="O17" s="521"/>
      <c r="P17" s="522" t="s">
        <v>140</v>
      </c>
      <c r="Q17" s="514">
        <v>15</v>
      </c>
      <c r="R17" s="515" t="s">
        <v>155</v>
      </c>
      <c r="S17" s="516"/>
      <c r="T17" s="523" t="s">
        <v>140</v>
      </c>
      <c r="U17" s="514">
        <v>15</v>
      </c>
      <c r="V17" s="515" t="s">
        <v>156</v>
      </c>
      <c r="W17" s="516"/>
      <c r="X17" s="523" t="s">
        <v>140</v>
      </c>
    </row>
    <row r="18" spans="1:24">
      <c r="A18" s="519">
        <v>16</v>
      </c>
      <c r="B18" s="520" t="s">
        <v>157</v>
      </c>
      <c r="C18" s="521"/>
      <c r="D18" s="600" t="s">
        <v>140</v>
      </c>
      <c r="E18" s="514">
        <v>16</v>
      </c>
      <c r="F18" s="515" t="s">
        <v>151</v>
      </c>
      <c r="G18" s="516"/>
      <c r="H18" s="518" t="s">
        <v>140</v>
      </c>
      <c r="I18" s="514">
        <v>16</v>
      </c>
      <c r="J18" s="515" t="s">
        <v>156</v>
      </c>
      <c r="K18" s="516"/>
      <c r="L18" s="523" t="s">
        <v>140</v>
      </c>
      <c r="M18" s="514">
        <v>16</v>
      </c>
      <c r="N18" s="515" t="s">
        <v>153</v>
      </c>
      <c r="O18" s="516"/>
      <c r="P18" s="523">
        <v>46.571428571428569</v>
      </c>
      <c r="Q18" s="514">
        <v>16</v>
      </c>
      <c r="R18" s="515" t="s">
        <v>151</v>
      </c>
      <c r="S18" s="516"/>
      <c r="T18" s="523" t="s">
        <v>140</v>
      </c>
      <c r="U18" s="519">
        <v>16</v>
      </c>
      <c r="V18" s="520" t="s">
        <v>152</v>
      </c>
      <c r="W18" s="521"/>
      <c r="X18" s="522" t="s">
        <v>140</v>
      </c>
    </row>
    <row r="19" spans="1:24">
      <c r="A19" s="514">
        <v>17</v>
      </c>
      <c r="B19" s="515" t="s">
        <v>153</v>
      </c>
      <c r="C19" s="516"/>
      <c r="D19" s="517">
        <v>33.571428571428569</v>
      </c>
      <c r="E19" s="514">
        <v>17</v>
      </c>
      <c r="F19" s="515" t="s">
        <v>154</v>
      </c>
      <c r="G19" s="516"/>
      <c r="H19" s="518" t="s">
        <v>140</v>
      </c>
      <c r="I19" s="519">
        <v>17</v>
      </c>
      <c r="J19" s="520" t="s">
        <v>152</v>
      </c>
      <c r="K19" s="521"/>
      <c r="L19" s="522" t="s">
        <v>140</v>
      </c>
      <c r="M19" s="514">
        <v>17</v>
      </c>
      <c r="N19" s="515" t="s">
        <v>155</v>
      </c>
      <c r="O19" s="516"/>
      <c r="P19" s="523" t="s">
        <v>140</v>
      </c>
      <c r="Q19" s="514">
        <v>17</v>
      </c>
      <c r="R19" s="515" t="s">
        <v>154</v>
      </c>
      <c r="S19" s="516"/>
      <c r="T19" s="523" t="s">
        <v>140</v>
      </c>
      <c r="U19" s="519">
        <v>17</v>
      </c>
      <c r="V19" s="520" t="s">
        <v>157</v>
      </c>
      <c r="W19" s="521"/>
      <c r="X19" s="522" t="s">
        <v>140</v>
      </c>
    </row>
    <row r="20" spans="1:24">
      <c r="A20" s="514">
        <v>18</v>
      </c>
      <c r="B20" s="515" t="s">
        <v>155</v>
      </c>
      <c r="C20" s="516"/>
      <c r="D20" s="517" t="s">
        <v>140</v>
      </c>
      <c r="E20" s="514">
        <v>18</v>
      </c>
      <c r="F20" s="515" t="s">
        <v>156</v>
      </c>
      <c r="G20" s="516"/>
      <c r="H20" s="518" t="s">
        <v>140</v>
      </c>
      <c r="I20" s="519">
        <v>18</v>
      </c>
      <c r="J20" s="520" t="s">
        <v>157</v>
      </c>
      <c r="K20" s="521"/>
      <c r="L20" s="522" t="s">
        <v>140</v>
      </c>
      <c r="M20" s="514">
        <v>18</v>
      </c>
      <c r="N20" s="515" t="s">
        <v>151</v>
      </c>
      <c r="O20" s="516"/>
      <c r="P20" s="523" t="s">
        <v>140</v>
      </c>
      <c r="Q20" s="514">
        <v>18</v>
      </c>
      <c r="R20" s="515" t="s">
        <v>156</v>
      </c>
      <c r="S20" s="516"/>
      <c r="T20" s="523" t="s">
        <v>140</v>
      </c>
      <c r="U20" s="514">
        <v>18</v>
      </c>
      <c r="V20" s="515" t="s">
        <v>153</v>
      </c>
      <c r="W20" s="516"/>
      <c r="X20" s="523">
        <v>3.4285714285714284</v>
      </c>
    </row>
    <row r="21" spans="1:24">
      <c r="A21" s="514">
        <v>19</v>
      </c>
      <c r="B21" s="515" t="s">
        <v>151</v>
      </c>
      <c r="C21" s="516"/>
      <c r="D21" s="526" t="s">
        <v>140</v>
      </c>
      <c r="E21" s="519">
        <v>19</v>
      </c>
      <c r="F21" s="520" t="s">
        <v>152</v>
      </c>
      <c r="G21" s="521"/>
      <c r="H21" s="524" t="s">
        <v>140</v>
      </c>
      <c r="I21" s="514">
        <v>19</v>
      </c>
      <c r="J21" s="515" t="s">
        <v>153</v>
      </c>
      <c r="K21" s="516"/>
      <c r="L21" s="523">
        <v>42.571428571428569</v>
      </c>
      <c r="M21" s="514">
        <v>19</v>
      </c>
      <c r="N21" s="515" t="s">
        <v>154</v>
      </c>
      <c r="O21" s="516"/>
      <c r="P21" s="523" t="s">
        <v>140</v>
      </c>
      <c r="Q21" s="519">
        <v>19</v>
      </c>
      <c r="R21" s="520" t="s">
        <v>152</v>
      </c>
      <c r="S21" s="521"/>
      <c r="T21" s="522" t="s">
        <v>140</v>
      </c>
      <c r="U21" s="514">
        <v>19</v>
      </c>
      <c r="V21" s="515" t="s">
        <v>155</v>
      </c>
      <c r="W21" s="516"/>
      <c r="X21" s="523" t="s">
        <v>140</v>
      </c>
    </row>
    <row r="22" spans="1:24">
      <c r="A22" s="514">
        <v>20</v>
      </c>
      <c r="B22" s="515" t="s">
        <v>154</v>
      </c>
      <c r="C22" s="516"/>
      <c r="D22" s="526" t="s">
        <v>140</v>
      </c>
      <c r="E22" s="519">
        <v>20</v>
      </c>
      <c r="F22" s="520" t="s">
        <v>157</v>
      </c>
      <c r="G22" s="521"/>
      <c r="H22" s="524" t="s">
        <v>140</v>
      </c>
      <c r="I22" s="514">
        <v>20</v>
      </c>
      <c r="J22" s="515" t="s">
        <v>155</v>
      </c>
      <c r="K22" s="516"/>
      <c r="L22" s="523" t="s">
        <v>140</v>
      </c>
      <c r="M22" s="514">
        <v>20</v>
      </c>
      <c r="N22" s="515" t="s">
        <v>156</v>
      </c>
      <c r="O22" s="516"/>
      <c r="P22" s="523" t="s">
        <v>140</v>
      </c>
      <c r="Q22" s="519">
        <v>20</v>
      </c>
      <c r="R22" s="520" t="s">
        <v>157</v>
      </c>
      <c r="S22" s="521"/>
      <c r="T22" s="522" t="s">
        <v>140</v>
      </c>
      <c r="U22" s="514">
        <v>20</v>
      </c>
      <c r="V22" s="515" t="s">
        <v>151</v>
      </c>
      <c r="W22" s="516"/>
      <c r="X22" s="523" t="s">
        <v>140</v>
      </c>
    </row>
    <row r="23" spans="1:24">
      <c r="A23" s="514">
        <v>21</v>
      </c>
      <c r="B23" s="515" t="s">
        <v>156</v>
      </c>
      <c r="C23" s="516"/>
      <c r="D23" s="526" t="s">
        <v>140</v>
      </c>
      <c r="E23" s="514">
        <v>21</v>
      </c>
      <c r="F23" s="515" t="s">
        <v>153</v>
      </c>
      <c r="G23" s="516"/>
      <c r="H23" s="518">
        <v>38.571428571428569</v>
      </c>
      <c r="I23" s="514">
        <v>21</v>
      </c>
      <c r="J23" s="515" t="s">
        <v>151</v>
      </c>
      <c r="K23" s="516"/>
      <c r="L23" s="523" t="s">
        <v>140</v>
      </c>
      <c r="M23" s="519">
        <v>21</v>
      </c>
      <c r="N23" s="520" t="s">
        <v>152</v>
      </c>
      <c r="O23" s="521"/>
      <c r="P23" s="522" t="s">
        <v>140</v>
      </c>
      <c r="Q23" s="514">
        <v>21</v>
      </c>
      <c r="R23" s="515" t="s">
        <v>153</v>
      </c>
      <c r="S23" s="516"/>
      <c r="T23" s="523">
        <v>51.571428571428569</v>
      </c>
      <c r="U23" s="514">
        <v>21</v>
      </c>
      <c r="V23" s="515" t="s">
        <v>154</v>
      </c>
      <c r="W23" s="516"/>
      <c r="X23" s="523" t="s">
        <v>140</v>
      </c>
    </row>
    <row r="24" spans="1:24">
      <c r="A24" s="519">
        <v>22</v>
      </c>
      <c r="B24" s="520" t="s">
        <v>152</v>
      </c>
      <c r="C24" s="521"/>
      <c r="D24" s="525" t="s">
        <v>140</v>
      </c>
      <c r="E24" s="514">
        <v>22</v>
      </c>
      <c r="F24" s="515" t="s">
        <v>155</v>
      </c>
      <c r="G24" s="516"/>
      <c r="H24" s="518" t="s">
        <v>140</v>
      </c>
      <c r="I24" s="514">
        <v>22</v>
      </c>
      <c r="J24" s="515" t="s">
        <v>154</v>
      </c>
      <c r="K24" s="516"/>
      <c r="L24" s="523" t="s">
        <v>140</v>
      </c>
      <c r="M24" s="519">
        <v>22</v>
      </c>
      <c r="N24" s="520" t="s">
        <v>157</v>
      </c>
      <c r="O24" s="521"/>
      <c r="P24" s="522" t="s">
        <v>140</v>
      </c>
      <c r="Q24" s="514">
        <v>22</v>
      </c>
      <c r="R24" s="515" t="s">
        <v>155</v>
      </c>
      <c r="S24" s="516"/>
      <c r="T24" s="523" t="s">
        <v>140</v>
      </c>
      <c r="U24" s="514">
        <v>22</v>
      </c>
      <c r="V24" s="515" t="s">
        <v>156</v>
      </c>
      <c r="W24" s="516"/>
      <c r="X24" s="523" t="s">
        <v>140</v>
      </c>
    </row>
    <row r="25" spans="1:24">
      <c r="A25" s="519">
        <v>23</v>
      </c>
      <c r="B25" s="520" t="s">
        <v>157</v>
      </c>
      <c r="C25" s="521"/>
      <c r="D25" s="525" t="s">
        <v>140</v>
      </c>
      <c r="E25" s="514">
        <v>23</v>
      </c>
      <c r="F25" s="515" t="s">
        <v>151</v>
      </c>
      <c r="G25" s="516"/>
      <c r="H25" s="518" t="s">
        <v>140</v>
      </c>
      <c r="I25" s="514">
        <v>23</v>
      </c>
      <c r="J25" s="515" t="s">
        <v>156</v>
      </c>
      <c r="K25" s="516"/>
      <c r="L25" s="523" t="s">
        <v>140</v>
      </c>
      <c r="M25" s="514">
        <v>23</v>
      </c>
      <c r="N25" s="515" t="s">
        <v>153</v>
      </c>
      <c r="O25" s="516"/>
      <c r="P25" s="523">
        <v>47.571428571428569</v>
      </c>
      <c r="Q25" s="514">
        <v>23</v>
      </c>
      <c r="R25" s="515" t="s">
        <v>151</v>
      </c>
      <c r="S25" s="516"/>
      <c r="T25" s="523" t="s">
        <v>140</v>
      </c>
      <c r="U25" s="519">
        <v>23</v>
      </c>
      <c r="V25" s="520" t="s">
        <v>152</v>
      </c>
      <c r="W25" s="521"/>
      <c r="X25" s="522" t="s">
        <v>140</v>
      </c>
    </row>
    <row r="26" spans="1:24">
      <c r="A26" s="514">
        <v>24</v>
      </c>
      <c r="B26" s="515" t="s">
        <v>153</v>
      </c>
      <c r="C26" s="516"/>
      <c r="D26" s="526">
        <v>34.571428571428569</v>
      </c>
      <c r="E26" s="514">
        <v>24</v>
      </c>
      <c r="F26" s="515" t="s">
        <v>154</v>
      </c>
      <c r="G26" s="516"/>
      <c r="H26" s="518" t="s">
        <v>140</v>
      </c>
      <c r="I26" s="519">
        <v>24</v>
      </c>
      <c r="J26" s="520" t="s">
        <v>152</v>
      </c>
      <c r="K26" s="521"/>
      <c r="L26" s="522" t="s">
        <v>140</v>
      </c>
      <c r="M26" s="514">
        <v>24</v>
      </c>
      <c r="N26" s="515" t="s">
        <v>155</v>
      </c>
      <c r="O26" s="516"/>
      <c r="P26" s="523" t="s">
        <v>140</v>
      </c>
      <c r="Q26" s="514">
        <v>24</v>
      </c>
      <c r="R26" s="515" t="s">
        <v>154</v>
      </c>
      <c r="S26" s="516" t="s">
        <v>128</v>
      </c>
      <c r="T26" s="523" t="s">
        <v>140</v>
      </c>
      <c r="U26" s="519">
        <v>24</v>
      </c>
      <c r="V26" s="520" t="s">
        <v>157</v>
      </c>
      <c r="W26" s="521"/>
      <c r="X26" s="522" t="s">
        <v>140</v>
      </c>
    </row>
    <row r="27" spans="1:24">
      <c r="A27" s="514">
        <v>25</v>
      </c>
      <c r="B27" s="515" t="s">
        <v>155</v>
      </c>
      <c r="C27" s="516"/>
      <c r="D27" s="526" t="s">
        <v>140</v>
      </c>
      <c r="E27" s="514">
        <v>25</v>
      </c>
      <c r="F27" s="515" t="s">
        <v>156</v>
      </c>
      <c r="G27" s="516"/>
      <c r="H27" s="518" t="s">
        <v>140</v>
      </c>
      <c r="I27" s="519">
        <v>25</v>
      </c>
      <c r="J27" s="520" t="s">
        <v>157</v>
      </c>
      <c r="K27" s="521"/>
      <c r="L27" s="522" t="s">
        <v>140</v>
      </c>
      <c r="M27" s="514">
        <v>25</v>
      </c>
      <c r="N27" s="515" t="s">
        <v>151</v>
      </c>
      <c r="O27" s="516"/>
      <c r="P27" s="523" t="s">
        <v>140</v>
      </c>
      <c r="Q27" s="514">
        <v>25</v>
      </c>
      <c r="R27" s="515" t="s">
        <v>156</v>
      </c>
      <c r="S27" s="516" t="s">
        <v>313</v>
      </c>
      <c r="T27" s="523" t="s">
        <v>140</v>
      </c>
      <c r="U27" s="514">
        <v>25</v>
      </c>
      <c r="V27" s="515" t="s">
        <v>153</v>
      </c>
      <c r="W27" s="516"/>
      <c r="X27" s="523">
        <v>4.4285714285714288</v>
      </c>
    </row>
    <row r="28" spans="1:24">
      <c r="A28" s="514">
        <v>26</v>
      </c>
      <c r="B28" s="515" t="s">
        <v>151</v>
      </c>
      <c r="C28" s="516"/>
      <c r="D28" s="526" t="s">
        <v>140</v>
      </c>
      <c r="E28" s="519">
        <v>26</v>
      </c>
      <c r="F28" s="520" t="s">
        <v>152</v>
      </c>
      <c r="G28" s="521"/>
      <c r="H28" s="524" t="s">
        <v>140</v>
      </c>
      <c r="I28" s="514">
        <v>26</v>
      </c>
      <c r="J28" s="515" t="s">
        <v>153</v>
      </c>
      <c r="K28" s="516"/>
      <c r="L28" s="523">
        <v>43.571428571428569</v>
      </c>
      <c r="M28" s="514">
        <v>26</v>
      </c>
      <c r="N28" s="515" t="s">
        <v>154</v>
      </c>
      <c r="O28" s="516"/>
      <c r="P28" s="523" t="s">
        <v>140</v>
      </c>
      <c r="Q28" s="519">
        <v>26</v>
      </c>
      <c r="R28" s="520" t="s">
        <v>152</v>
      </c>
      <c r="S28" s="521" t="s">
        <v>96</v>
      </c>
      <c r="T28" s="522" t="s">
        <v>140</v>
      </c>
      <c r="U28" s="514">
        <v>26</v>
      </c>
      <c r="V28" s="515" t="s">
        <v>155</v>
      </c>
      <c r="W28" s="516"/>
      <c r="X28" s="523" t="s">
        <v>140</v>
      </c>
    </row>
    <row r="29" spans="1:24">
      <c r="A29" s="514">
        <v>27</v>
      </c>
      <c r="B29" s="515" t="s">
        <v>154</v>
      </c>
      <c r="C29" s="516"/>
      <c r="D29" s="526" t="s">
        <v>140</v>
      </c>
      <c r="E29" s="519">
        <v>27</v>
      </c>
      <c r="F29" s="520" t="s">
        <v>157</v>
      </c>
      <c r="G29" s="521"/>
      <c r="H29" s="524" t="s">
        <v>140</v>
      </c>
      <c r="I29" s="514">
        <v>27</v>
      </c>
      <c r="J29" s="515" t="s">
        <v>155</v>
      </c>
      <c r="K29" s="516"/>
      <c r="L29" s="523" t="s">
        <v>140</v>
      </c>
      <c r="M29" s="514">
        <v>27</v>
      </c>
      <c r="N29" s="515" t="s">
        <v>156</v>
      </c>
      <c r="O29" s="516"/>
      <c r="P29" s="523" t="s">
        <v>140</v>
      </c>
      <c r="Q29" s="519">
        <v>27</v>
      </c>
      <c r="R29" s="520" t="s">
        <v>157</v>
      </c>
      <c r="S29" s="521"/>
      <c r="T29" s="522" t="s">
        <v>140</v>
      </c>
      <c r="U29" s="514">
        <v>27</v>
      </c>
      <c r="V29" s="515" t="s">
        <v>151</v>
      </c>
      <c r="W29" s="516"/>
      <c r="X29" s="523" t="s">
        <v>140</v>
      </c>
    </row>
    <row r="30" spans="1:24">
      <c r="A30" s="514">
        <v>28</v>
      </c>
      <c r="B30" s="515" t="s">
        <v>156</v>
      </c>
      <c r="C30" s="516"/>
      <c r="D30" s="526" t="s">
        <v>140</v>
      </c>
      <c r="E30" s="514">
        <v>28</v>
      </c>
      <c r="F30" s="515" t="s">
        <v>153</v>
      </c>
      <c r="G30" s="516"/>
      <c r="H30" s="518">
        <v>39.571428571428569</v>
      </c>
      <c r="I30" s="514">
        <v>28</v>
      </c>
      <c r="J30" s="515" t="s">
        <v>151</v>
      </c>
      <c r="K30" s="516"/>
      <c r="L30" s="523" t="s">
        <v>140</v>
      </c>
      <c r="M30" s="519">
        <v>28</v>
      </c>
      <c r="N30" s="520" t="s">
        <v>152</v>
      </c>
      <c r="O30" s="521"/>
      <c r="P30" s="522" t="s">
        <v>140</v>
      </c>
      <c r="Q30" s="514">
        <v>28</v>
      </c>
      <c r="R30" s="515" t="s">
        <v>153</v>
      </c>
      <c r="S30" s="516"/>
      <c r="T30" s="523">
        <v>52.571428571428569</v>
      </c>
      <c r="U30" s="514">
        <v>28</v>
      </c>
      <c r="V30" s="515" t="s">
        <v>154</v>
      </c>
      <c r="W30" s="516"/>
      <c r="X30" s="523" t="s">
        <v>140</v>
      </c>
    </row>
    <row r="31" spans="1:24">
      <c r="A31" s="519">
        <v>29</v>
      </c>
      <c r="B31" s="520" t="s">
        <v>152</v>
      </c>
      <c r="C31" s="521"/>
      <c r="D31" s="600" t="s">
        <v>140</v>
      </c>
      <c r="E31" s="514">
        <v>29</v>
      </c>
      <c r="F31" s="515" t="s">
        <v>155</v>
      </c>
      <c r="G31" s="516"/>
      <c r="H31" s="518" t="s">
        <v>140</v>
      </c>
      <c r="I31" s="514">
        <v>29</v>
      </c>
      <c r="J31" s="515" t="s">
        <v>154</v>
      </c>
      <c r="K31" s="516"/>
      <c r="L31" s="523" t="s">
        <v>140</v>
      </c>
      <c r="M31" s="519">
        <v>29</v>
      </c>
      <c r="N31" s="520" t="s">
        <v>157</v>
      </c>
      <c r="O31" s="521"/>
      <c r="P31" s="522" t="s">
        <v>140</v>
      </c>
      <c r="Q31" s="514">
        <v>29</v>
      </c>
      <c r="R31" s="515" t="s">
        <v>155</v>
      </c>
      <c r="S31" s="516"/>
      <c r="T31" s="523" t="s">
        <v>140</v>
      </c>
      <c r="U31" s="514">
        <v>29</v>
      </c>
      <c r="V31" s="515" t="s">
        <v>156</v>
      </c>
      <c r="W31" s="516"/>
      <c r="X31" s="523" t="s">
        <v>140</v>
      </c>
    </row>
    <row r="32" spans="1:24">
      <c r="A32" s="519">
        <v>30</v>
      </c>
      <c r="B32" s="520" t="s">
        <v>157</v>
      </c>
      <c r="C32" s="521"/>
      <c r="D32" s="600" t="s">
        <v>140</v>
      </c>
      <c r="E32" s="514">
        <v>30</v>
      </c>
      <c r="F32" s="515" t="s">
        <v>151</v>
      </c>
      <c r="G32" s="516"/>
      <c r="H32" s="518" t="s">
        <v>140</v>
      </c>
      <c r="I32" s="514">
        <v>30</v>
      </c>
      <c r="J32" s="515" t="s">
        <v>156</v>
      </c>
      <c r="K32" s="516"/>
      <c r="L32" s="523" t="s">
        <v>140</v>
      </c>
      <c r="M32" s="514">
        <v>30</v>
      </c>
      <c r="N32" s="515" t="s">
        <v>153</v>
      </c>
      <c r="O32" s="516"/>
      <c r="P32" s="523">
        <v>48.571428571428569</v>
      </c>
      <c r="Q32" s="514">
        <v>30</v>
      </c>
      <c r="R32" s="515" t="s">
        <v>151</v>
      </c>
      <c r="S32" s="516"/>
      <c r="T32" s="523"/>
      <c r="U32" s="519">
        <v>30</v>
      </c>
      <c r="V32" s="520" t="s">
        <v>152</v>
      </c>
      <c r="W32" s="521"/>
      <c r="X32" s="522" t="s">
        <v>140</v>
      </c>
    </row>
    <row r="33" spans="1:24">
      <c r="A33" s="514">
        <v>31</v>
      </c>
      <c r="B33" s="515" t="s">
        <v>153</v>
      </c>
      <c r="C33" s="516"/>
      <c r="D33" s="517">
        <v>35.571428571428569</v>
      </c>
      <c r="E33" s="201"/>
      <c r="F33" s="202"/>
      <c r="G33" s="203"/>
      <c r="H33" s="527"/>
      <c r="I33" s="532">
        <v>31</v>
      </c>
      <c r="J33" s="533" t="s">
        <v>152</v>
      </c>
      <c r="K33" s="535"/>
      <c r="L33" s="534" t="s">
        <v>140</v>
      </c>
      <c r="M33" s="201"/>
      <c r="N33" s="202"/>
      <c r="O33" s="203"/>
      <c r="P33" s="204"/>
      <c r="Q33" s="528">
        <v>31</v>
      </c>
      <c r="R33" s="529" t="s">
        <v>154</v>
      </c>
      <c r="S33" s="602" t="s">
        <v>127</v>
      </c>
      <c r="T33" s="531" t="s">
        <v>140</v>
      </c>
      <c r="U33" s="532">
        <v>31</v>
      </c>
      <c r="V33" s="533" t="s">
        <v>157</v>
      </c>
      <c r="W33" s="535"/>
      <c r="X33" s="534" t="s">
        <v>140</v>
      </c>
    </row>
  </sheetData>
  <mergeCells count="1">
    <mergeCell ref="A1:X1"/>
  </mergeCells>
  <pageMargins left="0.7" right="0.7" top="0.75" bottom="0.75" header="0.3" footer="0.3"/>
  <pageSetup paperSize="9" scale="69" orientation="landscape" horizontalDpi="0" verticalDpi="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63539-430D-184E-8740-94BE7AB517AB}">
  <sheetPr>
    <pageSetUpPr fitToPage="1"/>
  </sheetPr>
  <dimension ref="A1:X33"/>
  <sheetViews>
    <sheetView workbookViewId="0">
      <selection activeCell="I26" sqref="I26"/>
    </sheetView>
  </sheetViews>
  <sheetFormatPr baseColWidth="10" defaultRowHeight="16"/>
  <cols>
    <col min="1" max="2" width="3.6640625" customWidth="1"/>
    <col min="3" max="3" width="18.83203125" customWidth="1"/>
    <col min="4" max="6" width="3.6640625" customWidth="1"/>
    <col min="7" max="7" width="18.83203125" customWidth="1"/>
    <col min="8" max="10" width="3.6640625" customWidth="1"/>
    <col min="11" max="11" width="18.83203125" customWidth="1"/>
    <col min="12" max="14" width="3.6640625" customWidth="1"/>
    <col min="15" max="15" width="18.83203125" customWidth="1"/>
    <col min="16" max="18" width="3.6640625" customWidth="1"/>
    <col min="19" max="19" width="18.83203125" customWidth="1"/>
    <col min="20" max="22" width="3.6640625" customWidth="1"/>
    <col min="23" max="23" width="18.83203125" customWidth="1"/>
    <col min="24" max="24" width="3.6640625" customWidth="1"/>
  </cols>
  <sheetData>
    <row r="1" spans="1:24" ht="30">
      <c r="A1" s="1634" t="str">
        <f>'TOMT ÅR'!A1</f>
        <v>Årskalender for Min egen skole 2026-2027</v>
      </c>
      <c r="B1" s="1635"/>
      <c r="C1" s="1635"/>
      <c r="D1" s="1635"/>
      <c r="E1" s="1635"/>
      <c r="F1" s="1635"/>
      <c r="G1" s="1635"/>
      <c r="H1" s="1635"/>
      <c r="I1" s="1635"/>
      <c r="J1" s="1635"/>
      <c r="K1" s="1635"/>
      <c r="L1" s="1635"/>
      <c r="M1" s="1635"/>
      <c r="N1" s="1635"/>
      <c r="O1" s="1635"/>
      <c r="P1" s="1635"/>
      <c r="Q1" s="1635"/>
      <c r="R1" s="1635"/>
      <c r="S1" s="1635"/>
      <c r="T1" s="1635"/>
      <c r="U1" s="1635"/>
      <c r="V1" s="1635"/>
      <c r="W1" s="1635"/>
      <c r="X1" s="1636"/>
    </row>
    <row r="2" spans="1:24" ht="18">
      <c r="A2" s="304" t="s">
        <v>98</v>
      </c>
      <c r="B2" s="301"/>
      <c r="C2" s="302"/>
      <c r="D2" s="303"/>
      <c r="E2" s="300" t="s">
        <v>99</v>
      </c>
      <c r="F2" s="301"/>
      <c r="G2" s="302"/>
      <c r="H2" s="303"/>
      <c r="I2" s="300" t="s">
        <v>100</v>
      </c>
      <c r="J2" s="301"/>
      <c r="K2" s="302"/>
      <c r="L2" s="303"/>
      <c r="M2" s="300" t="s">
        <v>101</v>
      </c>
      <c r="N2" s="301"/>
      <c r="O2" s="302"/>
      <c r="P2" s="303"/>
      <c r="Q2" s="300" t="s">
        <v>102</v>
      </c>
      <c r="R2" s="301"/>
      <c r="S2" s="302"/>
      <c r="T2" s="303"/>
      <c r="U2" s="300" t="s">
        <v>103</v>
      </c>
      <c r="V2" s="301"/>
      <c r="W2" s="302"/>
      <c r="X2" s="303"/>
    </row>
    <row r="3" spans="1:24">
      <c r="A3" s="514">
        <v>1</v>
      </c>
      <c r="B3" s="515" t="s">
        <v>153</v>
      </c>
      <c r="C3" s="516"/>
      <c r="D3" s="518">
        <v>5.4285714285714288</v>
      </c>
      <c r="E3" s="514">
        <v>1</v>
      </c>
      <c r="F3" s="515" t="s">
        <v>153</v>
      </c>
      <c r="G3" s="516"/>
      <c r="H3" s="523">
        <v>9.4285714285714288</v>
      </c>
      <c r="I3" s="514">
        <v>1</v>
      </c>
      <c r="J3" s="515" t="s">
        <v>154</v>
      </c>
      <c r="K3" s="516"/>
      <c r="L3" s="518" t="s">
        <v>140</v>
      </c>
      <c r="M3" s="519">
        <v>1</v>
      </c>
      <c r="N3" s="520" t="s">
        <v>152</v>
      </c>
      <c r="O3" s="521"/>
      <c r="P3" s="522" t="s">
        <v>140</v>
      </c>
      <c r="Q3" s="514">
        <v>1</v>
      </c>
      <c r="R3" s="515" t="s">
        <v>155</v>
      </c>
      <c r="S3" s="516"/>
      <c r="T3" s="518" t="s">
        <v>140</v>
      </c>
      <c r="U3" s="514">
        <v>1</v>
      </c>
      <c r="V3" s="515" t="s">
        <v>154</v>
      </c>
      <c r="W3" s="516"/>
      <c r="X3" s="523" t="s">
        <v>140</v>
      </c>
    </row>
    <row r="4" spans="1:24">
      <c r="A4" s="514">
        <v>2</v>
      </c>
      <c r="B4" s="515" t="s">
        <v>155</v>
      </c>
      <c r="C4" s="516"/>
      <c r="D4" s="518" t="s">
        <v>140</v>
      </c>
      <c r="E4" s="514">
        <v>2</v>
      </c>
      <c r="F4" s="515" t="s">
        <v>155</v>
      </c>
      <c r="G4" s="516"/>
      <c r="H4" s="523" t="s">
        <v>140</v>
      </c>
      <c r="I4" s="514">
        <v>2</v>
      </c>
      <c r="J4" s="515" t="s">
        <v>156</v>
      </c>
      <c r="K4" s="516"/>
      <c r="L4" s="518" t="s">
        <v>140</v>
      </c>
      <c r="M4" s="519">
        <v>2</v>
      </c>
      <c r="N4" s="520" t="s">
        <v>157</v>
      </c>
      <c r="O4" s="521"/>
      <c r="P4" s="522" t="s">
        <v>140</v>
      </c>
      <c r="Q4" s="514">
        <v>2</v>
      </c>
      <c r="R4" s="515" t="s">
        <v>151</v>
      </c>
      <c r="S4" s="516"/>
      <c r="T4" s="518" t="s">
        <v>140</v>
      </c>
      <c r="U4" s="514">
        <v>2</v>
      </c>
      <c r="V4" s="515" t="s">
        <v>156</v>
      </c>
      <c r="W4" s="516"/>
      <c r="X4" s="523" t="s">
        <v>140</v>
      </c>
    </row>
    <row r="5" spans="1:24">
      <c r="A5" s="514">
        <v>3</v>
      </c>
      <c r="B5" s="515" t="s">
        <v>151</v>
      </c>
      <c r="C5" s="516"/>
      <c r="D5" s="518" t="s">
        <v>140</v>
      </c>
      <c r="E5" s="514">
        <v>3</v>
      </c>
      <c r="F5" s="515" t="s">
        <v>151</v>
      </c>
      <c r="G5" s="516"/>
      <c r="H5" s="523" t="s">
        <v>140</v>
      </c>
      <c r="I5" s="519">
        <v>3</v>
      </c>
      <c r="J5" s="520" t="s">
        <v>152</v>
      </c>
      <c r="K5" s="521"/>
      <c r="L5" s="524" t="s">
        <v>140</v>
      </c>
      <c r="M5" s="514">
        <v>3</v>
      </c>
      <c r="N5" s="515" t="s">
        <v>153</v>
      </c>
      <c r="O5" s="516"/>
      <c r="P5" s="523">
        <v>18.428571428571427</v>
      </c>
      <c r="Q5" s="514">
        <v>3</v>
      </c>
      <c r="R5" s="515" t="s">
        <v>154</v>
      </c>
      <c r="S5" s="516"/>
      <c r="T5" s="518" t="s">
        <v>140</v>
      </c>
      <c r="U5" s="519">
        <v>3</v>
      </c>
      <c r="V5" s="520" t="s">
        <v>152</v>
      </c>
      <c r="W5" s="521"/>
      <c r="X5" s="522" t="s">
        <v>140</v>
      </c>
    </row>
    <row r="6" spans="1:24">
      <c r="A6" s="514">
        <v>4</v>
      </c>
      <c r="B6" s="515" t="s">
        <v>154</v>
      </c>
      <c r="C6" s="516"/>
      <c r="D6" s="518" t="s">
        <v>140</v>
      </c>
      <c r="E6" s="514">
        <v>4</v>
      </c>
      <c r="F6" s="515" t="s">
        <v>154</v>
      </c>
      <c r="G6" s="516"/>
      <c r="H6" s="523" t="s">
        <v>140</v>
      </c>
      <c r="I6" s="519">
        <v>4</v>
      </c>
      <c r="J6" s="520" t="s">
        <v>157</v>
      </c>
      <c r="K6" s="521"/>
      <c r="L6" s="524" t="s">
        <v>140</v>
      </c>
      <c r="M6" s="514">
        <v>4</v>
      </c>
      <c r="N6" s="515" t="s">
        <v>155</v>
      </c>
      <c r="O6" s="516"/>
      <c r="P6" s="523" t="s">
        <v>140</v>
      </c>
      <c r="Q6" s="514">
        <v>4</v>
      </c>
      <c r="R6" s="515" t="s">
        <v>156</v>
      </c>
      <c r="S6" s="516"/>
      <c r="T6" s="518" t="s">
        <v>140</v>
      </c>
      <c r="U6" s="519">
        <v>4</v>
      </c>
      <c r="V6" s="520" t="s">
        <v>157</v>
      </c>
      <c r="W6" s="521"/>
      <c r="X6" s="522" t="s">
        <v>140</v>
      </c>
    </row>
    <row r="7" spans="1:24">
      <c r="A7" s="514">
        <v>5</v>
      </c>
      <c r="B7" s="515" t="s">
        <v>156</v>
      </c>
      <c r="C7" s="516"/>
      <c r="D7" s="518" t="s">
        <v>140</v>
      </c>
      <c r="E7" s="514">
        <v>5</v>
      </c>
      <c r="F7" s="515" t="s">
        <v>156</v>
      </c>
      <c r="G7" s="516"/>
      <c r="H7" s="523" t="s">
        <v>140</v>
      </c>
      <c r="I7" s="514">
        <v>5</v>
      </c>
      <c r="J7" s="515" t="s">
        <v>153</v>
      </c>
      <c r="K7" s="516"/>
      <c r="L7" s="518">
        <v>14.428571428571429</v>
      </c>
      <c r="M7" s="514">
        <v>5</v>
      </c>
      <c r="N7" s="515" t="s">
        <v>151</v>
      </c>
      <c r="O7" s="516"/>
      <c r="P7" s="523" t="s">
        <v>140</v>
      </c>
      <c r="Q7" s="519">
        <v>5</v>
      </c>
      <c r="R7" s="520" t="s">
        <v>152</v>
      </c>
      <c r="S7" s="521" t="s">
        <v>215</v>
      </c>
      <c r="T7" s="524" t="s">
        <v>140</v>
      </c>
      <c r="U7" s="514">
        <v>5</v>
      </c>
      <c r="V7" s="515" t="s">
        <v>153</v>
      </c>
      <c r="W7" s="516"/>
      <c r="X7" s="523">
        <v>27.428571428571427</v>
      </c>
    </row>
    <row r="8" spans="1:24">
      <c r="A8" s="519">
        <v>6</v>
      </c>
      <c r="B8" s="520" t="s">
        <v>152</v>
      </c>
      <c r="C8" s="521"/>
      <c r="D8" s="524" t="s">
        <v>140</v>
      </c>
      <c r="E8" s="519">
        <v>6</v>
      </c>
      <c r="F8" s="520" t="s">
        <v>152</v>
      </c>
      <c r="G8" s="521"/>
      <c r="H8" s="522" t="s">
        <v>140</v>
      </c>
      <c r="I8" s="514">
        <v>6</v>
      </c>
      <c r="J8" s="515" t="s">
        <v>155</v>
      </c>
      <c r="K8" s="516"/>
      <c r="L8" s="518" t="s">
        <v>140</v>
      </c>
      <c r="M8" s="514">
        <v>6</v>
      </c>
      <c r="N8" s="515" t="s">
        <v>154</v>
      </c>
      <c r="O8" s="748" t="s">
        <v>716</v>
      </c>
      <c r="P8" s="523" t="s">
        <v>140</v>
      </c>
      <c r="Q8" s="519">
        <v>6</v>
      </c>
      <c r="R8" s="520" t="s">
        <v>157</v>
      </c>
      <c r="S8" s="521"/>
      <c r="T8" s="524" t="s">
        <v>140</v>
      </c>
      <c r="U8" s="514">
        <v>6</v>
      </c>
      <c r="V8" s="515" t="s">
        <v>155</v>
      </c>
      <c r="W8" s="516"/>
      <c r="X8" s="523" t="s">
        <v>140</v>
      </c>
    </row>
    <row r="9" spans="1:24">
      <c r="A9" s="519">
        <v>7</v>
      </c>
      <c r="B9" s="520" t="s">
        <v>157</v>
      </c>
      <c r="C9" s="521"/>
      <c r="D9" s="524" t="s">
        <v>140</v>
      </c>
      <c r="E9" s="519">
        <v>7</v>
      </c>
      <c r="F9" s="520" t="s">
        <v>157</v>
      </c>
      <c r="G9" s="521"/>
      <c r="H9" s="522" t="s">
        <v>140</v>
      </c>
      <c r="I9" s="514">
        <v>7</v>
      </c>
      <c r="J9" s="515" t="s">
        <v>151</v>
      </c>
      <c r="K9" s="516"/>
      <c r="L9" s="518" t="s">
        <v>140</v>
      </c>
      <c r="M9" s="514">
        <v>7</v>
      </c>
      <c r="N9" s="515" t="s">
        <v>156</v>
      </c>
      <c r="O9" s="516"/>
      <c r="P9" s="523" t="s">
        <v>140</v>
      </c>
      <c r="Q9" s="514">
        <v>7</v>
      </c>
      <c r="R9" s="515" t="s">
        <v>153</v>
      </c>
      <c r="S9" s="516"/>
      <c r="T9" s="518">
        <v>23.428571428571427</v>
      </c>
      <c r="U9" s="514">
        <v>7</v>
      </c>
      <c r="V9" s="515" t="s">
        <v>151</v>
      </c>
      <c r="W9" s="516"/>
      <c r="X9" s="523" t="s">
        <v>140</v>
      </c>
    </row>
    <row r="10" spans="1:24">
      <c r="A10" s="514">
        <v>8</v>
      </c>
      <c r="B10" s="515" t="s">
        <v>153</v>
      </c>
      <c r="C10" s="516"/>
      <c r="D10" s="518">
        <v>6.4285714285714288</v>
      </c>
      <c r="E10" s="514">
        <v>8</v>
      </c>
      <c r="F10" s="515" t="s">
        <v>153</v>
      </c>
      <c r="G10" s="516"/>
      <c r="H10" s="523">
        <v>10.428571428571429</v>
      </c>
      <c r="I10" s="514">
        <v>8</v>
      </c>
      <c r="J10" s="515" t="s">
        <v>154</v>
      </c>
      <c r="K10" s="516"/>
      <c r="L10" s="518" t="s">
        <v>140</v>
      </c>
      <c r="M10" s="519">
        <v>8</v>
      </c>
      <c r="N10" s="520" t="s">
        <v>152</v>
      </c>
      <c r="O10" s="521"/>
      <c r="P10" s="522" t="s">
        <v>140</v>
      </c>
      <c r="Q10" s="514">
        <v>8</v>
      </c>
      <c r="R10" s="515" t="s">
        <v>155</v>
      </c>
      <c r="S10" s="516"/>
      <c r="T10" s="518" t="s">
        <v>140</v>
      </c>
      <c r="U10" s="514">
        <v>8</v>
      </c>
      <c r="V10" s="515" t="s">
        <v>154</v>
      </c>
      <c r="W10" s="516"/>
      <c r="X10" s="523" t="s">
        <v>140</v>
      </c>
    </row>
    <row r="11" spans="1:24">
      <c r="A11" s="514">
        <v>9</v>
      </c>
      <c r="B11" s="515" t="s">
        <v>155</v>
      </c>
      <c r="C11" s="516"/>
      <c r="D11" s="518" t="s">
        <v>140</v>
      </c>
      <c r="E11" s="514">
        <v>9</v>
      </c>
      <c r="F11" s="515" t="s">
        <v>155</v>
      </c>
      <c r="G11" s="516"/>
      <c r="H11" s="523" t="s">
        <v>140</v>
      </c>
      <c r="I11" s="514">
        <v>9</v>
      </c>
      <c r="J11" s="515" t="s">
        <v>156</v>
      </c>
      <c r="K11" s="516"/>
      <c r="L11" s="518" t="s">
        <v>140</v>
      </c>
      <c r="M11" s="519">
        <v>9</v>
      </c>
      <c r="N11" s="520" t="s">
        <v>157</v>
      </c>
      <c r="O11" s="747"/>
      <c r="P11" s="522" t="s">
        <v>140</v>
      </c>
      <c r="Q11" s="514">
        <v>9</v>
      </c>
      <c r="R11" s="515" t="s">
        <v>151</v>
      </c>
      <c r="S11" s="516"/>
      <c r="T11" s="518" t="s">
        <v>140</v>
      </c>
      <c r="U11" s="514">
        <v>9</v>
      </c>
      <c r="V11" s="515" t="s">
        <v>156</v>
      </c>
      <c r="W11" s="516"/>
      <c r="X11" s="523" t="s">
        <v>140</v>
      </c>
    </row>
    <row r="12" spans="1:24">
      <c r="A12" s="514">
        <v>10</v>
      </c>
      <c r="B12" s="515" t="s">
        <v>151</v>
      </c>
      <c r="C12" s="516"/>
      <c r="D12" s="518" t="s">
        <v>140</v>
      </c>
      <c r="E12" s="514">
        <v>10</v>
      </c>
      <c r="F12" s="515" t="s">
        <v>151</v>
      </c>
      <c r="G12" s="516"/>
      <c r="H12" s="523" t="s">
        <v>140</v>
      </c>
      <c r="I12" s="519">
        <v>10</v>
      </c>
      <c r="J12" s="520" t="s">
        <v>152</v>
      </c>
      <c r="K12" s="521"/>
      <c r="L12" s="524" t="s">
        <v>140</v>
      </c>
      <c r="M12" s="514">
        <v>10</v>
      </c>
      <c r="N12" s="515" t="s">
        <v>153</v>
      </c>
      <c r="O12" s="516"/>
      <c r="P12" s="523">
        <v>19.428571428571427</v>
      </c>
      <c r="Q12" s="514">
        <v>10</v>
      </c>
      <c r="R12" s="515" t="s">
        <v>154</v>
      </c>
      <c r="S12" s="516"/>
      <c r="T12" s="518" t="s">
        <v>140</v>
      </c>
      <c r="U12" s="519">
        <v>10</v>
      </c>
      <c r="V12" s="520" t="s">
        <v>152</v>
      </c>
      <c r="W12" s="521"/>
      <c r="X12" s="522" t="s">
        <v>140</v>
      </c>
    </row>
    <row r="13" spans="1:24">
      <c r="A13" s="514">
        <v>11</v>
      </c>
      <c r="B13" s="515" t="s">
        <v>154</v>
      </c>
      <c r="C13" s="516"/>
      <c r="D13" s="518" t="s">
        <v>140</v>
      </c>
      <c r="E13" s="514">
        <v>11</v>
      </c>
      <c r="F13" s="515" t="s">
        <v>154</v>
      </c>
      <c r="G13" s="516"/>
      <c r="H13" s="523" t="s">
        <v>140</v>
      </c>
      <c r="I13" s="519">
        <v>11</v>
      </c>
      <c r="J13" s="520" t="s">
        <v>157</v>
      </c>
      <c r="K13" s="521"/>
      <c r="L13" s="524" t="s">
        <v>140</v>
      </c>
      <c r="M13" s="514">
        <v>11</v>
      </c>
      <c r="N13" s="515" t="s">
        <v>155</v>
      </c>
      <c r="O13" s="516"/>
      <c r="P13" s="523" t="s">
        <v>140</v>
      </c>
      <c r="Q13" s="514">
        <v>11</v>
      </c>
      <c r="R13" s="515" t="s">
        <v>156</v>
      </c>
      <c r="S13" s="516"/>
      <c r="T13" s="518" t="s">
        <v>140</v>
      </c>
      <c r="U13" s="519">
        <v>11</v>
      </c>
      <c r="V13" s="520" t="s">
        <v>157</v>
      </c>
      <c r="W13" s="521"/>
      <c r="X13" s="522" t="s">
        <v>140</v>
      </c>
    </row>
    <row r="14" spans="1:24">
      <c r="A14" s="514">
        <v>12</v>
      </c>
      <c r="B14" s="515" t="s">
        <v>156</v>
      </c>
      <c r="C14" s="516"/>
      <c r="D14" s="518" t="s">
        <v>140</v>
      </c>
      <c r="E14" s="514">
        <v>12</v>
      </c>
      <c r="F14" s="515" t="s">
        <v>156</v>
      </c>
      <c r="G14" s="516"/>
      <c r="H14" s="523" t="s">
        <v>140</v>
      </c>
      <c r="I14" s="514">
        <v>12</v>
      </c>
      <c r="J14" s="515" t="s">
        <v>153</v>
      </c>
      <c r="K14" s="516"/>
      <c r="L14" s="518">
        <v>15.428571428571429</v>
      </c>
      <c r="M14" s="514">
        <v>12</v>
      </c>
      <c r="N14" s="515" t="s">
        <v>151</v>
      </c>
      <c r="O14" s="516"/>
      <c r="P14" s="523" t="s">
        <v>140</v>
      </c>
      <c r="Q14" s="519">
        <v>12</v>
      </c>
      <c r="R14" s="520" t="s">
        <v>152</v>
      </c>
      <c r="S14" s="521"/>
      <c r="T14" s="524" t="s">
        <v>140</v>
      </c>
      <c r="U14" s="514">
        <v>12</v>
      </c>
      <c r="V14" s="515" t="s">
        <v>153</v>
      </c>
      <c r="W14" s="516"/>
      <c r="X14" s="523">
        <v>28.428571428571427</v>
      </c>
    </row>
    <row r="15" spans="1:24">
      <c r="A15" s="519">
        <v>13</v>
      </c>
      <c r="B15" s="520" t="s">
        <v>152</v>
      </c>
      <c r="C15" s="521"/>
      <c r="D15" s="524" t="s">
        <v>140</v>
      </c>
      <c r="E15" s="519">
        <v>13</v>
      </c>
      <c r="F15" s="520" t="s">
        <v>152</v>
      </c>
      <c r="G15" s="521"/>
      <c r="H15" s="522" t="s">
        <v>140</v>
      </c>
      <c r="I15" s="514">
        <v>13</v>
      </c>
      <c r="J15" s="515" t="s">
        <v>155</v>
      </c>
      <c r="K15" s="516"/>
      <c r="L15" s="518" t="s">
        <v>140</v>
      </c>
      <c r="M15" s="514">
        <v>13</v>
      </c>
      <c r="N15" s="515" t="s">
        <v>154</v>
      </c>
      <c r="O15" s="516"/>
      <c r="P15" s="523" t="s">
        <v>140</v>
      </c>
      <c r="Q15" s="519">
        <v>13</v>
      </c>
      <c r="R15" s="520" t="s">
        <v>157</v>
      </c>
      <c r="S15" s="521"/>
      <c r="T15" s="524" t="s">
        <v>140</v>
      </c>
      <c r="U15" s="514">
        <v>13</v>
      </c>
      <c r="V15" s="515" t="s">
        <v>155</v>
      </c>
      <c r="W15" s="516"/>
      <c r="X15" s="523" t="s">
        <v>140</v>
      </c>
    </row>
    <row r="16" spans="1:24">
      <c r="A16" s="519">
        <v>14</v>
      </c>
      <c r="B16" s="520" t="s">
        <v>157</v>
      </c>
      <c r="C16" s="521"/>
      <c r="D16" s="524" t="s">
        <v>140</v>
      </c>
      <c r="E16" s="519">
        <v>14</v>
      </c>
      <c r="F16" s="520" t="s">
        <v>157</v>
      </c>
      <c r="G16" s="521"/>
      <c r="H16" s="522" t="s">
        <v>140</v>
      </c>
      <c r="I16" s="514">
        <v>14</v>
      </c>
      <c r="J16" s="515" t="s">
        <v>151</v>
      </c>
      <c r="K16" s="516"/>
      <c r="L16" s="518" t="s">
        <v>140</v>
      </c>
      <c r="M16" s="514">
        <v>14</v>
      </c>
      <c r="N16" s="515" t="s">
        <v>156</v>
      </c>
      <c r="O16" s="516"/>
      <c r="P16" s="523" t="s">
        <v>140</v>
      </c>
      <c r="Q16" s="514">
        <v>14</v>
      </c>
      <c r="R16" s="515" t="s">
        <v>153</v>
      </c>
      <c r="S16" s="516"/>
      <c r="T16" s="518">
        <v>24.428571428571427</v>
      </c>
      <c r="U16" s="514">
        <v>14</v>
      </c>
      <c r="V16" s="515" t="s">
        <v>151</v>
      </c>
      <c r="W16" s="516"/>
      <c r="X16" s="523" t="s">
        <v>140</v>
      </c>
    </row>
    <row r="17" spans="1:24">
      <c r="A17" s="514">
        <v>15</v>
      </c>
      <c r="B17" s="515" t="s">
        <v>153</v>
      </c>
      <c r="C17" s="516"/>
      <c r="D17" s="518">
        <v>7.4285714285714288</v>
      </c>
      <c r="E17" s="514">
        <v>15</v>
      </c>
      <c r="F17" s="515" t="s">
        <v>153</v>
      </c>
      <c r="G17" s="516"/>
      <c r="H17" s="523">
        <v>11.428571428571429</v>
      </c>
      <c r="I17" s="514">
        <v>15</v>
      </c>
      <c r="J17" s="515" t="s">
        <v>154</v>
      </c>
      <c r="K17" s="516"/>
      <c r="L17" s="518" t="s">
        <v>140</v>
      </c>
      <c r="M17" s="519">
        <v>15</v>
      </c>
      <c r="N17" s="520" t="s">
        <v>152</v>
      </c>
      <c r="O17" s="521"/>
      <c r="P17" s="522" t="s">
        <v>140</v>
      </c>
      <c r="Q17" s="514">
        <v>15</v>
      </c>
      <c r="R17" s="515" t="s">
        <v>155</v>
      </c>
      <c r="S17" s="516"/>
      <c r="T17" s="518" t="s">
        <v>140</v>
      </c>
      <c r="U17" s="514">
        <v>15</v>
      </c>
      <c r="V17" s="515" t="s">
        <v>154</v>
      </c>
      <c r="W17" s="516"/>
      <c r="X17" s="523" t="s">
        <v>140</v>
      </c>
    </row>
    <row r="18" spans="1:24">
      <c r="A18" s="514">
        <v>16</v>
      </c>
      <c r="B18" s="515" t="s">
        <v>155</v>
      </c>
      <c r="C18" s="516"/>
      <c r="D18" s="518" t="s">
        <v>140</v>
      </c>
      <c r="E18" s="514">
        <v>16</v>
      </c>
      <c r="F18" s="515" t="s">
        <v>155</v>
      </c>
      <c r="G18" s="516"/>
      <c r="H18" s="523" t="s">
        <v>140</v>
      </c>
      <c r="I18" s="514">
        <v>16</v>
      </c>
      <c r="J18" s="515" t="s">
        <v>156</v>
      </c>
      <c r="K18" s="516"/>
      <c r="L18" s="518" t="s">
        <v>140</v>
      </c>
      <c r="M18" s="519">
        <v>16</v>
      </c>
      <c r="N18" s="520" t="s">
        <v>157</v>
      </c>
      <c r="O18" s="521" t="s">
        <v>174</v>
      </c>
      <c r="P18" s="522" t="s">
        <v>140</v>
      </c>
      <c r="Q18" s="514">
        <v>16</v>
      </c>
      <c r="R18" s="515" t="s">
        <v>151</v>
      </c>
      <c r="S18" s="516"/>
      <c r="T18" s="518" t="s">
        <v>140</v>
      </c>
      <c r="U18" s="514">
        <v>16</v>
      </c>
      <c r="V18" s="515" t="s">
        <v>156</v>
      </c>
      <c r="W18" s="516"/>
      <c r="X18" s="523" t="s">
        <v>140</v>
      </c>
    </row>
    <row r="19" spans="1:24">
      <c r="A19" s="514">
        <v>17</v>
      </c>
      <c r="B19" s="515" t="s">
        <v>151</v>
      </c>
      <c r="C19" s="516"/>
      <c r="D19" s="518" t="s">
        <v>140</v>
      </c>
      <c r="E19" s="514">
        <v>17</v>
      </c>
      <c r="F19" s="515" t="s">
        <v>151</v>
      </c>
      <c r="G19" s="516"/>
      <c r="H19" s="523" t="s">
        <v>140</v>
      </c>
      <c r="I19" s="519">
        <v>17</v>
      </c>
      <c r="J19" s="520" t="s">
        <v>152</v>
      </c>
      <c r="K19" s="521"/>
      <c r="L19" s="524" t="s">
        <v>140</v>
      </c>
      <c r="M19" s="514">
        <v>17</v>
      </c>
      <c r="N19" s="515" t="s">
        <v>153</v>
      </c>
      <c r="O19" s="516" t="s">
        <v>520</v>
      </c>
      <c r="P19" s="523">
        <v>20.428571428571427</v>
      </c>
      <c r="Q19" s="514">
        <v>17</v>
      </c>
      <c r="R19" s="515" t="s">
        <v>154</v>
      </c>
      <c r="S19" s="516"/>
      <c r="T19" s="518" t="s">
        <v>140</v>
      </c>
      <c r="U19" s="519">
        <v>17</v>
      </c>
      <c r="V19" s="520" t="s">
        <v>152</v>
      </c>
      <c r="W19" s="521"/>
      <c r="X19" s="522" t="s">
        <v>140</v>
      </c>
    </row>
    <row r="20" spans="1:24">
      <c r="A20" s="514">
        <v>18</v>
      </c>
      <c r="B20" s="515" t="s">
        <v>154</v>
      </c>
      <c r="C20" s="516"/>
      <c r="D20" s="518" t="s">
        <v>140</v>
      </c>
      <c r="E20" s="514">
        <v>18</v>
      </c>
      <c r="F20" s="515" t="s">
        <v>154</v>
      </c>
      <c r="G20" s="516"/>
      <c r="H20" s="523" t="s">
        <v>140</v>
      </c>
      <c r="I20" s="519">
        <v>18</v>
      </c>
      <c r="J20" s="520" t="s">
        <v>157</v>
      </c>
      <c r="K20" s="521"/>
      <c r="L20" s="524" t="s">
        <v>140</v>
      </c>
      <c r="M20" s="514">
        <v>18</v>
      </c>
      <c r="N20" s="515" t="s">
        <v>155</v>
      </c>
      <c r="O20" s="601"/>
      <c r="P20" s="749" t="s">
        <v>140</v>
      </c>
      <c r="Q20" s="514">
        <v>18</v>
      </c>
      <c r="R20" s="515" t="s">
        <v>156</v>
      </c>
      <c r="S20" s="516"/>
      <c r="T20" s="518" t="s">
        <v>140</v>
      </c>
      <c r="U20" s="519">
        <v>18</v>
      </c>
      <c r="V20" s="533" t="s">
        <v>157</v>
      </c>
      <c r="W20" s="521"/>
      <c r="X20" s="522" t="s">
        <v>140</v>
      </c>
    </row>
    <row r="21" spans="1:24">
      <c r="A21" s="514">
        <v>19</v>
      </c>
      <c r="B21" s="515" t="s">
        <v>156</v>
      </c>
      <c r="C21" s="516"/>
      <c r="D21" s="518" t="s">
        <v>140</v>
      </c>
      <c r="E21" s="514">
        <v>19</v>
      </c>
      <c r="F21" s="515" t="s">
        <v>156</v>
      </c>
      <c r="G21" s="516"/>
      <c r="H21" s="523" t="s">
        <v>140</v>
      </c>
      <c r="I21" s="514">
        <v>19</v>
      </c>
      <c r="J21" s="515" t="s">
        <v>153</v>
      </c>
      <c r="K21" s="516"/>
      <c r="L21" s="518">
        <v>16.428571428571427</v>
      </c>
      <c r="M21" s="514">
        <v>19</v>
      </c>
      <c r="N21" s="515" t="s">
        <v>151</v>
      </c>
      <c r="O21" s="516"/>
      <c r="P21" s="523" t="s">
        <v>140</v>
      </c>
      <c r="Q21" s="519">
        <v>19</v>
      </c>
      <c r="R21" s="520" t="s">
        <v>152</v>
      </c>
      <c r="S21" s="521"/>
      <c r="T21" s="524" t="s">
        <v>140</v>
      </c>
      <c r="U21" s="514">
        <v>19</v>
      </c>
      <c r="V21" s="515" t="s">
        <v>153</v>
      </c>
      <c r="W21" s="516"/>
      <c r="X21" s="523">
        <v>29.428571428571427</v>
      </c>
    </row>
    <row r="22" spans="1:24">
      <c r="A22" s="519">
        <v>20</v>
      </c>
      <c r="B22" s="520" t="s">
        <v>152</v>
      </c>
      <c r="C22" s="521"/>
      <c r="D22" s="524" t="s">
        <v>140</v>
      </c>
      <c r="E22" s="519">
        <v>20</v>
      </c>
      <c r="F22" s="520" t="s">
        <v>152</v>
      </c>
      <c r="G22" s="521"/>
      <c r="H22" s="522" t="s">
        <v>140</v>
      </c>
      <c r="I22" s="514">
        <v>20</v>
      </c>
      <c r="J22" s="515" t="s">
        <v>155</v>
      </c>
      <c r="K22" s="516"/>
      <c r="L22" s="518" t="s">
        <v>140</v>
      </c>
      <c r="M22" s="514">
        <v>20</v>
      </c>
      <c r="N22" s="515" t="s">
        <v>154</v>
      </c>
      <c r="O22" s="516"/>
      <c r="P22" s="523" t="s">
        <v>140</v>
      </c>
      <c r="Q22" s="519">
        <v>20</v>
      </c>
      <c r="R22" s="533" t="s">
        <v>157</v>
      </c>
      <c r="S22" s="521"/>
      <c r="T22" s="524" t="s">
        <v>140</v>
      </c>
      <c r="U22" s="514">
        <v>20</v>
      </c>
      <c r="V22" s="515" t="s">
        <v>155</v>
      </c>
      <c r="W22" s="516"/>
      <c r="X22" s="523" t="s">
        <v>140</v>
      </c>
    </row>
    <row r="23" spans="1:24">
      <c r="A23" s="519">
        <v>21</v>
      </c>
      <c r="B23" s="520" t="s">
        <v>157</v>
      </c>
      <c r="C23" s="521"/>
      <c r="D23" s="524" t="s">
        <v>140</v>
      </c>
      <c r="E23" s="519">
        <v>21</v>
      </c>
      <c r="F23" s="520" t="s">
        <v>157</v>
      </c>
      <c r="G23" s="521" t="s">
        <v>173</v>
      </c>
      <c r="H23" s="522" t="s">
        <v>140</v>
      </c>
      <c r="I23" s="514">
        <v>21</v>
      </c>
      <c r="J23" s="515" t="s">
        <v>151</v>
      </c>
      <c r="K23" s="516"/>
      <c r="L23" s="518" t="s">
        <v>140</v>
      </c>
      <c r="M23" s="514">
        <v>21</v>
      </c>
      <c r="N23" s="515" t="s">
        <v>156</v>
      </c>
      <c r="O23" s="516"/>
      <c r="P23" s="523" t="s">
        <v>140</v>
      </c>
      <c r="Q23" s="514">
        <v>21</v>
      </c>
      <c r="R23" s="515" t="s">
        <v>153</v>
      </c>
      <c r="S23" s="516"/>
      <c r="T23" s="518">
        <v>25.428571428571427</v>
      </c>
      <c r="U23" s="514">
        <v>21</v>
      </c>
      <c r="V23" s="529" t="s">
        <v>151</v>
      </c>
      <c r="W23" s="516"/>
      <c r="X23" s="523" t="s">
        <v>140</v>
      </c>
    </row>
    <row r="24" spans="1:24">
      <c r="A24" s="514">
        <v>22</v>
      </c>
      <c r="B24" s="515" t="s">
        <v>153</v>
      </c>
      <c r="C24" s="516"/>
      <c r="D24" s="518">
        <v>8.4285714285714288</v>
      </c>
      <c r="E24" s="514">
        <v>22</v>
      </c>
      <c r="F24" s="515" t="s">
        <v>153</v>
      </c>
      <c r="G24" s="516"/>
      <c r="H24" s="523">
        <v>12.428571428571429</v>
      </c>
      <c r="I24" s="514">
        <v>22</v>
      </c>
      <c r="J24" s="515" t="s">
        <v>154</v>
      </c>
      <c r="K24" s="516"/>
      <c r="L24" s="518" t="s">
        <v>140</v>
      </c>
      <c r="M24" s="519">
        <v>22</v>
      </c>
      <c r="N24" s="520" t="s">
        <v>152</v>
      </c>
      <c r="O24" s="521"/>
      <c r="P24" s="522" t="s">
        <v>140</v>
      </c>
      <c r="Q24" s="514">
        <v>22</v>
      </c>
      <c r="R24" s="515" t="s">
        <v>155</v>
      </c>
      <c r="S24" s="516"/>
      <c r="T24" s="518" t="s">
        <v>140</v>
      </c>
      <c r="U24" s="514">
        <v>22</v>
      </c>
      <c r="V24" s="515" t="s">
        <v>154</v>
      </c>
      <c r="W24" s="516"/>
      <c r="X24" s="523" t="s">
        <v>140</v>
      </c>
    </row>
    <row r="25" spans="1:24">
      <c r="A25" s="514">
        <v>23</v>
      </c>
      <c r="B25" s="515" t="s">
        <v>155</v>
      </c>
      <c r="C25" s="516"/>
      <c r="D25" s="518" t="s">
        <v>140</v>
      </c>
      <c r="E25" s="514">
        <v>23</v>
      </c>
      <c r="F25" s="515" t="s">
        <v>155</v>
      </c>
      <c r="G25" s="516"/>
      <c r="H25" s="523" t="s">
        <v>140</v>
      </c>
      <c r="I25" s="514">
        <v>23</v>
      </c>
      <c r="J25" s="515" t="s">
        <v>156</v>
      </c>
      <c r="K25" s="516"/>
      <c r="L25" s="518" t="s">
        <v>140</v>
      </c>
      <c r="M25" s="519">
        <v>23</v>
      </c>
      <c r="N25" s="533" t="s">
        <v>157</v>
      </c>
      <c r="O25" s="521"/>
      <c r="P25" s="522" t="s">
        <v>140</v>
      </c>
      <c r="Q25" s="514">
        <v>23</v>
      </c>
      <c r="R25" s="529" t="s">
        <v>151</v>
      </c>
      <c r="S25" s="516"/>
      <c r="T25" s="518" t="s">
        <v>140</v>
      </c>
      <c r="U25" s="514">
        <v>23</v>
      </c>
      <c r="V25" s="515" t="s">
        <v>156</v>
      </c>
      <c r="W25" s="516"/>
      <c r="X25" s="523" t="s">
        <v>140</v>
      </c>
    </row>
    <row r="26" spans="1:24">
      <c r="A26" s="514">
        <v>24</v>
      </c>
      <c r="B26" s="515" t="s">
        <v>151</v>
      </c>
      <c r="C26" s="516"/>
      <c r="D26" s="518" t="s">
        <v>140</v>
      </c>
      <c r="E26" s="514">
        <v>24</v>
      </c>
      <c r="F26" s="515" t="s">
        <v>151</v>
      </c>
      <c r="G26" s="516"/>
      <c r="H26" s="523" t="s">
        <v>140</v>
      </c>
      <c r="I26" s="519">
        <v>24</v>
      </c>
      <c r="J26" s="520" t="s">
        <v>152</v>
      </c>
      <c r="K26" s="521"/>
      <c r="L26" s="524" t="s">
        <v>140</v>
      </c>
      <c r="M26" s="514">
        <v>24</v>
      </c>
      <c r="N26" s="515" t="s">
        <v>153</v>
      </c>
      <c r="O26" s="516"/>
      <c r="P26" s="523">
        <v>21.428571428571427</v>
      </c>
      <c r="Q26" s="514">
        <v>24</v>
      </c>
      <c r="R26" s="515" t="s">
        <v>154</v>
      </c>
      <c r="S26" s="516"/>
      <c r="T26" s="518" t="s">
        <v>140</v>
      </c>
      <c r="U26" s="519">
        <v>24</v>
      </c>
      <c r="V26" s="520" t="s">
        <v>152</v>
      </c>
      <c r="W26" s="521"/>
      <c r="X26" s="522" t="s">
        <v>140</v>
      </c>
    </row>
    <row r="27" spans="1:24">
      <c r="A27" s="514">
        <v>25</v>
      </c>
      <c r="B27" s="515" t="s">
        <v>154</v>
      </c>
      <c r="C27" s="516"/>
      <c r="D27" s="518" t="s">
        <v>140</v>
      </c>
      <c r="E27" s="514">
        <v>25</v>
      </c>
      <c r="F27" s="515" t="s">
        <v>154</v>
      </c>
      <c r="G27" s="516" t="s">
        <v>104</v>
      </c>
      <c r="H27" s="523" t="s">
        <v>140</v>
      </c>
      <c r="I27" s="519">
        <v>25</v>
      </c>
      <c r="J27" s="533" t="s">
        <v>157</v>
      </c>
      <c r="K27" s="521"/>
      <c r="L27" s="524" t="s">
        <v>140</v>
      </c>
      <c r="M27" s="514">
        <v>25</v>
      </c>
      <c r="N27" s="515" t="s">
        <v>155</v>
      </c>
      <c r="O27" s="516"/>
      <c r="P27" s="523" t="s">
        <v>140</v>
      </c>
      <c r="Q27" s="514">
        <v>25</v>
      </c>
      <c r="R27" s="515" t="s">
        <v>156</v>
      </c>
      <c r="S27" s="516"/>
      <c r="T27" s="518" t="s">
        <v>140</v>
      </c>
      <c r="U27" s="519">
        <v>25</v>
      </c>
      <c r="V27" s="520" t="s">
        <v>157</v>
      </c>
      <c r="W27" s="521"/>
      <c r="X27" s="522" t="s">
        <v>140</v>
      </c>
    </row>
    <row r="28" spans="1:24">
      <c r="A28" s="514">
        <v>26</v>
      </c>
      <c r="B28" s="515" t="s">
        <v>156</v>
      </c>
      <c r="C28" s="516"/>
      <c r="D28" s="518" t="s">
        <v>140</v>
      </c>
      <c r="E28" s="514">
        <v>26</v>
      </c>
      <c r="F28" s="515" t="s">
        <v>156</v>
      </c>
      <c r="G28" s="516" t="s">
        <v>165</v>
      </c>
      <c r="H28" s="523" t="s">
        <v>140</v>
      </c>
      <c r="I28" s="514">
        <v>26</v>
      </c>
      <c r="J28" s="515" t="s">
        <v>153</v>
      </c>
      <c r="K28" s="516"/>
      <c r="L28" s="518">
        <v>17.428571428571427</v>
      </c>
      <c r="M28" s="514">
        <v>26</v>
      </c>
      <c r="N28" s="529" t="s">
        <v>151</v>
      </c>
      <c r="O28" s="516"/>
      <c r="P28" s="523" t="s">
        <v>140</v>
      </c>
      <c r="Q28" s="519">
        <v>26</v>
      </c>
      <c r="R28" s="520" t="s">
        <v>152</v>
      </c>
      <c r="S28" s="521"/>
      <c r="T28" s="524" t="s">
        <v>140</v>
      </c>
      <c r="U28" s="514">
        <v>26</v>
      </c>
      <c r="V28" s="529" t="s">
        <v>153</v>
      </c>
      <c r="W28" s="516"/>
      <c r="X28" s="523">
        <v>30.428571428571427</v>
      </c>
    </row>
    <row r="29" spans="1:24">
      <c r="A29" s="519">
        <v>27</v>
      </c>
      <c r="B29" s="520" t="s">
        <v>152</v>
      </c>
      <c r="C29" s="521"/>
      <c r="D29" s="524" t="s">
        <v>140</v>
      </c>
      <c r="E29" s="519">
        <v>27</v>
      </c>
      <c r="F29" s="520" t="s">
        <v>152</v>
      </c>
      <c r="G29" s="521"/>
      <c r="H29" s="522" t="s">
        <v>140</v>
      </c>
      <c r="I29" s="514">
        <v>27</v>
      </c>
      <c r="J29" s="515" t="s">
        <v>155</v>
      </c>
      <c r="K29" s="516"/>
      <c r="L29" s="518" t="s">
        <v>140</v>
      </c>
      <c r="M29" s="514">
        <v>27</v>
      </c>
      <c r="N29" s="515" t="s">
        <v>154</v>
      </c>
      <c r="O29" s="516"/>
      <c r="P29" s="523" t="s">
        <v>140</v>
      </c>
      <c r="Q29" s="519">
        <v>27</v>
      </c>
      <c r="R29" s="520" t="s">
        <v>157</v>
      </c>
      <c r="S29" s="521"/>
      <c r="T29" s="524" t="s">
        <v>140</v>
      </c>
      <c r="U29" s="514">
        <v>27</v>
      </c>
      <c r="V29" s="515" t="s">
        <v>155</v>
      </c>
      <c r="W29" s="516"/>
      <c r="X29" s="523" t="s">
        <v>140</v>
      </c>
    </row>
    <row r="30" spans="1:24">
      <c r="A30" s="519">
        <v>28</v>
      </c>
      <c r="B30" s="533" t="s">
        <v>157</v>
      </c>
      <c r="C30" s="521"/>
      <c r="D30" s="522" t="s">
        <v>140</v>
      </c>
      <c r="E30" s="519">
        <v>28</v>
      </c>
      <c r="F30" s="533" t="s">
        <v>157</v>
      </c>
      <c r="G30" s="521" t="s">
        <v>717</v>
      </c>
      <c r="H30" s="522" t="s">
        <v>140</v>
      </c>
      <c r="I30" s="514">
        <v>28</v>
      </c>
      <c r="J30" s="529" t="s">
        <v>151</v>
      </c>
      <c r="K30" s="516"/>
      <c r="L30" s="518" t="s">
        <v>140</v>
      </c>
      <c r="M30" s="514">
        <v>28</v>
      </c>
      <c r="N30" s="515" t="s">
        <v>156</v>
      </c>
      <c r="O30" s="516"/>
      <c r="P30" s="523" t="s">
        <v>140</v>
      </c>
      <c r="Q30" s="514">
        <v>28</v>
      </c>
      <c r="R30" s="529" t="s">
        <v>153</v>
      </c>
      <c r="S30" s="516"/>
      <c r="T30" s="518">
        <v>26.428571428571427</v>
      </c>
      <c r="U30" s="514">
        <v>28</v>
      </c>
      <c r="V30" s="515" t="s">
        <v>151</v>
      </c>
      <c r="W30" s="516"/>
      <c r="X30" s="523" t="s">
        <v>140</v>
      </c>
    </row>
    <row r="31" spans="1:24">
      <c r="A31" s="194"/>
      <c r="B31" s="195"/>
      <c r="C31" s="196"/>
      <c r="D31" s="205"/>
      <c r="E31" s="514">
        <v>29</v>
      </c>
      <c r="F31" s="515" t="s">
        <v>153</v>
      </c>
      <c r="G31" s="516" t="s">
        <v>675</v>
      </c>
      <c r="H31" s="523">
        <v>13.428571428571429</v>
      </c>
      <c r="I31" s="514">
        <v>29</v>
      </c>
      <c r="J31" s="515" t="s">
        <v>154</v>
      </c>
      <c r="K31" s="516"/>
      <c r="L31" s="518" t="s">
        <v>140</v>
      </c>
      <c r="M31" s="519">
        <v>29</v>
      </c>
      <c r="N31" s="520" t="s">
        <v>152</v>
      </c>
      <c r="O31" s="521"/>
      <c r="P31" s="522" t="s">
        <v>140</v>
      </c>
      <c r="Q31" s="514">
        <v>29</v>
      </c>
      <c r="R31" s="515" t="s">
        <v>155</v>
      </c>
      <c r="S31" s="516"/>
      <c r="T31" s="518" t="s">
        <v>140</v>
      </c>
      <c r="U31" s="514">
        <v>29</v>
      </c>
      <c r="V31" s="515" t="s">
        <v>154</v>
      </c>
      <c r="W31" s="516"/>
      <c r="X31" s="523" t="s">
        <v>140</v>
      </c>
    </row>
    <row r="32" spans="1:24">
      <c r="A32" s="201"/>
      <c r="B32" s="202"/>
      <c r="C32" s="203"/>
      <c r="D32" s="204"/>
      <c r="E32" s="514">
        <v>30</v>
      </c>
      <c r="F32" s="515" t="s">
        <v>155</v>
      </c>
      <c r="G32" s="516"/>
      <c r="H32" s="523" t="s">
        <v>140</v>
      </c>
      <c r="I32" s="514">
        <v>30</v>
      </c>
      <c r="J32" s="515" t="s">
        <v>156</v>
      </c>
      <c r="K32" s="516"/>
      <c r="L32" s="518" t="s">
        <v>140</v>
      </c>
      <c r="M32" s="519">
        <v>30</v>
      </c>
      <c r="N32" s="520" t="s">
        <v>157</v>
      </c>
      <c r="O32" s="521"/>
      <c r="P32" s="522" t="s">
        <v>140</v>
      </c>
      <c r="Q32" s="514">
        <v>30</v>
      </c>
      <c r="R32" s="515" t="s">
        <v>151</v>
      </c>
      <c r="S32" s="516"/>
      <c r="T32" s="518" t="s">
        <v>140</v>
      </c>
      <c r="U32" s="514">
        <v>30</v>
      </c>
      <c r="V32" s="515" t="s">
        <v>156</v>
      </c>
      <c r="W32" s="516"/>
      <c r="X32" s="523" t="s">
        <v>140</v>
      </c>
    </row>
    <row r="33" spans="1:24">
      <c r="A33" s="4"/>
      <c r="B33" s="4"/>
      <c r="C33" s="4"/>
      <c r="D33" s="4"/>
      <c r="E33" s="528">
        <v>31</v>
      </c>
      <c r="F33" s="529" t="s">
        <v>151</v>
      </c>
      <c r="G33" s="530"/>
      <c r="H33" s="531" t="s">
        <v>140</v>
      </c>
      <c r="I33" s="201"/>
      <c r="J33" s="202"/>
      <c r="K33" s="203"/>
      <c r="L33" s="204"/>
      <c r="M33" s="528">
        <v>31</v>
      </c>
      <c r="N33" s="529" t="s">
        <v>153</v>
      </c>
      <c r="O33" s="530"/>
      <c r="P33" s="531">
        <v>22.428571428571427</v>
      </c>
      <c r="Q33" s="201"/>
      <c r="R33" s="202"/>
      <c r="S33" s="203"/>
      <c r="T33" s="204"/>
      <c r="U33" s="532">
        <v>31</v>
      </c>
      <c r="V33" s="533" t="s">
        <v>152</v>
      </c>
      <c r="W33" s="535"/>
      <c r="X33" s="534" t="s">
        <v>140</v>
      </c>
    </row>
  </sheetData>
  <mergeCells count="1">
    <mergeCell ref="A1:X1"/>
  </mergeCells>
  <pageMargins left="0.7" right="0.7" top="0.75" bottom="0.75" header="0.3" footer="0.3"/>
  <pageSetup paperSize="9" scale="69" orientation="landscape"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215DB-DEA5-C94D-B3BE-3DBDEF43D8C7}">
  <sheetPr>
    <tabColor rgb="FFFFFF00"/>
    <pageSetUpPr fitToPage="1"/>
  </sheetPr>
  <dimension ref="A1:J21"/>
  <sheetViews>
    <sheetView zoomScaleNormal="100" workbookViewId="0">
      <selection activeCell="A17" sqref="A17:J17"/>
    </sheetView>
  </sheetViews>
  <sheetFormatPr baseColWidth="10" defaultRowHeight="16"/>
  <sheetData>
    <row r="1" spans="1:10" ht="55" customHeight="1">
      <c r="A1" s="891" t="s">
        <v>504</v>
      </c>
      <c r="B1" s="891"/>
      <c r="C1" s="891"/>
      <c r="D1" s="891"/>
      <c r="E1" s="891"/>
      <c r="F1" s="891"/>
      <c r="G1" s="891"/>
      <c r="H1" s="891"/>
      <c r="I1" s="891"/>
      <c r="J1" s="891"/>
    </row>
    <row r="2" spans="1:10">
      <c r="A2" s="837"/>
      <c r="B2" s="837"/>
      <c r="C2" s="837"/>
      <c r="D2" s="837"/>
      <c r="E2" s="837"/>
      <c r="F2" s="837"/>
      <c r="G2" s="837"/>
      <c r="H2" s="837"/>
      <c r="I2" s="837"/>
      <c r="J2" s="837"/>
    </row>
    <row r="3" spans="1:10" ht="21">
      <c r="A3" s="882" t="s">
        <v>501</v>
      </c>
      <c r="B3" s="882"/>
      <c r="C3" s="882"/>
      <c r="D3" s="882"/>
      <c r="E3" s="882"/>
      <c r="F3" s="882"/>
      <c r="G3" s="882"/>
      <c r="H3" s="882"/>
      <c r="I3" s="882"/>
      <c r="J3" s="882"/>
    </row>
    <row r="4" spans="1:10">
      <c r="A4" s="885" t="s">
        <v>695</v>
      </c>
      <c r="B4" s="885"/>
      <c r="C4" s="885"/>
      <c r="D4" s="885"/>
      <c r="E4" s="885"/>
      <c r="F4" s="885"/>
      <c r="G4" s="885"/>
      <c r="H4" s="885"/>
      <c r="I4" s="885"/>
      <c r="J4" s="885"/>
    </row>
    <row r="5" spans="1:10">
      <c r="A5" s="885"/>
      <c r="B5" s="885"/>
      <c r="C5" s="885"/>
      <c r="D5" s="885"/>
      <c r="E5" s="885"/>
      <c r="F5" s="885"/>
      <c r="G5" s="885"/>
      <c r="H5" s="885"/>
      <c r="I5" s="885"/>
      <c r="J5" s="885"/>
    </row>
    <row r="6" spans="1:10" ht="21">
      <c r="A6" s="882" t="s">
        <v>502</v>
      </c>
      <c r="B6" s="882"/>
      <c r="C6" s="882"/>
      <c r="D6" s="882"/>
      <c r="E6" s="882"/>
      <c r="F6" s="882"/>
      <c r="G6" s="882"/>
      <c r="H6" s="882"/>
      <c r="I6" s="882"/>
      <c r="J6" s="882"/>
    </row>
    <row r="7" spans="1:10">
      <c r="A7" s="885" t="s">
        <v>631</v>
      </c>
      <c r="B7" s="885"/>
      <c r="C7" s="885"/>
      <c r="D7" s="885"/>
      <c r="E7" s="885"/>
      <c r="F7" s="885"/>
      <c r="G7" s="885"/>
      <c r="H7" s="885"/>
      <c r="I7" s="885"/>
      <c r="J7" s="885"/>
    </row>
    <row r="8" spans="1:10" ht="19">
      <c r="A8" s="889" t="s">
        <v>615</v>
      </c>
      <c r="B8" s="889"/>
      <c r="C8" s="889"/>
      <c r="D8" s="889"/>
      <c r="E8" s="889"/>
      <c r="F8" s="889"/>
      <c r="G8" s="889"/>
      <c r="H8" s="889"/>
      <c r="I8" s="889"/>
      <c r="J8" s="889"/>
    </row>
    <row r="9" spans="1:10" ht="80" customHeight="1">
      <c r="A9" s="881" t="s">
        <v>613</v>
      </c>
      <c r="B9" s="881"/>
      <c r="C9" s="881"/>
      <c r="D9" s="881"/>
      <c r="E9" s="881"/>
      <c r="F9" s="881"/>
      <c r="G9" s="881"/>
      <c r="H9" s="881"/>
      <c r="I9" s="881"/>
      <c r="J9" s="881"/>
    </row>
    <row r="10" spans="1:10" ht="36" customHeight="1">
      <c r="A10" s="881" t="s">
        <v>614</v>
      </c>
      <c r="B10" s="881"/>
      <c r="C10" s="881"/>
      <c r="D10" s="881"/>
      <c r="E10" s="881"/>
      <c r="F10" s="881"/>
      <c r="G10" s="881"/>
      <c r="H10" s="881"/>
      <c r="I10" s="881"/>
      <c r="J10" s="881"/>
    </row>
    <row r="11" spans="1:10" ht="26" customHeight="1">
      <c r="A11" s="884"/>
      <c r="B11" s="884"/>
      <c r="C11" s="884"/>
      <c r="D11" s="884"/>
      <c r="E11" s="884"/>
      <c r="F11" s="884"/>
      <c r="G11" s="884"/>
      <c r="H11" s="884"/>
      <c r="I11" s="884"/>
      <c r="J11" s="884"/>
    </row>
    <row r="12" spans="1:10" ht="21">
      <c r="A12" s="882" t="s">
        <v>503</v>
      </c>
      <c r="B12" s="882"/>
      <c r="C12" s="882"/>
      <c r="D12" s="882"/>
      <c r="E12" s="882"/>
      <c r="F12" s="882"/>
      <c r="G12" s="882"/>
      <c r="H12" s="882"/>
      <c r="I12" s="882"/>
      <c r="J12" s="882"/>
    </row>
    <row r="13" spans="1:10" ht="45" customHeight="1">
      <c r="A13" s="890" t="s">
        <v>616</v>
      </c>
      <c r="B13" s="890"/>
      <c r="C13" s="890"/>
      <c r="D13" s="890"/>
      <c r="E13" s="890"/>
      <c r="F13" s="890"/>
      <c r="G13" s="890"/>
      <c r="H13" s="890"/>
      <c r="I13" s="890"/>
      <c r="J13" s="890"/>
    </row>
    <row r="14" spans="1:10" ht="50" customHeight="1">
      <c r="A14" s="888" t="s">
        <v>617</v>
      </c>
      <c r="B14" s="888"/>
      <c r="C14" s="888"/>
      <c r="D14" s="888"/>
      <c r="E14" s="888"/>
      <c r="F14" s="888"/>
      <c r="G14" s="888"/>
      <c r="H14" s="888"/>
      <c r="I14" s="888"/>
      <c r="J14" s="888"/>
    </row>
    <row r="15" spans="1:10" ht="67" customHeight="1">
      <c r="A15" s="881" t="s">
        <v>696</v>
      </c>
      <c r="B15" s="881"/>
      <c r="C15" s="881"/>
      <c r="D15" s="881"/>
      <c r="E15" s="881"/>
      <c r="F15" s="881"/>
      <c r="G15" s="881"/>
      <c r="H15" s="881"/>
      <c r="I15" s="881"/>
      <c r="J15" s="881"/>
    </row>
    <row r="16" spans="1:10" ht="135" customHeight="1">
      <c r="A16" s="886" t="s">
        <v>712</v>
      </c>
      <c r="B16" s="887"/>
      <c r="C16" s="887"/>
      <c r="D16" s="887"/>
      <c r="E16" s="887"/>
      <c r="F16" s="887"/>
      <c r="G16" s="887"/>
      <c r="H16" s="887"/>
      <c r="I16" s="887"/>
      <c r="J16" s="887"/>
    </row>
    <row r="17" spans="1:10">
      <c r="A17" s="885"/>
      <c r="B17" s="885"/>
      <c r="C17" s="885"/>
      <c r="D17" s="885"/>
      <c r="E17" s="885"/>
      <c r="F17" s="885"/>
      <c r="G17" s="885"/>
      <c r="H17" s="885"/>
      <c r="I17" s="885"/>
      <c r="J17" s="885"/>
    </row>
    <row r="18" spans="1:10" ht="21">
      <c r="A18" s="882" t="s">
        <v>495</v>
      </c>
      <c r="B18" s="882"/>
      <c r="C18" s="882"/>
      <c r="D18" s="882"/>
      <c r="E18" s="882"/>
      <c r="F18" s="882"/>
      <c r="G18" s="882"/>
      <c r="H18" s="882"/>
      <c r="I18" s="882"/>
      <c r="J18" s="882"/>
    </row>
    <row r="19" spans="1:10" ht="117" customHeight="1">
      <c r="A19" s="888" t="s">
        <v>697</v>
      </c>
      <c r="B19" s="888"/>
      <c r="C19" s="888"/>
      <c r="D19" s="888"/>
      <c r="E19" s="888"/>
      <c r="F19" s="888"/>
      <c r="G19" s="888"/>
      <c r="H19" s="888"/>
      <c r="I19" s="888"/>
      <c r="J19" s="888"/>
    </row>
    <row r="20" spans="1:10" ht="41" customHeight="1">
      <c r="A20" s="881" t="s">
        <v>698</v>
      </c>
      <c r="B20" s="881"/>
      <c r="C20" s="881"/>
      <c r="D20" s="881"/>
      <c r="E20" s="881"/>
      <c r="F20" s="881"/>
      <c r="G20" s="881"/>
      <c r="H20" s="881"/>
      <c r="I20" s="881"/>
      <c r="J20" s="881"/>
    </row>
    <row r="21" spans="1:10" ht="68" customHeight="1">
      <c r="A21" s="881" t="s">
        <v>699</v>
      </c>
      <c r="B21" s="881"/>
      <c r="C21" s="881"/>
      <c r="D21" s="881"/>
      <c r="E21" s="881"/>
      <c r="F21" s="881"/>
      <c r="G21" s="881"/>
      <c r="H21" s="881"/>
      <c r="I21" s="881"/>
      <c r="J21" s="881"/>
    </row>
  </sheetData>
  <sheetProtection sheet="1" objects="1" scenarios="1"/>
  <mergeCells count="21">
    <mergeCell ref="A1:J1"/>
    <mergeCell ref="A2:J2"/>
    <mergeCell ref="A3:J3"/>
    <mergeCell ref="A4:J4"/>
    <mergeCell ref="A6:J6"/>
    <mergeCell ref="A7:J7"/>
    <mergeCell ref="A5:J5"/>
    <mergeCell ref="A18:J18"/>
    <mergeCell ref="A20:J20"/>
    <mergeCell ref="A21:J21"/>
    <mergeCell ref="A16:J16"/>
    <mergeCell ref="A17:J17"/>
    <mergeCell ref="A19:J19"/>
    <mergeCell ref="A15:J15"/>
    <mergeCell ref="A10:J10"/>
    <mergeCell ref="A11:J11"/>
    <mergeCell ref="A8:J8"/>
    <mergeCell ref="A13:J13"/>
    <mergeCell ref="A14:J14"/>
    <mergeCell ref="A12:J12"/>
    <mergeCell ref="A9:J9"/>
  </mergeCells>
  <pageMargins left="0.7" right="0.7" top="0.75" bottom="0.75" header="0.3" footer="0.3"/>
  <pageSetup paperSize="9" scale="76"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F6CBD-364F-6F40-9D72-07780921BA31}">
  <sheetPr>
    <tabColor rgb="FFFFFF00"/>
    <pageSetUpPr fitToPage="1"/>
  </sheetPr>
  <dimension ref="A1:J30"/>
  <sheetViews>
    <sheetView workbookViewId="0">
      <selection activeCell="A23" sqref="A23:I23"/>
    </sheetView>
  </sheetViews>
  <sheetFormatPr baseColWidth="10" defaultRowHeight="16"/>
  <sheetData>
    <row r="1" spans="1:10" ht="24" customHeight="1">
      <c r="A1" s="883" t="s">
        <v>621</v>
      </c>
      <c r="B1" s="883"/>
      <c r="C1" s="883"/>
      <c r="D1" s="883"/>
      <c r="E1" s="883"/>
      <c r="F1" s="883"/>
      <c r="G1" s="883"/>
      <c r="H1" s="883"/>
      <c r="I1" s="883"/>
      <c r="J1" s="688"/>
    </row>
    <row r="3" spans="1:10" ht="24">
      <c r="A3" s="623" t="s">
        <v>539</v>
      </c>
    </row>
    <row r="4" spans="1:10">
      <c r="A4" t="s">
        <v>540</v>
      </c>
    </row>
    <row r="5" spans="1:10" ht="131" customHeight="1">
      <c r="A5" s="881" t="s">
        <v>585</v>
      </c>
      <c r="B5" s="881"/>
      <c r="C5" s="881"/>
      <c r="D5" s="881"/>
      <c r="E5" s="881"/>
      <c r="F5" s="881"/>
      <c r="G5" s="881"/>
      <c r="H5" s="881"/>
      <c r="I5" s="881"/>
    </row>
    <row r="6" spans="1:10" ht="31" customHeight="1">
      <c r="A6" s="881" t="s">
        <v>618</v>
      </c>
      <c r="B6" s="881"/>
      <c r="C6" s="881"/>
      <c r="D6" s="881"/>
      <c r="E6" s="881"/>
      <c r="F6" s="881"/>
      <c r="G6" s="881"/>
      <c r="H6" s="881"/>
      <c r="I6" s="881"/>
    </row>
    <row r="8" spans="1:10" ht="24">
      <c r="A8" s="623" t="s">
        <v>541</v>
      </c>
    </row>
    <row r="9" spans="1:10" ht="34" customHeight="1">
      <c r="A9" s="881" t="s">
        <v>542</v>
      </c>
      <c r="B9" s="881"/>
      <c r="C9" s="881"/>
      <c r="D9" s="881"/>
      <c r="E9" s="881"/>
      <c r="F9" s="881"/>
      <c r="G9" s="881"/>
      <c r="H9" s="881"/>
      <c r="I9" s="881"/>
    </row>
    <row r="10" spans="1:10" ht="19">
      <c r="A10" s="897" t="s">
        <v>543</v>
      </c>
      <c r="B10" s="897"/>
      <c r="C10" s="897"/>
      <c r="D10" s="897"/>
      <c r="E10" s="897"/>
      <c r="F10" s="897"/>
      <c r="G10" s="897"/>
      <c r="H10" s="897"/>
      <c r="I10" s="897"/>
    </row>
    <row r="11" spans="1:10">
      <c r="A11" s="896" t="s">
        <v>501</v>
      </c>
      <c r="B11" s="896"/>
      <c r="C11" s="896"/>
      <c r="D11" s="896"/>
      <c r="E11" s="896"/>
      <c r="F11" s="896"/>
      <c r="G11" s="896"/>
      <c r="H11" s="896"/>
      <c r="I11" s="896"/>
    </row>
    <row r="12" spans="1:10" ht="47" customHeight="1">
      <c r="A12" s="881" t="s">
        <v>709</v>
      </c>
      <c r="B12" s="881"/>
      <c r="C12" s="881"/>
      <c r="D12" s="881"/>
      <c r="E12" s="881"/>
      <c r="F12" s="881"/>
      <c r="G12" s="881"/>
      <c r="H12" s="881"/>
      <c r="I12" s="881"/>
    </row>
    <row r="13" spans="1:10">
      <c r="A13" s="896" t="s">
        <v>544</v>
      </c>
      <c r="B13" s="896"/>
      <c r="C13" s="896"/>
      <c r="D13" s="896"/>
      <c r="E13" s="896"/>
      <c r="F13" s="896"/>
      <c r="G13" s="896"/>
      <c r="H13" s="896"/>
      <c r="I13" s="896"/>
    </row>
    <row r="14" spans="1:10" ht="82" customHeight="1">
      <c r="A14" s="881" t="s">
        <v>710</v>
      </c>
      <c r="B14" s="881"/>
      <c r="C14" s="881"/>
      <c r="D14" s="881"/>
      <c r="E14" s="881"/>
      <c r="F14" s="881"/>
      <c r="G14" s="881"/>
      <c r="H14" s="881"/>
      <c r="I14" s="881"/>
    </row>
    <row r="15" spans="1:10">
      <c r="A15" s="895" t="s">
        <v>545</v>
      </c>
      <c r="B15" s="895"/>
      <c r="C15" s="895"/>
      <c r="D15" s="895"/>
      <c r="E15" s="895"/>
      <c r="F15" s="895"/>
      <c r="G15" s="895"/>
      <c r="H15" s="895"/>
      <c r="I15" s="895"/>
    </row>
    <row r="16" spans="1:10">
      <c r="A16" s="625" t="s">
        <v>548</v>
      </c>
      <c r="B16" s="625"/>
      <c r="C16" s="625"/>
      <c r="D16" s="625"/>
      <c r="E16" s="625"/>
      <c r="F16" s="625"/>
      <c r="G16" s="625"/>
      <c r="H16" s="625"/>
      <c r="I16" s="625"/>
    </row>
    <row r="17" spans="1:9" ht="34" customHeight="1">
      <c r="A17" s="881" t="s">
        <v>619</v>
      </c>
      <c r="B17" s="881"/>
      <c r="C17" s="881"/>
      <c r="D17" s="881"/>
      <c r="E17" s="881"/>
      <c r="F17" s="881"/>
      <c r="G17" s="881"/>
      <c r="H17" s="881"/>
      <c r="I17" s="881"/>
    </row>
    <row r="18" spans="1:9" ht="13" customHeight="1">
      <c r="A18" s="894" t="s">
        <v>160</v>
      </c>
      <c r="B18" s="894"/>
      <c r="C18" s="894"/>
      <c r="D18" s="894"/>
      <c r="E18" s="894"/>
      <c r="F18" s="894"/>
      <c r="G18" s="894"/>
      <c r="H18" s="894"/>
      <c r="I18" s="894"/>
    </row>
    <row r="19" spans="1:9">
      <c r="A19" s="885" t="s">
        <v>546</v>
      </c>
      <c r="B19" s="885"/>
      <c r="C19" s="885"/>
      <c r="D19" s="885"/>
      <c r="E19" s="885"/>
      <c r="F19" s="885"/>
      <c r="G19" s="885"/>
      <c r="H19" s="885"/>
      <c r="I19" s="885"/>
    </row>
    <row r="20" spans="1:9">
      <c r="A20" s="885" t="s">
        <v>547</v>
      </c>
      <c r="B20" s="885"/>
      <c r="C20" s="885"/>
      <c r="D20" s="885"/>
      <c r="E20" s="885"/>
      <c r="F20" s="885"/>
      <c r="G20" s="885"/>
      <c r="H20" s="885"/>
      <c r="I20" s="885"/>
    </row>
    <row r="21" spans="1:9" ht="53" customHeight="1">
      <c r="A21" s="881" t="s">
        <v>586</v>
      </c>
      <c r="B21" s="881"/>
      <c r="C21" s="881"/>
      <c r="D21" s="881"/>
      <c r="E21" s="881"/>
      <c r="F21" s="881"/>
      <c r="G21" s="881"/>
      <c r="H21" s="881"/>
      <c r="I21" s="881"/>
    </row>
    <row r="22" spans="1:9" ht="34" customHeight="1">
      <c r="A22" s="881" t="s">
        <v>587</v>
      </c>
      <c r="B22" s="881"/>
      <c r="C22" s="881"/>
      <c r="D22" s="881"/>
      <c r="E22" s="881"/>
      <c r="F22" s="881"/>
      <c r="G22" s="881"/>
      <c r="H22" s="881"/>
      <c r="I22" s="881"/>
    </row>
    <row r="23" spans="1:9" ht="83" customHeight="1">
      <c r="A23" s="892" t="s">
        <v>588</v>
      </c>
      <c r="B23" s="893"/>
      <c r="C23" s="893"/>
      <c r="D23" s="893"/>
      <c r="E23" s="893"/>
      <c r="F23" s="893"/>
      <c r="G23" s="893"/>
      <c r="H23" s="893"/>
      <c r="I23" s="893"/>
    </row>
    <row r="24" spans="1:9">
      <c r="A24" s="624"/>
    </row>
    <row r="25" spans="1:9" ht="24">
      <c r="A25" s="623" t="s">
        <v>593</v>
      </c>
    </row>
    <row r="26" spans="1:9">
      <c r="A26" s="885" t="s">
        <v>589</v>
      </c>
      <c r="B26" s="885"/>
      <c r="C26" s="885"/>
      <c r="D26" s="885"/>
      <c r="E26" s="885"/>
      <c r="F26" s="885"/>
      <c r="G26" s="885"/>
      <c r="H26" s="885"/>
      <c r="I26" s="885"/>
    </row>
    <row r="27" spans="1:9" ht="31" customHeight="1">
      <c r="A27" s="881" t="s">
        <v>711</v>
      </c>
      <c r="B27" s="881"/>
      <c r="C27" s="881"/>
      <c r="D27" s="881"/>
      <c r="E27" s="881"/>
      <c r="F27" s="881"/>
      <c r="G27" s="881"/>
      <c r="H27" s="881"/>
      <c r="I27" s="881"/>
    </row>
    <row r="28" spans="1:9">
      <c r="A28" s="885" t="s">
        <v>590</v>
      </c>
      <c r="B28" s="885"/>
      <c r="C28" s="885"/>
      <c r="D28" s="885"/>
      <c r="E28" s="885"/>
      <c r="F28" s="885"/>
      <c r="G28" s="885"/>
      <c r="H28" s="885"/>
      <c r="I28" s="885"/>
    </row>
    <row r="29" spans="1:9" ht="31" customHeight="1">
      <c r="A29" s="881" t="s">
        <v>591</v>
      </c>
      <c r="B29" s="881"/>
      <c r="C29" s="881"/>
      <c r="D29" s="881"/>
      <c r="E29" s="881"/>
      <c r="F29" s="881"/>
      <c r="G29" s="881"/>
      <c r="H29" s="881"/>
      <c r="I29" s="881"/>
    </row>
    <row r="30" spans="1:9" ht="31" customHeight="1">
      <c r="A30" s="881" t="s">
        <v>592</v>
      </c>
      <c r="B30" s="881"/>
      <c r="C30" s="881"/>
      <c r="D30" s="881"/>
      <c r="E30" s="881"/>
      <c r="F30" s="881"/>
      <c r="G30" s="881"/>
      <c r="H30" s="881"/>
      <c r="I30" s="881"/>
    </row>
  </sheetData>
  <sheetProtection sheet="1" objects="1" scenarios="1"/>
  <mergeCells count="22">
    <mergeCell ref="A1:I1"/>
    <mergeCell ref="A5:I5"/>
    <mergeCell ref="A12:I12"/>
    <mergeCell ref="A9:I9"/>
    <mergeCell ref="A14:I14"/>
    <mergeCell ref="A13:I13"/>
    <mergeCell ref="A6:I6"/>
    <mergeCell ref="A10:I10"/>
    <mergeCell ref="A11:I11"/>
    <mergeCell ref="A15:I15"/>
    <mergeCell ref="A17:I17"/>
    <mergeCell ref="A19:I19"/>
    <mergeCell ref="A20:I20"/>
    <mergeCell ref="A21:I21"/>
    <mergeCell ref="A28:I28"/>
    <mergeCell ref="A29:I29"/>
    <mergeCell ref="A30:I30"/>
    <mergeCell ref="A23:I23"/>
    <mergeCell ref="A18:I18"/>
    <mergeCell ref="A26:I26"/>
    <mergeCell ref="A27:I27"/>
    <mergeCell ref="A22:I22"/>
  </mergeCells>
  <pageMargins left="0.7" right="0.7" top="0.75" bottom="0.75" header="0.3" footer="0.3"/>
  <pageSetup paperSize="9" scale="83" orientation="portrait" horizontalDpi="0" verticalDpi="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80BC5-A41B-CD42-BFBD-997205AD5C08}">
  <sheetPr>
    <tabColor theme="4" tint="-0.249977111117893"/>
    <pageSetUpPr fitToPage="1"/>
  </sheetPr>
  <dimension ref="A1:L42"/>
  <sheetViews>
    <sheetView tabSelected="1" topLeftCell="A6" zoomScale="114" workbookViewId="0">
      <selection activeCell="E19" sqref="E19:H19"/>
    </sheetView>
  </sheetViews>
  <sheetFormatPr baseColWidth="10" defaultRowHeight="16"/>
  <cols>
    <col min="4" max="4" width="23.83203125" customWidth="1"/>
    <col min="9" max="9" width="71.5" hidden="1" customWidth="1"/>
    <col min="10" max="12" width="0" hidden="1" customWidth="1"/>
  </cols>
  <sheetData>
    <row r="1" spans="1:12" ht="80" customHeight="1">
      <c r="A1" s="884"/>
      <c r="B1" s="884"/>
      <c r="C1" s="953" t="s">
        <v>368</v>
      </c>
      <c r="D1" s="953"/>
      <c r="E1" s="953"/>
      <c r="F1" s="953"/>
      <c r="G1" s="953"/>
      <c r="H1" s="953"/>
    </row>
    <row r="2" spans="1:12" ht="122" customHeight="1">
      <c r="A2" s="884"/>
      <c r="B2" s="884"/>
      <c r="C2" s="953" t="s">
        <v>369</v>
      </c>
      <c r="D2" s="953"/>
      <c r="E2" s="953"/>
      <c r="F2" s="953"/>
      <c r="G2" s="953"/>
      <c r="H2" s="953"/>
    </row>
    <row r="3" spans="1:12" ht="115" customHeight="1">
      <c r="A3" s="884"/>
      <c r="B3" s="884"/>
      <c r="C3" s="953" t="s">
        <v>479</v>
      </c>
      <c r="D3" s="953"/>
      <c r="E3" s="953"/>
      <c r="F3" s="953"/>
      <c r="G3" s="953"/>
      <c r="H3" s="953"/>
    </row>
    <row r="4" spans="1:12" ht="59" customHeight="1">
      <c r="A4" s="884"/>
      <c r="B4" s="884"/>
      <c r="C4" s="953" t="s">
        <v>336</v>
      </c>
      <c r="D4" s="953"/>
      <c r="E4" s="953"/>
      <c r="F4" s="953"/>
      <c r="G4" s="953"/>
      <c r="H4" s="953"/>
    </row>
    <row r="5" spans="1:12" ht="27" customHeight="1" thickBot="1">
      <c r="A5" s="864" t="s">
        <v>689</v>
      </c>
      <c r="B5" s="864"/>
      <c r="C5" s="864"/>
      <c r="D5" s="864"/>
      <c r="E5" s="864"/>
      <c r="F5" s="864"/>
      <c r="G5" s="864"/>
      <c r="H5" s="864"/>
    </row>
    <row r="6" spans="1:12" ht="48" customHeight="1" thickBot="1">
      <c r="A6" s="865" t="s">
        <v>690</v>
      </c>
      <c r="B6" s="866"/>
      <c r="C6" s="867" t="s">
        <v>495</v>
      </c>
      <c r="D6" s="868"/>
      <c r="E6" s="869" t="s">
        <v>688</v>
      </c>
      <c r="F6" s="870"/>
      <c r="G6" s="965" t="s">
        <v>367</v>
      </c>
      <c r="H6" s="966"/>
      <c r="L6" s="898"/>
    </row>
    <row r="7" spans="1:12" ht="30" customHeight="1" thickBot="1">
      <c r="A7" s="873" t="s">
        <v>231</v>
      </c>
      <c r="B7" s="873"/>
      <c r="C7" s="873" t="s">
        <v>233</v>
      </c>
      <c r="D7" s="873"/>
      <c r="E7" s="873" t="s">
        <v>234</v>
      </c>
      <c r="F7" s="873"/>
      <c r="G7" s="873" t="s">
        <v>235</v>
      </c>
      <c r="H7" s="873"/>
      <c r="L7" s="898"/>
    </row>
    <row r="8" spans="1:12" ht="30" customHeight="1" thickBot="1">
      <c r="A8" s="873" t="s">
        <v>279</v>
      </c>
      <c r="B8" s="873"/>
      <c r="C8" s="873" t="s">
        <v>280</v>
      </c>
      <c r="D8" s="873"/>
      <c r="E8" s="873" t="s">
        <v>281</v>
      </c>
      <c r="F8" s="873"/>
      <c r="G8" s="873" t="s">
        <v>282</v>
      </c>
      <c r="H8" s="873"/>
      <c r="L8" s="898"/>
    </row>
    <row r="9" spans="1:12" ht="30" customHeight="1" thickBot="1">
      <c r="A9" s="873" t="s">
        <v>283</v>
      </c>
      <c r="B9" s="873"/>
      <c r="C9" s="873" t="s">
        <v>284</v>
      </c>
      <c r="D9" s="873"/>
      <c r="E9" s="873" t="s">
        <v>285</v>
      </c>
      <c r="F9" s="873"/>
      <c r="G9" s="873" t="s">
        <v>286</v>
      </c>
      <c r="H9" s="873"/>
      <c r="L9" s="898"/>
    </row>
    <row r="10" spans="1:12" ht="24">
      <c r="A10" s="900" t="s">
        <v>354</v>
      </c>
      <c r="B10" s="902" t="s">
        <v>4</v>
      </c>
      <c r="C10" s="903"/>
      <c r="D10" s="903"/>
      <c r="E10" s="903"/>
      <c r="F10" s="903"/>
      <c r="G10" s="903"/>
      <c r="H10" s="904"/>
    </row>
    <row r="11" spans="1:12" ht="32" customHeight="1">
      <c r="A11" s="901"/>
      <c r="B11" s="323" t="s">
        <v>66</v>
      </c>
      <c r="C11" s="324"/>
      <c r="D11" s="324"/>
      <c r="E11" s="324"/>
      <c r="F11" s="324" t="str">
        <f>Vejledning!B2</f>
        <v>2026-2027</v>
      </c>
      <c r="G11" s="324"/>
      <c r="H11" s="325"/>
    </row>
    <row r="12" spans="1:12">
      <c r="A12" s="901"/>
      <c r="B12" s="905" t="s">
        <v>24</v>
      </c>
      <c r="C12" s="905"/>
      <c r="D12" s="905"/>
      <c r="E12" s="906"/>
      <c r="F12" s="907"/>
      <c r="G12" s="907"/>
      <c r="H12" s="908"/>
    </row>
    <row r="13" spans="1:12">
      <c r="A13" s="901"/>
      <c r="B13" s="905" t="s">
        <v>53</v>
      </c>
      <c r="C13" s="905"/>
      <c r="D13" s="905"/>
      <c r="E13" s="906" t="s">
        <v>720</v>
      </c>
      <c r="F13" s="907"/>
      <c r="G13" s="907"/>
      <c r="H13" s="908"/>
    </row>
    <row r="14" spans="1:12">
      <c r="A14" s="901"/>
      <c r="B14" s="909" t="s">
        <v>29</v>
      </c>
      <c r="C14" s="910"/>
      <c r="D14" s="911"/>
      <c r="E14" s="918" t="s">
        <v>27</v>
      </c>
      <c r="F14" s="919"/>
      <c r="G14" s="918" t="s">
        <v>28</v>
      </c>
      <c r="H14" s="920"/>
    </row>
    <row r="15" spans="1:12">
      <c r="A15" s="901"/>
      <c r="B15" s="912"/>
      <c r="C15" s="913"/>
      <c r="D15" s="914"/>
      <c r="E15" s="921" t="s">
        <v>328</v>
      </c>
      <c r="F15" s="922"/>
      <c r="G15" s="921" t="str">
        <f>E15</f>
        <v>Dato format dd.mm.åååå</v>
      </c>
      <c r="H15" s="923"/>
    </row>
    <row r="16" spans="1:12">
      <c r="A16" s="901"/>
      <c r="B16" s="915"/>
      <c r="C16" s="916"/>
      <c r="D16" s="917"/>
      <c r="E16" s="924"/>
      <c r="F16" s="925"/>
      <c r="G16" s="924"/>
      <c r="H16" s="926"/>
    </row>
    <row r="17" spans="1:12" ht="73" customHeight="1">
      <c r="A17" s="901"/>
      <c r="B17" s="955" t="s">
        <v>408</v>
      </c>
      <c r="C17" s="956"/>
      <c r="D17" s="957"/>
      <c r="E17" s="924" t="s">
        <v>182</v>
      </c>
      <c r="F17" s="958"/>
      <c r="G17" s="958"/>
      <c r="H17" s="926"/>
    </row>
    <row r="18" spans="1:12" ht="35" customHeight="1">
      <c r="A18" s="901"/>
      <c r="B18" s="927" t="s">
        <v>434</v>
      </c>
      <c r="C18" s="927"/>
      <c r="D18" s="927"/>
      <c r="E18" s="935">
        <v>1</v>
      </c>
      <c r="F18" s="936"/>
      <c r="G18" s="936"/>
      <c r="H18" s="937"/>
      <c r="I18" s="38" t="s">
        <v>181</v>
      </c>
      <c r="L18">
        <f>E18*100</f>
        <v>100</v>
      </c>
    </row>
    <row r="19" spans="1:12" ht="35" customHeight="1">
      <c r="A19" s="901"/>
      <c r="B19" s="947" t="s">
        <v>347</v>
      </c>
      <c r="C19" s="948"/>
      <c r="D19" s="949"/>
      <c r="E19" s="935" t="s">
        <v>182</v>
      </c>
      <c r="F19" s="936"/>
      <c r="G19" s="936"/>
      <c r="H19" s="937"/>
      <c r="I19" s="38" t="s">
        <v>182</v>
      </c>
    </row>
    <row r="20" spans="1:12" ht="17" thickBot="1">
      <c r="A20" s="901"/>
      <c r="B20" s="947" t="s">
        <v>180</v>
      </c>
      <c r="C20" s="948"/>
      <c r="D20" s="949"/>
      <c r="E20" s="950">
        <f>IF(E19="Ja",E18*33.63/37,E18)</f>
        <v>1</v>
      </c>
      <c r="F20" s="951"/>
      <c r="G20" s="951"/>
      <c r="H20" s="952"/>
      <c r="I20" s="38"/>
    </row>
    <row r="21" spans="1:12" ht="30" customHeight="1" thickBot="1">
      <c r="A21" s="899"/>
      <c r="B21" s="899"/>
      <c r="C21" s="899"/>
      <c r="D21" s="899"/>
      <c r="E21" s="899"/>
      <c r="F21" s="899"/>
      <c r="G21" s="899"/>
      <c r="H21" s="899"/>
    </row>
    <row r="22" spans="1:12" ht="32" customHeight="1">
      <c r="A22" s="900" t="s">
        <v>355</v>
      </c>
      <c r="B22" s="938" t="s">
        <v>253</v>
      </c>
      <c r="C22" s="939"/>
      <c r="D22" s="939"/>
      <c r="E22" s="939"/>
      <c r="F22" s="939"/>
      <c r="G22" s="939"/>
      <c r="H22" s="940"/>
      <c r="I22" s="397" t="s">
        <v>315</v>
      </c>
    </row>
    <row r="23" spans="1:12" ht="20" customHeight="1">
      <c r="A23" s="901"/>
      <c r="B23" s="310" t="s">
        <v>254</v>
      </c>
      <c r="C23" s="234"/>
      <c r="D23" s="234"/>
      <c r="E23" s="234"/>
      <c r="F23" s="234"/>
      <c r="G23" s="234"/>
      <c r="H23" s="305"/>
      <c r="I23" s="397" t="s">
        <v>370</v>
      </c>
    </row>
    <row r="24" spans="1:12" ht="65" customHeight="1">
      <c r="A24" s="901"/>
      <c r="B24" s="941" t="s">
        <v>453</v>
      </c>
      <c r="C24" s="942"/>
      <c r="D24" s="942"/>
      <c r="E24" s="942"/>
      <c r="F24" s="942"/>
      <c r="G24" s="942"/>
      <c r="H24" s="943"/>
      <c r="I24" s="397" t="s">
        <v>371</v>
      </c>
    </row>
    <row r="25" spans="1:12" ht="38" customHeight="1">
      <c r="A25" s="901"/>
      <c r="B25" s="941" t="s">
        <v>317</v>
      </c>
      <c r="C25" s="942"/>
      <c r="D25" s="942"/>
      <c r="E25" s="942"/>
      <c r="F25" s="942"/>
      <c r="G25" s="942"/>
      <c r="H25" s="943"/>
      <c r="I25" s="397" t="s">
        <v>316</v>
      </c>
    </row>
    <row r="26" spans="1:12" ht="19" customHeight="1">
      <c r="A26" s="901"/>
      <c r="B26" s="931" t="s">
        <v>318</v>
      </c>
      <c r="C26" s="932"/>
      <c r="D26" s="932"/>
      <c r="E26" s="932"/>
      <c r="F26" s="932"/>
      <c r="G26" s="932"/>
      <c r="H26" s="933"/>
      <c r="I26" s="397" t="s">
        <v>319</v>
      </c>
    </row>
    <row r="27" spans="1:12" ht="30" customHeight="1">
      <c r="A27" s="901"/>
      <c r="B27" s="962" t="s">
        <v>315</v>
      </c>
      <c r="C27" s="963"/>
      <c r="D27" s="963"/>
      <c r="E27" s="963"/>
      <c r="F27" s="963"/>
      <c r="G27" s="963"/>
      <c r="H27" s="964"/>
      <c r="I27" s="397" t="s">
        <v>372</v>
      </c>
    </row>
    <row r="28" spans="1:12" ht="16" customHeight="1">
      <c r="A28" s="901"/>
      <c r="B28" s="944" t="s">
        <v>255</v>
      </c>
      <c r="C28" s="945"/>
      <c r="D28" s="945"/>
      <c r="E28" s="945"/>
      <c r="F28" s="945"/>
      <c r="G28" s="945"/>
      <c r="H28" s="946"/>
      <c r="I28" s="397" t="s">
        <v>373</v>
      </c>
    </row>
    <row r="29" spans="1:12" ht="70" customHeight="1">
      <c r="A29" s="901"/>
      <c r="B29" s="941" t="s">
        <v>454</v>
      </c>
      <c r="C29" s="942"/>
      <c r="D29" s="942"/>
      <c r="E29" s="942"/>
      <c r="F29" s="942"/>
      <c r="G29" s="942"/>
      <c r="H29" s="943"/>
      <c r="I29" s="397" t="s">
        <v>374</v>
      </c>
    </row>
    <row r="30" spans="1:12" ht="20" customHeight="1">
      <c r="A30" s="901"/>
      <c r="B30" s="931" t="s">
        <v>318</v>
      </c>
      <c r="C30" s="932"/>
      <c r="D30" s="932"/>
      <c r="E30" s="932"/>
      <c r="F30" s="932"/>
      <c r="G30" s="932"/>
      <c r="H30" s="933"/>
      <c r="I30" s="397" t="s">
        <v>375</v>
      </c>
    </row>
    <row r="31" spans="1:12" ht="30" customHeight="1" thickBot="1">
      <c r="A31" s="934"/>
      <c r="B31" s="928" t="s">
        <v>316</v>
      </c>
      <c r="C31" s="929"/>
      <c r="D31" s="929"/>
      <c r="E31" s="929"/>
      <c r="F31" s="929"/>
      <c r="G31" s="929"/>
      <c r="H31" s="930"/>
      <c r="I31" s="397" t="s">
        <v>376</v>
      </c>
    </row>
    <row r="32" spans="1:12" ht="30" customHeight="1" thickBot="1">
      <c r="A32" s="899"/>
      <c r="B32" s="899"/>
      <c r="C32" s="899"/>
      <c r="D32" s="899"/>
      <c r="E32" s="899"/>
      <c r="F32" s="899"/>
      <c r="G32" s="899"/>
      <c r="H32" s="899"/>
      <c r="I32" s="385"/>
    </row>
    <row r="33" spans="1:9" ht="26">
      <c r="A33" s="960" t="s">
        <v>229</v>
      </c>
      <c r="B33" s="938" t="s">
        <v>323</v>
      </c>
      <c r="C33" s="939"/>
      <c r="D33" s="939"/>
      <c r="E33" s="939"/>
      <c r="F33" s="939"/>
      <c r="G33" s="939"/>
      <c r="H33" s="940"/>
      <c r="I33" s="397" t="s">
        <v>181</v>
      </c>
    </row>
    <row r="34" spans="1:9" ht="55" customHeight="1">
      <c r="A34" s="961"/>
      <c r="B34" s="927" t="s">
        <v>322</v>
      </c>
      <c r="C34" s="927"/>
      <c r="D34" s="927"/>
      <c r="E34" s="927"/>
      <c r="F34" s="927"/>
      <c r="G34" s="927"/>
      <c r="H34" s="363" t="s">
        <v>182</v>
      </c>
      <c r="I34" s="398" t="s">
        <v>182</v>
      </c>
    </row>
    <row r="35" spans="1:9" ht="40" customHeight="1">
      <c r="A35" s="961"/>
      <c r="B35" s="959" t="s">
        <v>632</v>
      </c>
      <c r="C35" s="959"/>
      <c r="D35" s="959"/>
      <c r="E35" s="959"/>
      <c r="F35" s="959"/>
      <c r="G35" s="959"/>
      <c r="H35" s="399"/>
      <c r="I35" s="385"/>
    </row>
    <row r="36" spans="1:9" ht="41" customHeight="1">
      <c r="A36" s="961"/>
      <c r="B36" s="947" t="s">
        <v>321</v>
      </c>
      <c r="C36" s="948"/>
      <c r="D36" s="948"/>
      <c r="E36" s="948"/>
      <c r="F36" s="948"/>
      <c r="G36" s="949"/>
      <c r="H36" s="322">
        <f>August!P46+September!P44+Oktober!P45+November!P44+December!P45+Januar!P45+Februar!P43+Marts!P45+April!P44+Maj!P45+Juni!P44+Juli!P45</f>
        <v>268.41666666666669</v>
      </c>
    </row>
    <row r="37" spans="1:9" ht="16" customHeight="1">
      <c r="C37" s="353"/>
      <c r="D37" s="353"/>
      <c r="E37" s="353"/>
      <c r="F37" s="353"/>
      <c r="G37" s="353"/>
      <c r="H37" s="353"/>
    </row>
    <row r="38" spans="1:9" ht="16" customHeight="1">
      <c r="A38" s="837"/>
      <c r="B38" s="837"/>
      <c r="C38" s="954" t="s">
        <v>348</v>
      </c>
      <c r="D38" s="954"/>
      <c r="E38" s="954"/>
      <c r="F38" s="954"/>
      <c r="G38" s="954"/>
      <c r="H38" s="954"/>
    </row>
    <row r="39" spans="1:9" ht="16" customHeight="1">
      <c r="A39" s="837"/>
      <c r="B39" s="837"/>
      <c r="C39" s="954"/>
      <c r="D39" s="954"/>
      <c r="E39" s="954"/>
      <c r="F39" s="954"/>
      <c r="G39" s="954"/>
      <c r="H39" s="954"/>
    </row>
    <row r="40" spans="1:9" ht="31" customHeight="1">
      <c r="A40" s="837"/>
      <c r="B40" s="837"/>
      <c r="C40" s="954"/>
      <c r="D40" s="954"/>
      <c r="E40" s="954"/>
      <c r="F40" s="954"/>
      <c r="G40" s="954"/>
      <c r="H40" s="954"/>
    </row>
    <row r="41" spans="1:9" ht="16" customHeight="1">
      <c r="A41" s="837"/>
      <c r="B41" s="837"/>
      <c r="C41" s="954"/>
      <c r="D41" s="954"/>
      <c r="E41" s="954"/>
      <c r="F41" s="954"/>
      <c r="G41" s="954"/>
      <c r="H41" s="954"/>
    </row>
    <row r="42" spans="1:9">
      <c r="A42" s="837"/>
      <c r="B42" s="837"/>
      <c r="C42" s="954"/>
      <c r="D42" s="954"/>
      <c r="E42" s="954"/>
      <c r="F42" s="954"/>
      <c r="G42" s="954"/>
      <c r="H42" s="954"/>
    </row>
  </sheetData>
  <sheetProtection sheet="1" objects="1" scenarios="1"/>
  <mergeCells count="63">
    <mergeCell ref="A9:B9"/>
    <mergeCell ref="C9:D9"/>
    <mergeCell ref="E9:F9"/>
    <mergeCell ref="G9:H9"/>
    <mergeCell ref="A7:B7"/>
    <mergeCell ref="C7:D7"/>
    <mergeCell ref="E7:F7"/>
    <mergeCell ref="G7:H7"/>
    <mergeCell ref="A8:B8"/>
    <mergeCell ref="C8:D8"/>
    <mergeCell ref="E8:F8"/>
    <mergeCell ref="G8:H8"/>
    <mergeCell ref="A5:H5"/>
    <mergeCell ref="A6:B6"/>
    <mergeCell ref="C6:D6"/>
    <mergeCell ref="E6:F6"/>
    <mergeCell ref="G6:H6"/>
    <mergeCell ref="C1:H1"/>
    <mergeCell ref="C3:H3"/>
    <mergeCell ref="C4:H4"/>
    <mergeCell ref="A1:B4"/>
    <mergeCell ref="C38:H42"/>
    <mergeCell ref="A38:B42"/>
    <mergeCell ref="B17:D17"/>
    <mergeCell ref="E17:H17"/>
    <mergeCell ref="C2:H2"/>
    <mergeCell ref="B33:H33"/>
    <mergeCell ref="B35:G35"/>
    <mergeCell ref="B36:G36"/>
    <mergeCell ref="A33:A36"/>
    <mergeCell ref="B30:H30"/>
    <mergeCell ref="B34:G34"/>
    <mergeCell ref="B27:H27"/>
    <mergeCell ref="B31:H31"/>
    <mergeCell ref="B26:H26"/>
    <mergeCell ref="A22:A31"/>
    <mergeCell ref="E18:H18"/>
    <mergeCell ref="B22:H22"/>
    <mergeCell ref="B24:H24"/>
    <mergeCell ref="B25:H25"/>
    <mergeCell ref="B28:H28"/>
    <mergeCell ref="B29:H29"/>
    <mergeCell ref="B20:D20"/>
    <mergeCell ref="E20:H20"/>
    <mergeCell ref="B19:D19"/>
    <mergeCell ref="E19:H19"/>
    <mergeCell ref="A21:H21"/>
    <mergeCell ref="L6:L9"/>
    <mergeCell ref="A32:H32"/>
    <mergeCell ref="A10:A20"/>
    <mergeCell ref="B10:H10"/>
    <mergeCell ref="B12:D12"/>
    <mergeCell ref="E12:H12"/>
    <mergeCell ref="B13:D13"/>
    <mergeCell ref="E13:H13"/>
    <mergeCell ref="B14:D16"/>
    <mergeCell ref="E14:F14"/>
    <mergeCell ref="G14:H14"/>
    <mergeCell ref="E15:F15"/>
    <mergeCell ref="G15:H15"/>
    <mergeCell ref="E16:F16"/>
    <mergeCell ref="G16:H16"/>
    <mergeCell ref="B18:D18"/>
  </mergeCells>
  <conditionalFormatting sqref="B35">
    <cfRule type="expression" dxfId="980" priority="5">
      <formula>OR($H34="Nej",)</formula>
    </cfRule>
  </conditionalFormatting>
  <conditionalFormatting sqref="B36 H36">
    <cfRule type="expression" dxfId="979" priority="1">
      <formula>OR($H$34="Ja",)</formula>
    </cfRule>
  </conditionalFormatting>
  <conditionalFormatting sqref="B36">
    <cfRule type="expression" dxfId="978" priority="4">
      <formula>OR($J$13="Ja",)</formula>
    </cfRule>
  </conditionalFormatting>
  <conditionalFormatting sqref="B35:H35">
    <cfRule type="expression" dxfId="977" priority="2">
      <formula>OR($H$34="Nej",)</formula>
    </cfRule>
  </conditionalFormatting>
  <conditionalFormatting sqref="H36">
    <cfRule type="expression" dxfId="976" priority="3">
      <formula>OR($J$13="Ja",)</formula>
    </cfRule>
  </conditionalFormatting>
  <dataValidations count="4">
    <dataValidation type="list" allowBlank="1" showInputMessage="1" showErrorMessage="1" sqref="E19:H19 E17:H17" xr:uid="{59E668A3-32EF-B846-8F30-0A5B1C3FF7EE}">
      <formula1>$I$18:$I$19</formula1>
    </dataValidation>
    <dataValidation type="list" allowBlank="1" showInputMessage="1" showErrorMessage="1" sqref="B27:H27" xr:uid="{F392690C-B5FF-3544-B2A6-6282EAEF66E5}">
      <formula1>$I$22:$I$24</formula1>
    </dataValidation>
    <dataValidation type="list" allowBlank="1" showInputMessage="1" showErrorMessage="1" sqref="B31:H31" xr:uid="{220F7218-A30D-3747-81EB-817B46195164}">
      <formula1>$I$25:$I$31</formula1>
    </dataValidation>
    <dataValidation type="list" allowBlank="1" showInputMessage="1" showErrorMessage="1" sqref="H34" xr:uid="{9EBF49C3-9B2C-E947-9002-F99CACDC417C}">
      <formula1>$I$33:$I$34</formula1>
    </dataValidation>
  </dataValidations>
  <hyperlinks>
    <hyperlink ref="A6:B6" location="Skemaoplysninger!A20" display="Skemaoplysninger" xr:uid="{0DBCE09B-B235-CA42-B430-0E54D8682158}"/>
    <hyperlink ref="C6:D6" location="Opgaver!A8" display="Opgaver" xr:uid="{98F0B529-CF11-6547-97EB-C8722201E06D}"/>
    <hyperlink ref="E6:F6" location="Arbejdstidsoversigt!A19" display="Arbejdstids-oversigt" xr:uid="{8A4196D5-424D-C943-B3FC-0BDE10B1D962}"/>
    <hyperlink ref="G6:H6" location="Opgørelse!B12" display="Opgørelse" xr:uid="{22A74121-8FE1-F74F-9449-8E280D9E13F1}"/>
    <hyperlink ref="A7:B7" location="August!A12" display="August" xr:uid="{13630A9D-2957-604D-8404-87AB6C30F81E}"/>
    <hyperlink ref="C7:D7" location="September!A8" display="September" xr:uid="{7E659DE7-DF67-C546-A3EC-429ACDFE0927}"/>
    <hyperlink ref="E7:F7" location="Oktober!A8" display="Oktober" xr:uid="{A0F568C8-1D4E-6F4A-AB26-BB811A586D62}"/>
    <hyperlink ref="G7:H7" location="November!A8" display="November" xr:uid="{D0E2D371-8B7A-4542-8636-27086EE58721}"/>
    <hyperlink ref="A8:B8" location="December!A8" display="December" xr:uid="{73D61EDE-52E6-104C-B282-87718AFDEF93}"/>
    <hyperlink ref="C8:D8" location="Januar!A8" display="Januar" xr:uid="{CDF63E6E-4DF2-FD46-A589-BEB7491BAC2F}"/>
    <hyperlink ref="E8:F8" location="Februar!A8" display="Februar" xr:uid="{FCF5885D-BACF-F143-A6B3-1A6E6CC82E13}"/>
    <hyperlink ref="A9:B9" location="April!A8" display="April" xr:uid="{89E381E6-AB93-D044-82C4-920CEC0976B8}"/>
    <hyperlink ref="C9:D9" location="Maj!A8" display="Maj" xr:uid="{C3866EED-48D6-2C40-A90F-23A0CCA9E4A4}"/>
    <hyperlink ref="E9:F9" location="Juni!A8" display="Juni" xr:uid="{74C226B7-607A-5340-A480-57DFE9A851EA}"/>
    <hyperlink ref="G9:H9" location="Juli!A8" display="Juli" xr:uid="{022E7E85-E069-4B4C-A8D1-D328AEDC9198}"/>
    <hyperlink ref="G8:H8" location="Marts!A8" display="Marts" xr:uid="{34CC7989-732E-D84C-8F5E-0A0911FEDF8E}"/>
  </hyperlinks>
  <pageMargins left="0.7" right="0.7" top="0.75" bottom="0.75" header="0.3" footer="0.3"/>
  <pageSetup paperSize="9" scale="82" orientation="portrait" horizontalDpi="0" verticalDpi="0"/>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81596-A7E1-6C4F-B466-39B373E748AC}">
  <sheetPr>
    <tabColor theme="4" tint="-0.249977111117893"/>
  </sheetPr>
  <dimension ref="A1:BD112"/>
  <sheetViews>
    <sheetView showZeros="0" topLeftCell="A13" zoomScaleNormal="100" workbookViewId="0">
      <selection activeCell="I22" sqref="I22"/>
    </sheetView>
  </sheetViews>
  <sheetFormatPr baseColWidth="10" defaultRowHeight="16"/>
  <cols>
    <col min="4" max="4" width="4.83203125" customWidth="1"/>
    <col min="5" max="5" width="14.83203125" customWidth="1"/>
    <col min="6" max="6" width="4.83203125" customWidth="1"/>
    <col min="7" max="7" width="14.83203125" customWidth="1"/>
    <col min="8" max="8" width="4.83203125" customWidth="1"/>
    <col min="9" max="9" width="14.83203125" customWidth="1"/>
    <col min="10" max="10" width="4.83203125" customWidth="1"/>
    <col min="11" max="11" width="14.83203125" customWidth="1"/>
    <col min="12" max="12" width="4.83203125" customWidth="1"/>
    <col min="13" max="13" width="14.83203125" customWidth="1"/>
    <col min="15" max="15" width="12.5" bestFit="1" customWidth="1"/>
    <col min="18" max="18" width="4.83203125" customWidth="1"/>
    <col min="19" max="19" width="14.83203125" customWidth="1"/>
    <col min="20" max="20" width="4.83203125" customWidth="1"/>
    <col min="21" max="21" width="14.83203125" customWidth="1"/>
    <col min="22" max="22" width="4.83203125" customWidth="1"/>
    <col min="23" max="23" width="14.83203125" customWidth="1"/>
    <col min="24" max="24" width="4.83203125" customWidth="1"/>
    <col min="25" max="25" width="14.83203125" customWidth="1"/>
    <col min="26" max="26" width="4.83203125" customWidth="1"/>
    <col min="27" max="27" width="14.83203125" customWidth="1"/>
    <col min="32" max="32" width="4.83203125" customWidth="1"/>
    <col min="33" max="33" width="14.83203125" customWidth="1"/>
    <col min="34" max="34" width="4.83203125" customWidth="1"/>
    <col min="35" max="35" width="14.83203125" customWidth="1"/>
    <col min="36" max="36" width="4.83203125" customWidth="1"/>
    <col min="37" max="37" width="14.83203125" customWidth="1"/>
    <col min="38" max="38" width="4.83203125" customWidth="1"/>
    <col min="39" max="39" width="14.83203125" customWidth="1"/>
    <col min="40" max="40" width="4.83203125" customWidth="1"/>
    <col min="41" max="41" width="14.83203125" customWidth="1"/>
    <col min="46" max="46" width="4.83203125" customWidth="1"/>
    <col min="47" max="47" width="14.83203125" customWidth="1"/>
    <col min="48" max="48" width="4.83203125" customWidth="1"/>
    <col min="49" max="49" width="14.83203125" customWidth="1"/>
    <col min="50" max="50" width="4.83203125" customWidth="1"/>
    <col min="51" max="51" width="14.83203125" customWidth="1"/>
    <col min="52" max="52" width="4.83203125" customWidth="1"/>
    <col min="53" max="53" width="14.83203125" customWidth="1"/>
    <col min="54" max="54" width="4.83203125" customWidth="1"/>
    <col min="55" max="55" width="14.83203125" customWidth="1"/>
  </cols>
  <sheetData>
    <row r="1" spans="1:55" ht="201" customHeight="1">
      <c r="C1" s="967" t="s">
        <v>700</v>
      </c>
      <c r="D1" s="967"/>
      <c r="E1" s="967"/>
      <c r="F1" s="967"/>
      <c r="G1" s="967"/>
      <c r="H1" s="967"/>
      <c r="I1" s="967"/>
      <c r="J1" s="967"/>
      <c r="K1" s="967"/>
      <c r="L1" s="967"/>
      <c r="M1" s="967"/>
      <c r="N1" s="967"/>
      <c r="O1" s="967"/>
      <c r="P1" s="967"/>
      <c r="Q1" s="967"/>
      <c r="R1" s="967"/>
      <c r="S1" s="967"/>
      <c r="AO1" s="38"/>
    </row>
    <row r="2" spans="1:55" ht="71" customHeight="1">
      <c r="A2" s="979" t="s">
        <v>458</v>
      </c>
      <c r="B2" s="979"/>
      <c r="C2" s="979" t="s">
        <v>595</v>
      </c>
      <c r="D2" s="979"/>
      <c r="E2" s="968" t="s">
        <v>596</v>
      </c>
      <c r="F2" s="968"/>
      <c r="G2" s="968"/>
      <c r="H2" s="968"/>
      <c r="I2" s="968"/>
      <c r="J2" s="968"/>
      <c r="K2" s="968"/>
      <c r="L2" s="968"/>
      <c r="M2" s="968"/>
      <c r="N2" s="968"/>
      <c r="O2" s="968"/>
      <c r="P2" s="968"/>
      <c r="Q2" s="968"/>
      <c r="R2" s="968"/>
      <c r="S2" s="968"/>
      <c r="AO2" s="38"/>
    </row>
    <row r="3" spans="1:55" ht="77" customHeight="1">
      <c r="A3" s="979" t="s">
        <v>458</v>
      </c>
      <c r="B3" s="979"/>
      <c r="C3" s="980" t="s">
        <v>594</v>
      </c>
      <c r="D3" s="980"/>
      <c r="E3" s="968" t="s">
        <v>597</v>
      </c>
      <c r="F3" s="968"/>
      <c r="G3" s="968"/>
      <c r="H3" s="968"/>
      <c r="I3" s="968"/>
      <c r="J3" s="968"/>
      <c r="K3" s="968"/>
      <c r="L3" s="968"/>
      <c r="M3" s="968"/>
      <c r="N3" s="968"/>
      <c r="O3" s="968"/>
      <c r="P3" s="968"/>
      <c r="Q3" s="968"/>
      <c r="R3" s="968"/>
      <c r="S3" s="968"/>
      <c r="AO3" s="38"/>
    </row>
    <row r="4" spans="1:55" ht="50" customHeight="1">
      <c r="C4" s="967" t="s">
        <v>379</v>
      </c>
      <c r="D4" s="967"/>
      <c r="E4" s="967"/>
      <c r="F4" s="967"/>
      <c r="G4" s="967"/>
      <c r="H4" s="967"/>
      <c r="I4" s="967"/>
      <c r="J4" s="967"/>
      <c r="K4" s="967"/>
      <c r="L4" s="967"/>
      <c r="M4" s="967"/>
      <c r="N4" s="967"/>
      <c r="O4" s="967"/>
      <c r="P4" s="967"/>
      <c r="Q4" s="967"/>
      <c r="R4" s="967"/>
      <c r="S4" s="967"/>
      <c r="AO4" s="38"/>
    </row>
    <row r="5" spans="1:55" ht="50" customHeight="1" thickBot="1">
      <c r="A5" s="864" t="s">
        <v>689</v>
      </c>
      <c r="B5" s="864"/>
      <c r="C5" s="864"/>
      <c r="D5" s="864"/>
      <c r="E5" s="864"/>
      <c r="F5" s="864"/>
      <c r="G5" s="864"/>
      <c r="H5" s="864"/>
      <c r="I5" s="723"/>
      <c r="J5" s="723"/>
      <c r="K5" s="723"/>
      <c r="L5" s="723"/>
      <c r="M5" s="723"/>
      <c r="N5" s="723"/>
      <c r="O5" s="723"/>
      <c r="P5" s="723"/>
      <c r="Q5" s="723"/>
      <c r="R5" s="723"/>
      <c r="S5" s="723"/>
      <c r="T5" s="723"/>
      <c r="AP5" s="38"/>
    </row>
    <row r="6" spans="1:55" ht="50" customHeight="1" thickBot="1">
      <c r="A6" s="871" t="s">
        <v>687</v>
      </c>
      <c r="B6" s="1018"/>
      <c r="C6" s="867" t="s">
        <v>495</v>
      </c>
      <c r="D6" s="868"/>
      <c r="E6" s="869" t="s">
        <v>688</v>
      </c>
      <c r="F6" s="870"/>
      <c r="G6" s="965" t="s">
        <v>367</v>
      </c>
      <c r="H6" s="966"/>
      <c r="I6" s="723"/>
      <c r="J6" s="723"/>
      <c r="K6" s="723"/>
      <c r="L6" s="723"/>
      <c r="M6" s="723"/>
      <c r="N6" s="723"/>
      <c r="O6" s="723"/>
      <c r="P6" s="723"/>
      <c r="Q6" s="723"/>
      <c r="R6" s="723"/>
      <c r="S6" s="723"/>
      <c r="T6" s="723"/>
      <c r="AP6" s="38"/>
    </row>
    <row r="7" spans="1:55" ht="30" customHeight="1" thickBot="1">
      <c r="A7" s="873" t="s">
        <v>231</v>
      </c>
      <c r="B7" s="873"/>
      <c r="C7" s="873" t="s">
        <v>233</v>
      </c>
      <c r="D7" s="873"/>
      <c r="E7" s="873" t="s">
        <v>234</v>
      </c>
      <c r="F7" s="873"/>
      <c r="G7" s="873" t="s">
        <v>235</v>
      </c>
      <c r="H7" s="873"/>
      <c r="I7" s="723"/>
      <c r="J7" s="723"/>
      <c r="K7" s="723"/>
      <c r="L7" s="723"/>
      <c r="M7" s="723"/>
      <c r="N7" s="723"/>
      <c r="O7" s="723"/>
      <c r="P7" s="723"/>
      <c r="Q7" s="723"/>
      <c r="R7" s="723"/>
      <c r="S7" s="723"/>
      <c r="T7" s="723"/>
      <c r="AP7" s="38"/>
    </row>
    <row r="8" spans="1:55" ht="30" customHeight="1" thickBot="1">
      <c r="A8" s="873" t="s">
        <v>279</v>
      </c>
      <c r="B8" s="873"/>
      <c r="C8" s="873" t="s">
        <v>280</v>
      </c>
      <c r="D8" s="873"/>
      <c r="E8" s="873" t="s">
        <v>281</v>
      </c>
      <c r="F8" s="873"/>
      <c r="G8" s="873" t="s">
        <v>282</v>
      </c>
      <c r="H8" s="873"/>
      <c r="I8" s="723"/>
      <c r="J8" s="723"/>
      <c r="K8" s="723"/>
      <c r="L8" s="723"/>
      <c r="M8" s="723"/>
      <c r="N8" s="723"/>
      <c r="O8" s="723"/>
      <c r="P8" s="723"/>
      <c r="Q8" s="723"/>
      <c r="R8" s="723"/>
      <c r="S8" s="723"/>
      <c r="T8" s="723"/>
      <c r="AP8" s="38"/>
    </row>
    <row r="9" spans="1:55" ht="30" customHeight="1" thickBot="1">
      <c r="A9" s="873" t="s">
        <v>283</v>
      </c>
      <c r="B9" s="873"/>
      <c r="C9" s="873" t="s">
        <v>284</v>
      </c>
      <c r="D9" s="873"/>
      <c r="E9" s="873" t="s">
        <v>285</v>
      </c>
      <c r="F9" s="873"/>
      <c r="G9" s="873" t="s">
        <v>286</v>
      </c>
      <c r="H9" s="873"/>
      <c r="I9" s="723"/>
      <c r="J9" s="723"/>
      <c r="K9" s="723"/>
      <c r="L9" s="723"/>
      <c r="M9" s="723"/>
      <c r="N9" s="723"/>
      <c r="O9" s="723"/>
      <c r="P9" s="723"/>
      <c r="Q9" s="723"/>
      <c r="R9" s="723"/>
      <c r="S9" s="723"/>
      <c r="T9" s="723"/>
      <c r="AP9" s="38"/>
    </row>
    <row r="10" spans="1:55" ht="30" customHeight="1">
      <c r="A10" s="994" t="str">
        <f>"Skema 1 vedr. "&amp;Stamoplysninger!$E$13&amp;""</f>
        <v>Skema 1 vedr. Beate Simonsen</v>
      </c>
      <c r="B10" s="995"/>
      <c r="C10" s="995"/>
      <c r="D10" s="995"/>
      <c r="E10" s="995"/>
      <c r="F10" s="995"/>
      <c r="G10" s="995"/>
      <c r="H10" s="995"/>
      <c r="I10" s="995"/>
      <c r="J10" s="995"/>
      <c r="K10" s="995"/>
      <c r="L10" s="995"/>
      <c r="M10" s="996"/>
      <c r="O10" s="994" t="str">
        <f>"Skema 2 vedr. "&amp;Stamoplysninger!$E$13&amp;""</f>
        <v>Skema 2 vedr. Beate Simonsen</v>
      </c>
      <c r="P10" s="995"/>
      <c r="Q10" s="995"/>
      <c r="R10" s="995"/>
      <c r="S10" s="995"/>
      <c r="T10" s="995"/>
      <c r="U10" s="995"/>
      <c r="V10" s="995"/>
      <c r="W10" s="995"/>
      <c r="X10" s="995"/>
      <c r="Y10" s="995"/>
      <c r="Z10" s="995"/>
      <c r="AA10" s="996"/>
      <c r="AC10" s="994" t="str">
        <f>"Skema 3 vedr. "&amp;Stamoplysninger!$E$13&amp;""</f>
        <v>Skema 3 vedr. Beate Simonsen</v>
      </c>
      <c r="AD10" s="995"/>
      <c r="AE10" s="995"/>
      <c r="AF10" s="995"/>
      <c r="AG10" s="995"/>
      <c r="AH10" s="995"/>
      <c r="AI10" s="995"/>
      <c r="AJ10" s="995"/>
      <c r="AK10" s="995"/>
      <c r="AL10" s="995"/>
      <c r="AM10" s="995"/>
      <c r="AN10" s="995"/>
      <c r="AO10" s="996"/>
      <c r="AQ10" s="994" t="str">
        <f>"Skema 4 vedr. "&amp;Stamoplysninger!$E$13&amp;""</f>
        <v>Skema 4 vedr. Beate Simonsen</v>
      </c>
      <c r="AR10" s="995"/>
      <c r="AS10" s="995"/>
      <c r="AT10" s="995"/>
      <c r="AU10" s="995"/>
      <c r="AV10" s="995"/>
      <c r="AW10" s="995"/>
      <c r="AX10" s="995"/>
      <c r="AY10" s="995"/>
      <c r="AZ10" s="995"/>
      <c r="BA10" s="995"/>
      <c r="BB10" s="995"/>
      <c r="BC10" s="996"/>
    </row>
    <row r="11" spans="1:55" ht="29" customHeight="1">
      <c r="A11" s="997" t="s">
        <v>216</v>
      </c>
      <c r="B11" s="998"/>
      <c r="C11" s="998"/>
      <c r="D11" s="998"/>
      <c r="E11" s="998"/>
      <c r="F11" s="1001" t="s">
        <v>27</v>
      </c>
      <c r="G11" s="1001"/>
      <c r="H11" s="1001"/>
      <c r="I11" s="1001"/>
      <c r="J11" s="1001" t="s">
        <v>294</v>
      </c>
      <c r="K11" s="1001"/>
      <c r="L11" s="1001"/>
      <c r="M11" s="1002"/>
      <c r="N11" s="38" t="s">
        <v>537</v>
      </c>
      <c r="O11" s="997" t="s">
        <v>216</v>
      </c>
      <c r="P11" s="998"/>
      <c r="Q11" s="998"/>
      <c r="R11" s="998"/>
      <c r="S11" s="998"/>
      <c r="T11" s="1001" t="s">
        <v>27</v>
      </c>
      <c r="U11" s="1001"/>
      <c r="V11" s="1001"/>
      <c r="W11" s="1001"/>
      <c r="X11" s="1001" t="s">
        <v>294</v>
      </c>
      <c r="Y11" s="1001"/>
      <c r="Z11" s="1001"/>
      <c r="AA11" s="1002"/>
      <c r="AC11" s="997" t="s">
        <v>216</v>
      </c>
      <c r="AD11" s="998"/>
      <c r="AE11" s="998"/>
      <c r="AF11" s="998"/>
      <c r="AG11" s="998"/>
      <c r="AH11" s="1001" t="s">
        <v>27</v>
      </c>
      <c r="AI11" s="1001"/>
      <c r="AJ11" s="1001"/>
      <c r="AK11" s="1001"/>
      <c r="AL11" s="1001" t="s">
        <v>294</v>
      </c>
      <c r="AM11" s="1001"/>
      <c r="AN11" s="1001"/>
      <c r="AO11" s="1002"/>
      <c r="AQ11" s="997" t="s">
        <v>216</v>
      </c>
      <c r="AR11" s="998"/>
      <c r="AS11" s="998"/>
      <c r="AT11" s="998"/>
      <c r="AU11" s="998"/>
      <c r="AV11" s="1001" t="s">
        <v>27</v>
      </c>
      <c r="AW11" s="1001"/>
      <c r="AX11" s="1001"/>
      <c r="AY11" s="1001"/>
      <c r="AZ11" s="1001" t="s">
        <v>294</v>
      </c>
      <c r="BA11" s="1001"/>
      <c r="BB11" s="1001"/>
      <c r="BC11" s="1002"/>
    </row>
    <row r="12" spans="1:55" ht="30" customHeight="1">
      <c r="A12" s="999"/>
      <c r="B12" s="1000"/>
      <c r="C12" s="1000"/>
      <c r="D12" s="1000"/>
      <c r="E12" s="1000"/>
      <c r="F12" s="1003" t="s">
        <v>784</v>
      </c>
      <c r="G12" s="1003"/>
      <c r="H12" s="1003"/>
      <c r="I12" s="1003"/>
      <c r="J12" s="1004" t="s">
        <v>785</v>
      </c>
      <c r="K12" s="1005"/>
      <c r="L12" s="1005"/>
      <c r="M12" s="1006"/>
      <c r="N12" s="38"/>
      <c r="O12" s="999"/>
      <c r="P12" s="1000"/>
      <c r="Q12" s="1000"/>
      <c r="R12" s="1000"/>
      <c r="S12" s="1000"/>
      <c r="T12" s="1003"/>
      <c r="U12" s="1003"/>
      <c r="V12" s="1003"/>
      <c r="W12" s="1003"/>
      <c r="X12" s="1004"/>
      <c r="Y12" s="1005"/>
      <c r="Z12" s="1005"/>
      <c r="AA12" s="1006"/>
      <c r="AC12" s="999"/>
      <c r="AD12" s="1000"/>
      <c r="AE12" s="1000"/>
      <c r="AF12" s="1000"/>
      <c r="AG12" s="1000"/>
      <c r="AH12" s="1003"/>
      <c r="AI12" s="1003"/>
      <c r="AJ12" s="1003"/>
      <c r="AK12" s="1003"/>
      <c r="AL12" s="1004"/>
      <c r="AM12" s="1005"/>
      <c r="AN12" s="1005"/>
      <c r="AO12" s="1006"/>
      <c r="AQ12" s="999"/>
      <c r="AR12" s="1000"/>
      <c r="AS12" s="1000"/>
      <c r="AT12" s="1000"/>
      <c r="AU12" s="1000"/>
      <c r="AV12" s="1003"/>
      <c r="AW12" s="1003"/>
      <c r="AX12" s="1003"/>
      <c r="AY12" s="1003"/>
      <c r="AZ12" s="1004"/>
      <c r="BA12" s="1005"/>
      <c r="BB12" s="1005"/>
      <c r="BC12" s="1006"/>
    </row>
    <row r="13" spans="1:55" ht="70" customHeight="1">
      <c r="A13" s="1007" t="s">
        <v>701</v>
      </c>
      <c r="B13" s="1008"/>
      <c r="C13" s="1008"/>
      <c r="D13" s="1008"/>
      <c r="E13" s="1008"/>
      <c r="F13" s="1008"/>
      <c r="G13" s="1008"/>
      <c r="H13" s="1008"/>
      <c r="I13" s="1008"/>
      <c r="J13" s="1008"/>
      <c r="K13" s="1008"/>
      <c r="L13" s="1008"/>
      <c r="M13" s="1009"/>
      <c r="N13" s="670"/>
      <c r="O13" s="1007" t="s">
        <v>702</v>
      </c>
      <c r="P13" s="1008"/>
      <c r="Q13" s="1008"/>
      <c r="R13" s="1008"/>
      <c r="S13" s="1008"/>
      <c r="T13" s="1008"/>
      <c r="U13" s="1008"/>
      <c r="V13" s="1008"/>
      <c r="W13" s="1008"/>
      <c r="X13" s="1008"/>
      <c r="Y13" s="1008"/>
      <c r="Z13" s="1008"/>
      <c r="AA13" s="1009"/>
      <c r="AC13" s="1007" t="s">
        <v>703</v>
      </c>
      <c r="AD13" s="1008"/>
      <c r="AE13" s="1008"/>
      <c r="AF13" s="1008"/>
      <c r="AG13" s="1008"/>
      <c r="AH13" s="1008"/>
      <c r="AI13" s="1008"/>
      <c r="AJ13" s="1008"/>
      <c r="AK13" s="1008"/>
      <c r="AL13" s="1008"/>
      <c r="AM13" s="1008"/>
      <c r="AN13" s="1008"/>
      <c r="AO13" s="1009"/>
      <c r="AQ13" s="1007" t="s">
        <v>704</v>
      </c>
      <c r="AR13" s="1008"/>
      <c r="AS13" s="1008"/>
      <c r="AT13" s="1008"/>
      <c r="AU13" s="1008"/>
      <c r="AV13" s="1008"/>
      <c r="AW13" s="1008"/>
      <c r="AX13" s="1008"/>
      <c r="AY13" s="1008"/>
      <c r="AZ13" s="1008"/>
      <c r="BA13" s="1008"/>
      <c r="BB13" s="1008"/>
      <c r="BC13" s="1009"/>
    </row>
    <row r="14" spans="1:55" ht="38" customHeight="1">
      <c r="A14" s="1010" t="s">
        <v>67</v>
      </c>
      <c r="B14" s="922"/>
      <c r="C14" s="613">
        <v>0.33333333333333331</v>
      </c>
      <c r="D14" s="1011" t="s">
        <v>34</v>
      </c>
      <c r="E14" s="1012"/>
      <c r="F14" s="1011" t="s">
        <v>35</v>
      </c>
      <c r="G14" s="1012"/>
      <c r="H14" s="1011" t="s">
        <v>36</v>
      </c>
      <c r="I14" s="1012"/>
      <c r="J14" s="1011" t="s">
        <v>37</v>
      </c>
      <c r="K14" s="1012"/>
      <c r="L14" s="1011" t="s">
        <v>38</v>
      </c>
      <c r="M14" s="1016"/>
      <c r="N14" s="671"/>
      <c r="O14" s="1010" t="s">
        <v>67</v>
      </c>
      <c r="P14" s="922"/>
      <c r="Q14" s="37"/>
      <c r="R14" s="1011" t="s">
        <v>34</v>
      </c>
      <c r="S14" s="1012"/>
      <c r="T14" s="1011" t="s">
        <v>35</v>
      </c>
      <c r="U14" s="1012"/>
      <c r="V14" s="1011" t="s">
        <v>36</v>
      </c>
      <c r="W14" s="1012"/>
      <c r="X14" s="1011" t="s">
        <v>37</v>
      </c>
      <c r="Y14" s="1012"/>
      <c r="Z14" s="1011" t="s">
        <v>38</v>
      </c>
      <c r="AA14" s="1016"/>
      <c r="AC14" s="1010" t="s">
        <v>67</v>
      </c>
      <c r="AD14" s="922"/>
      <c r="AE14" s="37"/>
      <c r="AF14" s="1011" t="s">
        <v>34</v>
      </c>
      <c r="AG14" s="1012"/>
      <c r="AH14" s="1011" t="s">
        <v>35</v>
      </c>
      <c r="AI14" s="1012"/>
      <c r="AJ14" s="1011" t="s">
        <v>36</v>
      </c>
      <c r="AK14" s="1012"/>
      <c r="AL14" s="1011" t="s">
        <v>37</v>
      </c>
      <c r="AM14" s="1012"/>
      <c r="AN14" s="1011" t="s">
        <v>38</v>
      </c>
      <c r="AO14" s="1016"/>
      <c r="AQ14" s="1010" t="s">
        <v>67</v>
      </c>
      <c r="AR14" s="922"/>
      <c r="AS14" s="37"/>
      <c r="AT14" s="1011" t="s">
        <v>34</v>
      </c>
      <c r="AU14" s="1012"/>
      <c r="AV14" s="1011" t="s">
        <v>35</v>
      </c>
      <c r="AW14" s="1012"/>
      <c r="AX14" s="1011" t="s">
        <v>36</v>
      </c>
      <c r="AY14" s="1012"/>
      <c r="AZ14" s="1011" t="s">
        <v>37</v>
      </c>
      <c r="BA14" s="1012"/>
      <c r="BB14" s="1011" t="s">
        <v>38</v>
      </c>
      <c r="BC14" s="1016"/>
    </row>
    <row r="15" spans="1:55" ht="73" customHeight="1">
      <c r="A15" s="676" t="s">
        <v>598</v>
      </c>
      <c r="B15" s="675" t="s">
        <v>534</v>
      </c>
      <c r="C15" s="614" t="s">
        <v>535</v>
      </c>
      <c r="D15" s="1013" t="s">
        <v>536</v>
      </c>
      <c r="E15" s="1014"/>
      <c r="F15" s="1013" t="s">
        <v>536</v>
      </c>
      <c r="G15" s="1014"/>
      <c r="H15" s="1013" t="s">
        <v>536</v>
      </c>
      <c r="I15" s="1014"/>
      <c r="J15" s="1013" t="s">
        <v>536</v>
      </c>
      <c r="K15" s="1014"/>
      <c r="L15" s="1013" t="s">
        <v>536</v>
      </c>
      <c r="M15" s="1015"/>
      <c r="N15" s="672"/>
      <c r="O15" s="676" t="s">
        <v>598</v>
      </c>
      <c r="P15" s="675" t="s">
        <v>534</v>
      </c>
      <c r="Q15" s="614" t="s">
        <v>535</v>
      </c>
      <c r="R15" s="984" t="s">
        <v>536</v>
      </c>
      <c r="S15" s="1017"/>
      <c r="T15" s="984" t="s">
        <v>536</v>
      </c>
      <c r="U15" s="1017"/>
      <c r="V15" s="984" t="s">
        <v>536</v>
      </c>
      <c r="W15" s="1017"/>
      <c r="X15" s="984" t="s">
        <v>536</v>
      </c>
      <c r="Y15" s="1017"/>
      <c r="Z15" s="984" t="s">
        <v>536</v>
      </c>
      <c r="AA15" s="985"/>
      <c r="AC15" s="676" t="s">
        <v>598</v>
      </c>
      <c r="AD15" s="675" t="s">
        <v>534</v>
      </c>
      <c r="AE15" s="614" t="s">
        <v>535</v>
      </c>
      <c r="AF15" s="984" t="s">
        <v>536</v>
      </c>
      <c r="AG15" s="1017"/>
      <c r="AH15" s="984" t="s">
        <v>536</v>
      </c>
      <c r="AI15" s="1017"/>
      <c r="AJ15" s="984" t="s">
        <v>536</v>
      </c>
      <c r="AK15" s="1017"/>
      <c r="AL15" s="984" t="s">
        <v>536</v>
      </c>
      <c r="AM15" s="1017"/>
      <c r="AN15" s="984" t="s">
        <v>536</v>
      </c>
      <c r="AO15" s="985"/>
      <c r="AQ15" s="676" t="s">
        <v>598</v>
      </c>
      <c r="AR15" s="675" t="s">
        <v>534</v>
      </c>
      <c r="AS15" s="614" t="s">
        <v>535</v>
      </c>
      <c r="AT15" s="984" t="s">
        <v>536</v>
      </c>
      <c r="AU15" s="1017"/>
      <c r="AV15" s="984" t="s">
        <v>536</v>
      </c>
      <c r="AW15" s="1017"/>
      <c r="AX15" s="984" t="s">
        <v>536</v>
      </c>
      <c r="AY15" s="1017"/>
      <c r="AZ15" s="984" t="s">
        <v>536</v>
      </c>
      <c r="BA15" s="1017"/>
      <c r="BB15" s="984" t="s">
        <v>536</v>
      </c>
      <c r="BC15" s="985"/>
    </row>
    <row r="16" spans="1:55" ht="33" customHeight="1">
      <c r="A16" s="606">
        <v>2.7777777777777776E-2</v>
      </c>
      <c r="B16" s="674">
        <f>IF(A16&gt;0,C14,"")</f>
        <v>0.33333333333333331</v>
      </c>
      <c r="C16" s="674">
        <f>IF(A16&gt;0,B16+A16,"")</f>
        <v>0.3611111111111111</v>
      </c>
      <c r="D16" s="673" t="s">
        <v>533</v>
      </c>
      <c r="E16" s="611" t="s">
        <v>786</v>
      </c>
      <c r="F16" s="673" t="s">
        <v>533</v>
      </c>
      <c r="G16" s="611" t="s">
        <v>787</v>
      </c>
      <c r="H16" s="673" t="s">
        <v>533</v>
      </c>
      <c r="I16" s="611" t="s">
        <v>787</v>
      </c>
      <c r="J16" s="673"/>
      <c r="K16" s="611"/>
      <c r="L16" s="673"/>
      <c r="M16" s="615"/>
      <c r="N16" s="38" t="s">
        <v>532</v>
      </c>
      <c r="O16" s="606"/>
      <c r="P16" s="674" t="str">
        <f>IF(O16&gt;0,Q14,"")</f>
        <v/>
      </c>
      <c r="Q16" s="674" t="str">
        <f>IF(O16&gt;0,P16+O16,"")</f>
        <v/>
      </c>
      <c r="R16" s="673"/>
      <c r="S16" s="611"/>
      <c r="T16" s="673"/>
      <c r="U16" s="611"/>
      <c r="V16" s="673"/>
      <c r="W16" s="611"/>
      <c r="X16" s="673"/>
      <c r="Y16" s="611"/>
      <c r="Z16" s="673"/>
      <c r="AA16" s="615"/>
      <c r="AC16" s="606"/>
      <c r="AD16" s="674" t="str">
        <f>IF(AC16&gt;0,AE14,"")</f>
        <v/>
      </c>
      <c r="AE16" s="674" t="str">
        <f>IF(AC16&gt;0,AD16+AC16,"")</f>
        <v/>
      </c>
      <c r="AF16" s="673"/>
      <c r="AG16" s="611"/>
      <c r="AH16" s="673"/>
      <c r="AI16" s="611"/>
      <c r="AJ16" s="673"/>
      <c r="AK16" s="611"/>
      <c r="AL16" s="673"/>
      <c r="AM16" s="611"/>
      <c r="AN16" s="673"/>
      <c r="AO16" s="615"/>
      <c r="AQ16" s="606"/>
      <c r="AR16" s="674" t="str">
        <f>IF(AQ16&gt;0,AS14,"")</f>
        <v/>
      </c>
      <c r="AS16" s="674" t="str">
        <f>IF(AQ16&gt;0,AR16+AQ16,"")</f>
        <v/>
      </c>
      <c r="AT16" s="673"/>
      <c r="AU16" s="611"/>
      <c r="AV16" s="673"/>
      <c r="AW16" s="611"/>
      <c r="AX16" s="673"/>
      <c r="AY16" s="611"/>
      <c r="AZ16" s="673"/>
      <c r="BA16" s="611"/>
      <c r="BB16" s="673"/>
      <c r="BC16" s="615"/>
    </row>
    <row r="17" spans="1:55" ht="33" customHeight="1">
      <c r="A17" s="606">
        <v>3.472222222222222E-3</v>
      </c>
      <c r="B17" s="35">
        <f>IF(A17&gt;0,C16,"")</f>
        <v>0.3611111111111111</v>
      </c>
      <c r="C17" s="35">
        <f t="shared" ref="C17:C33" si="0">IF(A17&gt;0,B17+A17,"")</f>
        <v>0.36458333333333331</v>
      </c>
      <c r="D17" s="683" t="s">
        <v>533</v>
      </c>
      <c r="E17" s="684" t="s">
        <v>722</v>
      </c>
      <c r="F17" s="683" t="s">
        <v>533</v>
      </c>
      <c r="G17" s="685" t="s">
        <v>722</v>
      </c>
      <c r="H17" s="683" t="s">
        <v>533</v>
      </c>
      <c r="I17" s="685" t="s">
        <v>722</v>
      </c>
      <c r="J17" s="683"/>
      <c r="K17" s="685"/>
      <c r="L17" s="683"/>
      <c r="M17" s="686"/>
      <c r="N17" s="38" t="s">
        <v>533</v>
      </c>
      <c r="O17" s="606"/>
      <c r="P17" s="35" t="str">
        <f>IF(O17&gt;0,Q16,"")</f>
        <v/>
      </c>
      <c r="Q17" s="35" t="str">
        <f t="shared" ref="Q17:Q33" si="1">IF(O17&gt;0,P17+O17,"")</f>
        <v/>
      </c>
      <c r="R17" s="683"/>
      <c r="S17" s="684"/>
      <c r="T17" s="683"/>
      <c r="U17" s="685"/>
      <c r="V17" s="683"/>
      <c r="W17" s="685"/>
      <c r="X17" s="683"/>
      <c r="Y17" s="685"/>
      <c r="Z17" s="683"/>
      <c r="AA17" s="686"/>
      <c r="AC17" s="606"/>
      <c r="AD17" s="35" t="str">
        <f>IF(AC17&gt;0,AE16,"")</f>
        <v/>
      </c>
      <c r="AE17" s="35" t="str">
        <f t="shared" ref="AE17:AE33" si="2">IF(AC17&gt;0,AD17+AC17,"")</f>
        <v/>
      </c>
      <c r="AF17" s="683"/>
      <c r="AG17" s="684"/>
      <c r="AH17" s="683"/>
      <c r="AI17" s="685"/>
      <c r="AJ17" s="683"/>
      <c r="AK17" s="685"/>
      <c r="AL17" s="683"/>
      <c r="AM17" s="685"/>
      <c r="AN17" s="683"/>
      <c r="AO17" s="686"/>
      <c r="AQ17" s="606"/>
      <c r="AR17" s="35" t="str">
        <f>IF(AQ17&gt;0,AS16,"")</f>
        <v/>
      </c>
      <c r="AS17" s="35" t="str">
        <f t="shared" ref="AS17:AS33" si="3">IF(AQ17&gt;0,AR17+AQ17,"")</f>
        <v/>
      </c>
      <c r="AT17" s="683"/>
      <c r="AU17" s="684"/>
      <c r="AV17" s="683"/>
      <c r="AW17" s="685"/>
      <c r="AX17" s="683"/>
      <c r="AY17" s="685"/>
      <c r="AZ17" s="683"/>
      <c r="BA17" s="685"/>
      <c r="BB17" s="683"/>
      <c r="BC17" s="686"/>
    </row>
    <row r="18" spans="1:55" ht="33" customHeight="1">
      <c r="A18" s="606">
        <v>3.125E-2</v>
      </c>
      <c r="B18" s="674">
        <f t="shared" ref="B18:B33" si="4">IF(A18&gt;0,C17,"")</f>
        <v>0.36458333333333331</v>
      </c>
      <c r="C18" s="674">
        <f t="shared" si="0"/>
        <v>0.39583333333333331</v>
      </c>
      <c r="D18" s="673" t="s">
        <v>532</v>
      </c>
      <c r="E18" s="611" t="s">
        <v>5</v>
      </c>
      <c r="F18" s="673" t="s">
        <v>532</v>
      </c>
      <c r="G18" s="596" t="s">
        <v>6</v>
      </c>
      <c r="H18" s="673" t="s">
        <v>532</v>
      </c>
      <c r="I18" s="596" t="s">
        <v>8</v>
      </c>
      <c r="J18" s="673" t="s">
        <v>532</v>
      </c>
      <c r="K18" s="596" t="s">
        <v>749</v>
      </c>
      <c r="L18" s="673" t="s">
        <v>532</v>
      </c>
      <c r="M18" s="612" t="s">
        <v>5</v>
      </c>
      <c r="N18" s="38"/>
      <c r="O18" s="606"/>
      <c r="P18" s="674" t="str">
        <f t="shared" ref="P18:P33" si="5">IF(O18&gt;0,Q17,"")</f>
        <v/>
      </c>
      <c r="Q18" s="674" t="str">
        <f t="shared" si="1"/>
        <v/>
      </c>
      <c r="R18" s="673"/>
      <c r="S18" s="611"/>
      <c r="T18" s="673"/>
      <c r="U18" s="596"/>
      <c r="V18" s="673"/>
      <c r="W18" s="596"/>
      <c r="X18" s="673"/>
      <c r="Y18" s="596"/>
      <c r="Z18" s="673"/>
      <c r="AA18" s="612"/>
      <c r="AC18" s="606"/>
      <c r="AD18" s="674" t="str">
        <f t="shared" ref="AD18:AD33" si="6">IF(AC18&gt;0,AE17,"")</f>
        <v/>
      </c>
      <c r="AE18" s="674" t="str">
        <f t="shared" si="2"/>
        <v/>
      </c>
      <c r="AF18" s="673"/>
      <c r="AG18" s="611"/>
      <c r="AH18" s="673"/>
      <c r="AI18" s="596"/>
      <c r="AJ18" s="673"/>
      <c r="AK18" s="596"/>
      <c r="AL18" s="673"/>
      <c r="AM18" s="596"/>
      <c r="AN18" s="673"/>
      <c r="AO18" s="612"/>
      <c r="AQ18" s="606"/>
      <c r="AR18" s="674" t="str">
        <f t="shared" ref="AR18:AR33" si="7">IF(AQ18&gt;0,AS17,"")</f>
        <v/>
      </c>
      <c r="AS18" s="674" t="str">
        <f t="shared" si="3"/>
        <v/>
      </c>
      <c r="AT18" s="673"/>
      <c r="AU18" s="611"/>
      <c r="AV18" s="673"/>
      <c r="AW18" s="596"/>
      <c r="AX18" s="673"/>
      <c r="AY18" s="596"/>
      <c r="AZ18" s="673"/>
      <c r="BA18" s="596"/>
      <c r="BB18" s="673"/>
      <c r="BC18" s="612"/>
    </row>
    <row r="19" spans="1:55" ht="33" customHeight="1">
      <c r="A19" s="606">
        <v>1.0416666666666666E-2</v>
      </c>
      <c r="B19" s="35">
        <f t="shared" si="4"/>
        <v>0.39583333333333331</v>
      </c>
      <c r="C19" s="35">
        <f t="shared" si="0"/>
        <v>0.40625</v>
      </c>
      <c r="D19" s="683" t="s">
        <v>533</v>
      </c>
      <c r="E19" s="684" t="s">
        <v>722</v>
      </c>
      <c r="F19" s="683" t="s">
        <v>533</v>
      </c>
      <c r="G19" s="685" t="s">
        <v>722</v>
      </c>
      <c r="H19" s="683" t="s">
        <v>533</v>
      </c>
      <c r="I19" s="685" t="s">
        <v>722</v>
      </c>
      <c r="J19" s="683" t="s">
        <v>533</v>
      </c>
      <c r="K19" s="685" t="s">
        <v>722</v>
      </c>
      <c r="L19" s="683" t="s">
        <v>533</v>
      </c>
      <c r="M19" s="686" t="s">
        <v>722</v>
      </c>
      <c r="N19" s="38"/>
      <c r="O19" s="606"/>
      <c r="P19" s="35" t="str">
        <f t="shared" si="5"/>
        <v/>
      </c>
      <c r="Q19" s="35" t="str">
        <f t="shared" si="1"/>
        <v/>
      </c>
      <c r="R19" s="683"/>
      <c r="S19" s="684"/>
      <c r="T19" s="683"/>
      <c r="U19" s="685"/>
      <c r="V19" s="683"/>
      <c r="W19" s="685"/>
      <c r="X19" s="683"/>
      <c r="Y19" s="685"/>
      <c r="Z19" s="683"/>
      <c r="AA19" s="686"/>
      <c r="AC19" s="606"/>
      <c r="AD19" s="35" t="str">
        <f t="shared" si="6"/>
        <v/>
      </c>
      <c r="AE19" s="35" t="str">
        <f t="shared" si="2"/>
        <v/>
      </c>
      <c r="AF19" s="683"/>
      <c r="AG19" s="684"/>
      <c r="AH19" s="683"/>
      <c r="AI19" s="685"/>
      <c r="AJ19" s="683"/>
      <c r="AK19" s="685"/>
      <c r="AL19" s="683"/>
      <c r="AM19" s="685"/>
      <c r="AN19" s="683"/>
      <c r="AO19" s="686"/>
      <c r="AQ19" s="606"/>
      <c r="AR19" s="35" t="str">
        <f t="shared" si="7"/>
        <v/>
      </c>
      <c r="AS19" s="35" t="str">
        <f t="shared" si="3"/>
        <v/>
      </c>
      <c r="AT19" s="683"/>
      <c r="AU19" s="684"/>
      <c r="AV19" s="683"/>
      <c r="AW19" s="685"/>
      <c r="AX19" s="683"/>
      <c r="AY19" s="685"/>
      <c r="AZ19" s="683"/>
      <c r="BA19" s="685"/>
      <c r="BB19" s="683"/>
      <c r="BC19" s="686"/>
    </row>
    <row r="20" spans="1:55" ht="33" customHeight="1">
      <c r="A20" s="606">
        <v>3.125E-2</v>
      </c>
      <c r="B20" s="674">
        <f t="shared" si="4"/>
        <v>0.40625</v>
      </c>
      <c r="C20" s="674">
        <f t="shared" si="0"/>
        <v>0.4375</v>
      </c>
      <c r="D20" s="673" t="s">
        <v>532</v>
      </c>
      <c r="E20" s="611" t="s">
        <v>5</v>
      </c>
      <c r="F20" s="673" t="s">
        <v>532</v>
      </c>
      <c r="G20" s="596" t="s">
        <v>6</v>
      </c>
      <c r="H20" s="673" t="s">
        <v>532</v>
      </c>
      <c r="I20" s="596" t="s">
        <v>8</v>
      </c>
      <c r="J20" s="673" t="s">
        <v>532</v>
      </c>
      <c r="K20" s="596" t="s">
        <v>749</v>
      </c>
      <c r="L20" s="673" t="s">
        <v>532</v>
      </c>
      <c r="M20" s="612" t="s">
        <v>5</v>
      </c>
      <c r="O20" s="606"/>
      <c r="P20" s="674" t="str">
        <f t="shared" si="5"/>
        <v/>
      </c>
      <c r="Q20" s="674" t="str">
        <f t="shared" si="1"/>
        <v/>
      </c>
      <c r="R20" s="673"/>
      <c r="S20" s="611"/>
      <c r="T20" s="673"/>
      <c r="U20" s="596"/>
      <c r="V20" s="673"/>
      <c r="W20" s="596"/>
      <c r="X20" s="673"/>
      <c r="Y20" s="596"/>
      <c r="Z20" s="673"/>
      <c r="AA20" s="612"/>
      <c r="AC20" s="606"/>
      <c r="AD20" s="674" t="str">
        <f t="shared" si="6"/>
        <v/>
      </c>
      <c r="AE20" s="674" t="str">
        <f t="shared" si="2"/>
        <v/>
      </c>
      <c r="AF20" s="673"/>
      <c r="AG20" s="611"/>
      <c r="AH20" s="673"/>
      <c r="AI20" s="596"/>
      <c r="AJ20" s="673"/>
      <c r="AK20" s="596"/>
      <c r="AL20" s="673"/>
      <c r="AM20" s="596"/>
      <c r="AN20" s="673"/>
      <c r="AO20" s="612"/>
      <c r="AQ20" s="606"/>
      <c r="AR20" s="674" t="str">
        <f t="shared" si="7"/>
        <v/>
      </c>
      <c r="AS20" s="674" t="str">
        <f t="shared" si="3"/>
        <v/>
      </c>
      <c r="AT20" s="673"/>
      <c r="AU20" s="611"/>
      <c r="AV20" s="673"/>
      <c r="AW20" s="596"/>
      <c r="AX20" s="673"/>
      <c r="AY20" s="596"/>
      <c r="AZ20" s="673"/>
      <c r="BA20" s="596"/>
      <c r="BB20" s="673"/>
      <c r="BC20" s="612"/>
    </row>
    <row r="21" spans="1:55" ht="33" customHeight="1">
      <c r="A21" s="606">
        <v>1.0416666666666666E-2</v>
      </c>
      <c r="B21" s="35">
        <f t="shared" si="4"/>
        <v>0.4375</v>
      </c>
      <c r="C21" s="35">
        <f t="shared" si="0"/>
        <v>0.44791666666666669</v>
      </c>
      <c r="D21" s="683" t="s">
        <v>533</v>
      </c>
      <c r="E21" s="684" t="s">
        <v>722</v>
      </c>
      <c r="F21" s="683" t="s">
        <v>533</v>
      </c>
      <c r="G21" s="685" t="s">
        <v>722</v>
      </c>
      <c r="H21" s="683" t="s">
        <v>533</v>
      </c>
      <c r="I21" s="685" t="s">
        <v>722</v>
      </c>
      <c r="J21" s="683" t="s">
        <v>533</v>
      </c>
      <c r="K21" s="685" t="s">
        <v>722</v>
      </c>
      <c r="L21" s="683" t="s">
        <v>533</v>
      </c>
      <c r="M21" s="686" t="s">
        <v>722</v>
      </c>
      <c r="O21" s="606"/>
      <c r="P21" s="35" t="str">
        <f t="shared" si="5"/>
        <v/>
      </c>
      <c r="Q21" s="35" t="str">
        <f t="shared" si="1"/>
        <v/>
      </c>
      <c r="R21" s="683"/>
      <c r="S21" s="684"/>
      <c r="T21" s="683"/>
      <c r="U21" s="685"/>
      <c r="V21" s="683"/>
      <c r="W21" s="685"/>
      <c r="X21" s="683"/>
      <c r="Y21" s="685"/>
      <c r="Z21" s="683"/>
      <c r="AA21" s="686"/>
      <c r="AC21" s="606"/>
      <c r="AD21" s="35" t="str">
        <f t="shared" si="6"/>
        <v/>
      </c>
      <c r="AE21" s="35" t="str">
        <f t="shared" si="2"/>
        <v/>
      </c>
      <c r="AF21" s="683"/>
      <c r="AG21" s="684"/>
      <c r="AH21" s="683"/>
      <c r="AI21" s="685"/>
      <c r="AJ21" s="683"/>
      <c r="AK21" s="685"/>
      <c r="AL21" s="683"/>
      <c r="AM21" s="685"/>
      <c r="AN21" s="683"/>
      <c r="AO21" s="686"/>
      <c r="AQ21" s="606"/>
      <c r="AR21" s="35" t="str">
        <f t="shared" si="7"/>
        <v/>
      </c>
      <c r="AS21" s="35" t="str">
        <f t="shared" si="3"/>
        <v/>
      </c>
      <c r="AT21" s="683"/>
      <c r="AU21" s="684"/>
      <c r="AV21" s="683"/>
      <c r="AW21" s="685"/>
      <c r="AX21" s="683"/>
      <c r="AY21" s="685"/>
      <c r="AZ21" s="683"/>
      <c r="BA21" s="685"/>
      <c r="BB21" s="683"/>
      <c r="BC21" s="686"/>
    </row>
    <row r="22" spans="1:55" ht="33" customHeight="1">
      <c r="A22" s="606">
        <v>3.125E-2</v>
      </c>
      <c r="B22" s="674">
        <f t="shared" si="4"/>
        <v>0.44791666666666669</v>
      </c>
      <c r="C22" s="674">
        <f t="shared" si="0"/>
        <v>0.47916666666666669</v>
      </c>
      <c r="D22" s="673" t="s">
        <v>532</v>
      </c>
      <c r="E22" s="611" t="s">
        <v>5</v>
      </c>
      <c r="F22" s="673" t="s">
        <v>532</v>
      </c>
      <c r="G22" s="596" t="s">
        <v>6</v>
      </c>
      <c r="H22" s="673" t="s">
        <v>532</v>
      </c>
      <c r="I22" s="596" t="s">
        <v>44</v>
      </c>
      <c r="J22" s="673" t="s">
        <v>532</v>
      </c>
      <c r="K22" s="596" t="s">
        <v>8</v>
      </c>
      <c r="L22" s="673" t="s">
        <v>532</v>
      </c>
      <c r="M22" s="612" t="s">
        <v>41</v>
      </c>
      <c r="O22" s="606"/>
      <c r="P22" s="674" t="str">
        <f t="shared" si="5"/>
        <v/>
      </c>
      <c r="Q22" s="674" t="str">
        <f t="shared" si="1"/>
        <v/>
      </c>
      <c r="R22" s="673"/>
      <c r="S22" s="611"/>
      <c r="T22" s="673"/>
      <c r="U22" s="596"/>
      <c r="V22" s="673"/>
      <c r="W22" s="596"/>
      <c r="X22" s="673"/>
      <c r="Y22" s="596"/>
      <c r="Z22" s="673"/>
      <c r="AA22" s="612"/>
      <c r="AC22" s="606"/>
      <c r="AD22" s="674" t="str">
        <f t="shared" si="6"/>
        <v/>
      </c>
      <c r="AE22" s="674" t="str">
        <f t="shared" si="2"/>
        <v/>
      </c>
      <c r="AF22" s="673"/>
      <c r="AG22" s="611"/>
      <c r="AH22" s="673"/>
      <c r="AI22" s="596"/>
      <c r="AJ22" s="673"/>
      <c r="AK22" s="596"/>
      <c r="AL22" s="673"/>
      <c r="AM22" s="596"/>
      <c r="AN22" s="673"/>
      <c r="AO22" s="612"/>
      <c r="AQ22" s="606"/>
      <c r="AR22" s="674" t="str">
        <f t="shared" si="7"/>
        <v/>
      </c>
      <c r="AS22" s="674" t="str">
        <f t="shared" si="3"/>
        <v/>
      </c>
      <c r="AT22" s="673"/>
      <c r="AU22" s="611"/>
      <c r="AV22" s="673"/>
      <c r="AW22" s="596"/>
      <c r="AX22" s="673"/>
      <c r="AY22" s="596"/>
      <c r="AZ22" s="673"/>
      <c r="BA22" s="596"/>
      <c r="BB22" s="673"/>
      <c r="BC22" s="612"/>
    </row>
    <row r="23" spans="1:55" ht="33" customHeight="1">
      <c r="A23" s="606">
        <v>2.0833333333333332E-2</v>
      </c>
      <c r="B23" s="35">
        <f t="shared" si="4"/>
        <v>0.47916666666666669</v>
      </c>
      <c r="C23" s="35">
        <f t="shared" si="0"/>
        <v>0.5</v>
      </c>
      <c r="D23" s="683" t="s">
        <v>533</v>
      </c>
      <c r="E23" s="684" t="s">
        <v>788</v>
      </c>
      <c r="F23" s="683" t="s">
        <v>533</v>
      </c>
      <c r="G23" s="685" t="s">
        <v>722</v>
      </c>
      <c r="H23" s="683" t="s">
        <v>532</v>
      </c>
      <c r="I23" s="685" t="s">
        <v>44</v>
      </c>
      <c r="J23" s="683" t="s">
        <v>533</v>
      </c>
      <c r="K23" s="685" t="s">
        <v>722</v>
      </c>
      <c r="L23" s="683" t="s">
        <v>533</v>
      </c>
      <c r="M23" s="686" t="s">
        <v>722</v>
      </c>
      <c r="O23" s="606"/>
      <c r="P23" s="35" t="str">
        <f t="shared" si="5"/>
        <v/>
      </c>
      <c r="Q23" s="35" t="str">
        <f t="shared" si="1"/>
        <v/>
      </c>
      <c r="R23" s="683"/>
      <c r="S23" s="684"/>
      <c r="T23" s="683"/>
      <c r="U23" s="685"/>
      <c r="V23" s="683"/>
      <c r="W23" s="685"/>
      <c r="X23" s="683"/>
      <c r="Y23" s="685"/>
      <c r="Z23" s="683"/>
      <c r="AA23" s="686"/>
      <c r="AC23" s="606"/>
      <c r="AD23" s="35" t="str">
        <f t="shared" si="6"/>
        <v/>
      </c>
      <c r="AE23" s="35" t="str">
        <f t="shared" si="2"/>
        <v/>
      </c>
      <c r="AF23" s="683"/>
      <c r="AG23" s="684"/>
      <c r="AH23" s="683"/>
      <c r="AI23" s="685"/>
      <c r="AJ23" s="683"/>
      <c r="AK23" s="685"/>
      <c r="AL23" s="683"/>
      <c r="AM23" s="685"/>
      <c r="AN23" s="683"/>
      <c r="AO23" s="686"/>
      <c r="AQ23" s="606"/>
      <c r="AR23" s="35" t="str">
        <f t="shared" si="7"/>
        <v/>
      </c>
      <c r="AS23" s="35" t="str">
        <f t="shared" si="3"/>
        <v/>
      </c>
      <c r="AT23" s="683"/>
      <c r="AU23" s="684"/>
      <c r="AV23" s="683"/>
      <c r="AW23" s="685"/>
      <c r="AX23" s="683"/>
      <c r="AY23" s="685"/>
      <c r="AZ23" s="683"/>
      <c r="BA23" s="685"/>
      <c r="BB23" s="683"/>
      <c r="BC23" s="686"/>
    </row>
    <row r="24" spans="1:55" ht="33" customHeight="1">
      <c r="A24" s="606">
        <v>6.25E-2</v>
      </c>
      <c r="B24" s="674">
        <f t="shared" si="4"/>
        <v>0.5</v>
      </c>
      <c r="C24" s="674">
        <f t="shared" si="0"/>
        <v>0.5625</v>
      </c>
      <c r="D24" s="673" t="s">
        <v>532</v>
      </c>
      <c r="E24" s="611" t="s">
        <v>748</v>
      </c>
      <c r="F24" s="673" t="s">
        <v>532</v>
      </c>
      <c r="G24" s="596" t="s">
        <v>750</v>
      </c>
      <c r="H24" s="673"/>
      <c r="I24" s="596"/>
      <c r="J24" s="673" t="s">
        <v>532</v>
      </c>
      <c r="K24" s="596" t="s">
        <v>8</v>
      </c>
      <c r="L24" s="673" t="s">
        <v>532</v>
      </c>
      <c r="M24" s="612" t="s">
        <v>41</v>
      </c>
      <c r="O24" s="606"/>
      <c r="P24" s="674" t="str">
        <f t="shared" si="5"/>
        <v/>
      </c>
      <c r="Q24" s="674" t="str">
        <f t="shared" si="1"/>
        <v/>
      </c>
      <c r="R24" s="673"/>
      <c r="S24" s="611"/>
      <c r="T24" s="673"/>
      <c r="U24" s="596"/>
      <c r="V24" s="673"/>
      <c r="W24" s="596"/>
      <c r="X24" s="673"/>
      <c r="Y24" s="596"/>
      <c r="Z24" s="673"/>
      <c r="AA24" s="612"/>
      <c r="AC24" s="606"/>
      <c r="AD24" s="674" t="str">
        <f t="shared" si="6"/>
        <v/>
      </c>
      <c r="AE24" s="674" t="str">
        <f t="shared" si="2"/>
        <v/>
      </c>
      <c r="AF24" s="673"/>
      <c r="AG24" s="611"/>
      <c r="AH24" s="673"/>
      <c r="AI24" s="596"/>
      <c r="AJ24" s="673"/>
      <c r="AK24" s="596"/>
      <c r="AL24" s="673"/>
      <c r="AM24" s="596"/>
      <c r="AN24" s="673"/>
      <c r="AO24" s="612"/>
      <c r="AQ24" s="606"/>
      <c r="AR24" s="674" t="str">
        <f t="shared" si="7"/>
        <v/>
      </c>
      <c r="AS24" s="674" t="str">
        <f t="shared" si="3"/>
        <v/>
      </c>
      <c r="AT24" s="673"/>
      <c r="AU24" s="611"/>
      <c r="AV24" s="673"/>
      <c r="AW24" s="596"/>
      <c r="AX24" s="673"/>
      <c r="AY24" s="596"/>
      <c r="AZ24" s="673"/>
      <c r="BA24" s="596"/>
      <c r="BB24" s="673"/>
      <c r="BC24" s="612"/>
    </row>
    <row r="25" spans="1:55" ht="33" customHeight="1">
      <c r="A25" s="606">
        <v>6.9444444444444441E-3</v>
      </c>
      <c r="B25" s="35">
        <f t="shared" si="4"/>
        <v>0.5625</v>
      </c>
      <c r="C25" s="35">
        <f t="shared" si="0"/>
        <v>0.56944444444444442</v>
      </c>
      <c r="D25" s="683" t="s">
        <v>533</v>
      </c>
      <c r="E25" s="684" t="s">
        <v>31</v>
      </c>
      <c r="F25" s="683" t="s">
        <v>533</v>
      </c>
      <c r="G25" s="685" t="s">
        <v>31</v>
      </c>
      <c r="H25" s="683"/>
      <c r="I25" s="685"/>
      <c r="J25" s="683"/>
      <c r="K25" s="685"/>
      <c r="L25" s="683"/>
      <c r="M25" s="686"/>
      <c r="O25" s="606"/>
      <c r="P25" s="35" t="str">
        <f t="shared" si="5"/>
        <v/>
      </c>
      <c r="Q25" s="35" t="str">
        <f t="shared" si="1"/>
        <v/>
      </c>
      <c r="R25" s="683"/>
      <c r="S25" s="684"/>
      <c r="T25" s="683"/>
      <c r="U25" s="685"/>
      <c r="V25" s="683"/>
      <c r="W25" s="685"/>
      <c r="X25" s="683"/>
      <c r="Y25" s="685"/>
      <c r="Z25" s="683"/>
      <c r="AA25" s="686"/>
      <c r="AC25" s="606"/>
      <c r="AD25" s="35" t="str">
        <f t="shared" si="6"/>
        <v/>
      </c>
      <c r="AE25" s="35" t="str">
        <f t="shared" si="2"/>
        <v/>
      </c>
      <c r="AF25" s="683"/>
      <c r="AG25" s="684"/>
      <c r="AH25" s="683"/>
      <c r="AI25" s="685"/>
      <c r="AJ25" s="683"/>
      <c r="AK25" s="685"/>
      <c r="AL25" s="683"/>
      <c r="AM25" s="685"/>
      <c r="AN25" s="683"/>
      <c r="AO25" s="686"/>
      <c r="AQ25" s="606"/>
      <c r="AR25" s="35" t="str">
        <f t="shared" si="7"/>
        <v/>
      </c>
      <c r="AS25" s="35" t="str">
        <f t="shared" si="3"/>
        <v/>
      </c>
      <c r="AT25" s="683"/>
      <c r="AU25" s="684"/>
      <c r="AV25" s="683"/>
      <c r="AW25" s="685"/>
      <c r="AX25" s="683"/>
      <c r="AY25" s="685"/>
      <c r="AZ25" s="683"/>
      <c r="BA25" s="685"/>
      <c r="BB25" s="683"/>
      <c r="BC25" s="686"/>
    </row>
    <row r="26" spans="1:55" ht="33" customHeight="1">
      <c r="A26" s="606">
        <v>3.125E-2</v>
      </c>
      <c r="B26" s="674">
        <f t="shared" si="4"/>
        <v>0.56944444444444442</v>
      </c>
      <c r="C26" s="674">
        <f t="shared" si="0"/>
        <v>0.60069444444444442</v>
      </c>
      <c r="D26" s="673" t="s">
        <v>532</v>
      </c>
      <c r="E26" s="611" t="s">
        <v>7</v>
      </c>
      <c r="F26" s="673" t="s">
        <v>532</v>
      </c>
      <c r="G26" s="596" t="s">
        <v>750</v>
      </c>
      <c r="H26" s="673"/>
      <c r="I26" s="596"/>
      <c r="J26" s="673"/>
      <c r="K26" s="596"/>
      <c r="L26" s="673"/>
      <c r="M26" s="612"/>
      <c r="O26" s="606"/>
      <c r="P26" s="674" t="str">
        <f t="shared" si="5"/>
        <v/>
      </c>
      <c r="Q26" s="674" t="str">
        <f t="shared" si="1"/>
        <v/>
      </c>
      <c r="R26" s="673"/>
      <c r="S26" s="611"/>
      <c r="T26" s="673"/>
      <c r="U26" s="596"/>
      <c r="V26" s="673"/>
      <c r="W26" s="596"/>
      <c r="X26" s="673"/>
      <c r="Y26" s="596"/>
      <c r="Z26" s="673"/>
      <c r="AA26" s="612"/>
      <c r="AC26" s="606"/>
      <c r="AD26" s="674" t="str">
        <f t="shared" si="6"/>
        <v/>
      </c>
      <c r="AE26" s="674" t="str">
        <f t="shared" si="2"/>
        <v/>
      </c>
      <c r="AF26" s="673"/>
      <c r="AG26" s="611"/>
      <c r="AH26" s="673"/>
      <c r="AI26" s="596"/>
      <c r="AJ26" s="673"/>
      <c r="AK26" s="596"/>
      <c r="AL26" s="673"/>
      <c r="AM26" s="596"/>
      <c r="AN26" s="673"/>
      <c r="AO26" s="612"/>
      <c r="AQ26" s="606"/>
      <c r="AR26" s="674" t="str">
        <f t="shared" si="7"/>
        <v/>
      </c>
      <c r="AS26" s="674" t="str">
        <f t="shared" si="3"/>
        <v/>
      </c>
      <c r="AT26" s="673"/>
      <c r="AU26" s="611"/>
      <c r="AV26" s="673"/>
      <c r="AW26" s="596"/>
      <c r="AX26" s="673"/>
      <c r="AY26" s="596"/>
      <c r="AZ26" s="673"/>
      <c r="BA26" s="596"/>
      <c r="BB26" s="673"/>
      <c r="BC26" s="612"/>
    </row>
    <row r="27" spans="1:55" ht="33" customHeight="1">
      <c r="A27" s="606"/>
      <c r="B27" s="35" t="str">
        <f t="shared" si="4"/>
        <v/>
      </c>
      <c r="C27" s="35" t="str">
        <f t="shared" si="0"/>
        <v/>
      </c>
      <c r="D27" s="683"/>
      <c r="E27" s="684"/>
      <c r="F27" s="683"/>
      <c r="G27" s="685"/>
      <c r="H27" s="683"/>
      <c r="I27" s="685"/>
      <c r="J27" s="683"/>
      <c r="K27" s="685"/>
      <c r="L27" s="683"/>
      <c r="M27" s="686"/>
      <c r="O27" s="606"/>
      <c r="P27" s="35" t="str">
        <f t="shared" si="5"/>
        <v/>
      </c>
      <c r="Q27" s="35" t="str">
        <f t="shared" si="1"/>
        <v/>
      </c>
      <c r="R27" s="683"/>
      <c r="S27" s="684"/>
      <c r="T27" s="683"/>
      <c r="U27" s="685"/>
      <c r="V27" s="683"/>
      <c r="W27" s="685"/>
      <c r="X27" s="683"/>
      <c r="Y27" s="685"/>
      <c r="Z27" s="683"/>
      <c r="AA27" s="686"/>
      <c r="AC27" s="606"/>
      <c r="AD27" s="35" t="str">
        <f t="shared" si="6"/>
        <v/>
      </c>
      <c r="AE27" s="35" t="str">
        <f t="shared" si="2"/>
        <v/>
      </c>
      <c r="AF27" s="683"/>
      <c r="AG27" s="684"/>
      <c r="AH27" s="683"/>
      <c r="AI27" s="685"/>
      <c r="AJ27" s="683"/>
      <c r="AK27" s="685"/>
      <c r="AL27" s="683"/>
      <c r="AM27" s="685"/>
      <c r="AN27" s="683"/>
      <c r="AO27" s="686"/>
      <c r="AQ27" s="606"/>
      <c r="AR27" s="35" t="str">
        <f t="shared" si="7"/>
        <v/>
      </c>
      <c r="AS27" s="35" t="str">
        <f t="shared" si="3"/>
        <v/>
      </c>
      <c r="AT27" s="683"/>
      <c r="AU27" s="684"/>
      <c r="AV27" s="683"/>
      <c r="AW27" s="685"/>
      <c r="AX27" s="683"/>
      <c r="AY27" s="685"/>
      <c r="AZ27" s="683"/>
      <c r="BA27" s="685"/>
      <c r="BB27" s="683"/>
      <c r="BC27" s="686"/>
    </row>
    <row r="28" spans="1:55" ht="33" customHeight="1">
      <c r="A28" s="606"/>
      <c r="B28" s="674" t="str">
        <f t="shared" si="4"/>
        <v/>
      </c>
      <c r="C28" s="674" t="str">
        <f t="shared" si="0"/>
        <v/>
      </c>
      <c r="D28" s="673"/>
      <c r="E28" s="611"/>
      <c r="F28" s="673"/>
      <c r="G28" s="596"/>
      <c r="H28" s="673"/>
      <c r="I28" s="596"/>
      <c r="J28" s="673"/>
      <c r="K28" s="596"/>
      <c r="L28" s="673"/>
      <c r="M28" s="612"/>
      <c r="O28" s="606"/>
      <c r="P28" s="674" t="str">
        <f t="shared" si="5"/>
        <v/>
      </c>
      <c r="Q28" s="674" t="str">
        <f t="shared" si="1"/>
        <v/>
      </c>
      <c r="R28" s="673"/>
      <c r="S28" s="611"/>
      <c r="T28" s="673"/>
      <c r="U28" s="596"/>
      <c r="V28" s="673"/>
      <c r="W28" s="596"/>
      <c r="X28" s="673"/>
      <c r="Y28" s="596"/>
      <c r="Z28" s="673"/>
      <c r="AA28" s="612"/>
      <c r="AC28" s="606"/>
      <c r="AD28" s="674" t="str">
        <f t="shared" si="6"/>
        <v/>
      </c>
      <c r="AE28" s="674" t="str">
        <f t="shared" si="2"/>
        <v/>
      </c>
      <c r="AF28" s="673"/>
      <c r="AG28" s="611"/>
      <c r="AH28" s="673"/>
      <c r="AI28" s="596"/>
      <c r="AJ28" s="673"/>
      <c r="AK28" s="596"/>
      <c r="AL28" s="673"/>
      <c r="AM28" s="596"/>
      <c r="AN28" s="673"/>
      <c r="AO28" s="612"/>
      <c r="AQ28" s="606"/>
      <c r="AR28" s="674" t="str">
        <f t="shared" si="7"/>
        <v/>
      </c>
      <c r="AS28" s="674" t="str">
        <f t="shared" si="3"/>
        <v/>
      </c>
      <c r="AT28" s="673"/>
      <c r="AU28" s="611"/>
      <c r="AV28" s="673"/>
      <c r="AW28" s="596"/>
      <c r="AX28" s="673"/>
      <c r="AY28" s="596"/>
      <c r="AZ28" s="673"/>
      <c r="BA28" s="596"/>
      <c r="BB28" s="673"/>
      <c r="BC28" s="612"/>
    </row>
    <row r="29" spans="1:55" ht="33" customHeight="1">
      <c r="A29" s="606"/>
      <c r="B29" s="35" t="str">
        <f t="shared" si="4"/>
        <v/>
      </c>
      <c r="C29" s="35" t="str">
        <f t="shared" si="0"/>
        <v/>
      </c>
      <c r="D29" s="683"/>
      <c r="E29" s="684"/>
      <c r="F29" s="683"/>
      <c r="G29" s="685"/>
      <c r="H29" s="683"/>
      <c r="I29" s="685"/>
      <c r="J29" s="683"/>
      <c r="K29" s="685"/>
      <c r="L29" s="683"/>
      <c r="M29" s="686"/>
      <c r="O29" s="606"/>
      <c r="P29" s="35" t="str">
        <f t="shared" si="5"/>
        <v/>
      </c>
      <c r="Q29" s="35" t="str">
        <f t="shared" si="1"/>
        <v/>
      </c>
      <c r="R29" s="683"/>
      <c r="S29" s="684"/>
      <c r="T29" s="683"/>
      <c r="U29" s="685"/>
      <c r="V29" s="683"/>
      <c r="W29" s="685"/>
      <c r="X29" s="683"/>
      <c r="Y29" s="685"/>
      <c r="Z29" s="683"/>
      <c r="AA29" s="686"/>
      <c r="AC29" s="606"/>
      <c r="AD29" s="35" t="str">
        <f t="shared" si="6"/>
        <v/>
      </c>
      <c r="AE29" s="35" t="str">
        <f t="shared" si="2"/>
        <v/>
      </c>
      <c r="AF29" s="683"/>
      <c r="AG29" s="684"/>
      <c r="AH29" s="683"/>
      <c r="AI29" s="685"/>
      <c r="AJ29" s="683"/>
      <c r="AK29" s="685"/>
      <c r="AL29" s="683"/>
      <c r="AM29" s="685"/>
      <c r="AN29" s="683"/>
      <c r="AO29" s="686"/>
      <c r="AQ29" s="606"/>
      <c r="AR29" s="35" t="str">
        <f t="shared" si="7"/>
        <v/>
      </c>
      <c r="AS29" s="35" t="str">
        <f t="shared" si="3"/>
        <v/>
      </c>
      <c r="AT29" s="683"/>
      <c r="AU29" s="684"/>
      <c r="AV29" s="683"/>
      <c r="AW29" s="685"/>
      <c r="AX29" s="683"/>
      <c r="AY29" s="685"/>
      <c r="AZ29" s="683"/>
      <c r="BA29" s="685"/>
      <c r="BB29" s="683"/>
      <c r="BC29" s="686"/>
    </row>
    <row r="30" spans="1:55" ht="33" customHeight="1">
      <c r="A30" s="606"/>
      <c r="B30" s="674" t="str">
        <f t="shared" si="4"/>
        <v/>
      </c>
      <c r="C30" s="674" t="str">
        <f t="shared" si="0"/>
        <v/>
      </c>
      <c r="D30" s="673"/>
      <c r="E30" s="611"/>
      <c r="F30" s="673"/>
      <c r="G30" s="596"/>
      <c r="H30" s="673"/>
      <c r="I30" s="596"/>
      <c r="J30" s="673"/>
      <c r="K30" s="596"/>
      <c r="L30" s="673"/>
      <c r="M30" s="612"/>
      <c r="O30" s="606"/>
      <c r="P30" s="674" t="str">
        <f t="shared" si="5"/>
        <v/>
      </c>
      <c r="Q30" s="674" t="str">
        <f t="shared" si="1"/>
        <v/>
      </c>
      <c r="R30" s="673"/>
      <c r="S30" s="611"/>
      <c r="T30" s="673"/>
      <c r="U30" s="596"/>
      <c r="V30" s="673"/>
      <c r="W30" s="596"/>
      <c r="X30" s="673"/>
      <c r="Y30" s="596"/>
      <c r="Z30" s="673"/>
      <c r="AA30" s="612"/>
      <c r="AC30" s="606"/>
      <c r="AD30" s="674" t="str">
        <f t="shared" si="6"/>
        <v/>
      </c>
      <c r="AE30" s="674" t="str">
        <f t="shared" si="2"/>
        <v/>
      </c>
      <c r="AF30" s="673"/>
      <c r="AG30" s="611"/>
      <c r="AH30" s="673"/>
      <c r="AI30" s="596"/>
      <c r="AJ30" s="673"/>
      <c r="AK30" s="596"/>
      <c r="AL30" s="673"/>
      <c r="AM30" s="596"/>
      <c r="AN30" s="673"/>
      <c r="AO30" s="612"/>
      <c r="AQ30" s="606"/>
      <c r="AR30" s="674" t="str">
        <f t="shared" si="7"/>
        <v/>
      </c>
      <c r="AS30" s="674" t="str">
        <f t="shared" si="3"/>
        <v/>
      </c>
      <c r="AT30" s="673"/>
      <c r="AU30" s="611"/>
      <c r="AV30" s="673"/>
      <c r="AW30" s="596"/>
      <c r="AX30" s="673"/>
      <c r="AY30" s="596"/>
      <c r="AZ30" s="673"/>
      <c r="BA30" s="596"/>
      <c r="BB30" s="673"/>
      <c r="BC30" s="612"/>
    </row>
    <row r="31" spans="1:55" ht="33" customHeight="1">
      <c r="A31" s="606"/>
      <c r="B31" s="35" t="str">
        <f t="shared" si="4"/>
        <v/>
      </c>
      <c r="C31" s="35" t="str">
        <f t="shared" si="0"/>
        <v/>
      </c>
      <c r="D31" s="683"/>
      <c r="E31" s="684"/>
      <c r="F31" s="683"/>
      <c r="G31" s="685"/>
      <c r="H31" s="683"/>
      <c r="I31" s="685"/>
      <c r="J31" s="683"/>
      <c r="K31" s="685"/>
      <c r="L31" s="683"/>
      <c r="M31" s="686"/>
      <c r="O31" s="606"/>
      <c r="P31" s="35" t="str">
        <f t="shared" si="5"/>
        <v/>
      </c>
      <c r="Q31" s="35" t="str">
        <f t="shared" si="1"/>
        <v/>
      </c>
      <c r="R31" s="683"/>
      <c r="S31" s="684"/>
      <c r="T31" s="683"/>
      <c r="U31" s="685"/>
      <c r="V31" s="683"/>
      <c r="W31" s="685"/>
      <c r="X31" s="683"/>
      <c r="Y31" s="685"/>
      <c r="Z31" s="683"/>
      <c r="AA31" s="686"/>
      <c r="AC31" s="606"/>
      <c r="AD31" s="35" t="str">
        <f t="shared" si="6"/>
        <v/>
      </c>
      <c r="AE31" s="35" t="str">
        <f t="shared" si="2"/>
        <v/>
      </c>
      <c r="AF31" s="683"/>
      <c r="AG31" s="684"/>
      <c r="AH31" s="683"/>
      <c r="AI31" s="685"/>
      <c r="AJ31" s="683"/>
      <c r="AK31" s="685"/>
      <c r="AL31" s="683"/>
      <c r="AM31" s="685"/>
      <c r="AN31" s="683"/>
      <c r="AO31" s="686"/>
      <c r="AQ31" s="606"/>
      <c r="AR31" s="35" t="str">
        <f t="shared" si="7"/>
        <v/>
      </c>
      <c r="AS31" s="35" t="str">
        <f t="shared" si="3"/>
        <v/>
      </c>
      <c r="AT31" s="683"/>
      <c r="AU31" s="684"/>
      <c r="AV31" s="683"/>
      <c r="AW31" s="685"/>
      <c r="AX31" s="683"/>
      <c r="AY31" s="685"/>
      <c r="AZ31" s="683"/>
      <c r="BA31" s="685"/>
      <c r="BB31" s="683"/>
      <c r="BC31" s="686"/>
    </row>
    <row r="32" spans="1:55" ht="33" customHeight="1">
      <c r="A32" s="606"/>
      <c r="B32" s="674" t="str">
        <f t="shared" si="4"/>
        <v/>
      </c>
      <c r="C32" s="674" t="str">
        <f t="shared" si="0"/>
        <v/>
      </c>
      <c r="D32" s="673"/>
      <c r="E32" s="611"/>
      <c r="F32" s="673"/>
      <c r="G32" s="596"/>
      <c r="H32" s="673"/>
      <c r="I32" s="596"/>
      <c r="J32" s="673"/>
      <c r="K32" s="596"/>
      <c r="L32" s="673"/>
      <c r="M32" s="612"/>
      <c r="O32" s="606"/>
      <c r="P32" s="674" t="str">
        <f t="shared" si="5"/>
        <v/>
      </c>
      <c r="Q32" s="674" t="str">
        <f t="shared" si="1"/>
        <v/>
      </c>
      <c r="R32" s="673"/>
      <c r="S32" s="611"/>
      <c r="T32" s="673"/>
      <c r="U32" s="596"/>
      <c r="V32" s="673"/>
      <c r="W32" s="596"/>
      <c r="X32" s="673"/>
      <c r="Y32" s="596"/>
      <c r="Z32" s="673"/>
      <c r="AA32" s="612"/>
      <c r="AC32" s="606"/>
      <c r="AD32" s="674" t="str">
        <f t="shared" si="6"/>
        <v/>
      </c>
      <c r="AE32" s="674" t="str">
        <f t="shared" si="2"/>
        <v/>
      </c>
      <c r="AF32" s="673"/>
      <c r="AG32" s="611"/>
      <c r="AH32" s="673"/>
      <c r="AI32" s="596"/>
      <c r="AJ32" s="673"/>
      <c r="AK32" s="596"/>
      <c r="AL32" s="673"/>
      <c r="AM32" s="596"/>
      <c r="AN32" s="673"/>
      <c r="AO32" s="612"/>
      <c r="AQ32" s="606"/>
      <c r="AR32" s="674" t="str">
        <f t="shared" si="7"/>
        <v/>
      </c>
      <c r="AS32" s="674" t="str">
        <f t="shared" si="3"/>
        <v/>
      </c>
      <c r="AT32" s="673"/>
      <c r="AU32" s="611"/>
      <c r="AV32" s="673"/>
      <c r="AW32" s="596"/>
      <c r="AX32" s="673"/>
      <c r="AY32" s="596"/>
      <c r="AZ32" s="673"/>
      <c r="BA32" s="596"/>
      <c r="BB32" s="673"/>
      <c r="BC32" s="612"/>
    </row>
    <row r="33" spans="1:56" ht="33" customHeight="1">
      <c r="A33" s="606"/>
      <c r="B33" s="35" t="str">
        <f t="shared" si="4"/>
        <v/>
      </c>
      <c r="C33" s="35" t="str">
        <f t="shared" si="0"/>
        <v/>
      </c>
      <c r="D33" s="683"/>
      <c r="E33" s="684"/>
      <c r="F33" s="683"/>
      <c r="G33" s="685"/>
      <c r="H33" s="683"/>
      <c r="I33" s="685"/>
      <c r="J33" s="683"/>
      <c r="K33" s="685"/>
      <c r="L33" s="683"/>
      <c r="M33" s="686"/>
      <c r="O33" s="606"/>
      <c r="P33" s="35" t="str">
        <f t="shared" si="5"/>
        <v/>
      </c>
      <c r="Q33" s="35" t="str">
        <f t="shared" si="1"/>
        <v/>
      </c>
      <c r="R33" s="683"/>
      <c r="S33" s="684"/>
      <c r="T33" s="683"/>
      <c r="U33" s="685"/>
      <c r="V33" s="683"/>
      <c r="W33" s="685"/>
      <c r="X33" s="683"/>
      <c r="Y33" s="685"/>
      <c r="Z33" s="683"/>
      <c r="AA33" s="686"/>
      <c r="AC33" s="606"/>
      <c r="AD33" s="35" t="str">
        <f t="shared" si="6"/>
        <v/>
      </c>
      <c r="AE33" s="35" t="str">
        <f t="shared" si="2"/>
        <v/>
      </c>
      <c r="AF33" s="683"/>
      <c r="AG33" s="684"/>
      <c r="AH33" s="683"/>
      <c r="AI33" s="685"/>
      <c r="AJ33" s="683"/>
      <c r="AK33" s="685"/>
      <c r="AL33" s="683"/>
      <c r="AM33" s="685"/>
      <c r="AN33" s="683"/>
      <c r="AO33" s="686"/>
      <c r="AQ33" s="606"/>
      <c r="AR33" s="35" t="str">
        <f t="shared" si="7"/>
        <v/>
      </c>
      <c r="AS33" s="35" t="str">
        <f t="shared" si="3"/>
        <v/>
      </c>
      <c r="AT33" s="683"/>
      <c r="AU33" s="684"/>
      <c r="AV33" s="683"/>
      <c r="AW33" s="685"/>
      <c r="AX33" s="683"/>
      <c r="AY33" s="685"/>
      <c r="AZ33" s="683"/>
      <c r="BA33" s="685"/>
      <c r="BB33" s="683"/>
      <c r="BC33" s="686"/>
    </row>
    <row r="34" spans="1:56" ht="33" customHeight="1" thickBot="1">
      <c r="A34" s="607"/>
      <c r="B34" s="798" t="str">
        <f t="shared" ref="B34:B44" si="8">IF(A34&gt;0,C33,"")</f>
        <v/>
      </c>
      <c r="C34" s="798" t="str">
        <f t="shared" ref="C34:C44" si="9">IF(A34&gt;0,B34+A34,"")</f>
        <v/>
      </c>
      <c r="D34" s="799"/>
      <c r="E34" s="800"/>
      <c r="F34" s="799"/>
      <c r="G34" s="801"/>
      <c r="H34" s="799"/>
      <c r="I34" s="801"/>
      <c r="J34" s="799"/>
      <c r="K34" s="801"/>
      <c r="L34" s="799"/>
      <c r="M34" s="802"/>
      <c r="O34" s="607"/>
      <c r="P34" s="798" t="str">
        <f t="shared" ref="P34:P45" si="10">IF(O34&gt;0,Q33,"")</f>
        <v/>
      </c>
      <c r="Q34" s="798" t="str">
        <f t="shared" ref="Q34:Q45" si="11">IF(O34&gt;0,P34+O34,"")</f>
        <v/>
      </c>
      <c r="R34" s="799"/>
      <c r="S34" s="800"/>
      <c r="T34" s="799"/>
      <c r="U34" s="801"/>
      <c r="V34" s="799"/>
      <c r="W34" s="801"/>
      <c r="X34" s="799"/>
      <c r="Y34" s="801"/>
      <c r="Z34" s="799"/>
      <c r="AA34" s="802"/>
      <c r="AC34" s="607"/>
      <c r="AD34" s="798" t="str">
        <f t="shared" ref="AD34:AD45" si="12">IF(AC34&gt;0,AE33,"")</f>
        <v/>
      </c>
      <c r="AE34" s="798" t="str">
        <f t="shared" ref="AE34:AE45" si="13">IF(AC34&gt;0,AD34+AC34,"")</f>
        <v/>
      </c>
      <c r="AF34" s="799"/>
      <c r="AG34" s="800"/>
      <c r="AH34" s="799"/>
      <c r="AI34" s="801"/>
      <c r="AJ34" s="799"/>
      <c r="AK34" s="801"/>
      <c r="AL34" s="799"/>
      <c r="AM34" s="801"/>
      <c r="AN34" s="799"/>
      <c r="AO34" s="802"/>
      <c r="AQ34" s="607"/>
      <c r="AR34" s="798" t="str">
        <f t="shared" ref="AR34:AR45" si="14">IF(AQ34&gt;0,AS33,"")</f>
        <v/>
      </c>
      <c r="AS34" s="798" t="str">
        <f t="shared" ref="AS34:AS45" si="15">IF(AQ34&gt;0,AR34+AQ34,"")</f>
        <v/>
      </c>
      <c r="AT34" s="799"/>
      <c r="AU34" s="800"/>
      <c r="AV34" s="799"/>
      <c r="AW34" s="801"/>
      <c r="AX34" s="799"/>
      <c r="AY34" s="801"/>
      <c r="AZ34" s="799"/>
      <c r="BA34" s="801"/>
      <c r="BB34" s="799"/>
      <c r="BC34" s="802"/>
    </row>
    <row r="35" spans="1:56" ht="33" hidden="1" customHeight="1">
      <c r="A35" s="793"/>
      <c r="B35" s="790" t="str">
        <f t="shared" si="8"/>
        <v/>
      </c>
      <c r="C35" s="790" t="str">
        <f t="shared" si="9"/>
        <v/>
      </c>
      <c r="D35" s="794"/>
      <c r="E35" s="795"/>
      <c r="F35" s="794"/>
      <c r="G35" s="796"/>
      <c r="H35" s="794"/>
      <c r="I35" s="796"/>
      <c r="J35" s="794"/>
      <c r="K35" s="796"/>
      <c r="L35" s="794"/>
      <c r="M35" s="797"/>
      <c r="O35" s="793"/>
      <c r="P35" s="790" t="str">
        <f t="shared" si="10"/>
        <v/>
      </c>
      <c r="Q35" s="790" t="str">
        <f t="shared" si="11"/>
        <v/>
      </c>
      <c r="R35" s="794"/>
      <c r="S35" s="795"/>
      <c r="T35" s="794"/>
      <c r="U35" s="796"/>
      <c r="V35" s="794"/>
      <c r="W35" s="796"/>
      <c r="X35" s="794"/>
      <c r="Y35" s="796"/>
      <c r="Z35" s="794"/>
      <c r="AA35" s="797"/>
      <c r="AC35" s="793"/>
      <c r="AD35" s="790" t="str">
        <f t="shared" si="12"/>
        <v/>
      </c>
      <c r="AE35" s="790" t="str">
        <f t="shared" si="13"/>
        <v/>
      </c>
      <c r="AF35" s="794"/>
      <c r="AG35" s="795"/>
      <c r="AH35" s="794"/>
      <c r="AI35" s="796"/>
      <c r="AJ35" s="794"/>
      <c r="AK35" s="796"/>
      <c r="AL35" s="794"/>
      <c r="AM35" s="796"/>
      <c r="AN35" s="794"/>
      <c r="AO35" s="797"/>
      <c r="AQ35" s="793"/>
      <c r="AR35" s="790" t="str">
        <f t="shared" si="14"/>
        <v/>
      </c>
      <c r="AS35" s="790" t="str">
        <f t="shared" si="15"/>
        <v/>
      </c>
      <c r="AT35" s="794"/>
      <c r="AU35" s="795"/>
      <c r="AV35" s="794"/>
      <c r="AW35" s="796"/>
      <c r="AX35" s="794"/>
      <c r="AY35" s="796"/>
      <c r="AZ35" s="794"/>
      <c r="BA35" s="796"/>
      <c r="BB35" s="794"/>
      <c r="BC35" s="797"/>
    </row>
    <row r="36" spans="1:56" ht="33" hidden="1" customHeight="1">
      <c r="A36" s="606"/>
      <c r="B36" s="674" t="str">
        <f t="shared" si="8"/>
        <v/>
      </c>
      <c r="C36" s="674" t="str">
        <f t="shared" si="9"/>
        <v/>
      </c>
      <c r="D36" s="774"/>
      <c r="E36" s="779"/>
      <c r="F36" s="774"/>
      <c r="G36" s="773"/>
      <c r="H36" s="774"/>
      <c r="I36" s="773"/>
      <c r="J36" s="774"/>
      <c r="K36" s="773"/>
      <c r="L36" s="774"/>
      <c r="M36" s="780"/>
      <c r="O36" s="606"/>
      <c r="P36" s="674" t="str">
        <f t="shared" si="10"/>
        <v/>
      </c>
      <c r="Q36" s="674" t="str">
        <f t="shared" si="11"/>
        <v/>
      </c>
      <c r="R36" s="774"/>
      <c r="S36" s="779"/>
      <c r="T36" s="774"/>
      <c r="U36" s="773"/>
      <c r="V36" s="774"/>
      <c r="W36" s="773"/>
      <c r="X36" s="774"/>
      <c r="Y36" s="773"/>
      <c r="Z36" s="774"/>
      <c r="AA36" s="780"/>
      <c r="AC36" s="606"/>
      <c r="AD36" s="674" t="str">
        <f t="shared" si="12"/>
        <v/>
      </c>
      <c r="AE36" s="674" t="str">
        <f t="shared" si="13"/>
        <v/>
      </c>
      <c r="AF36" s="774"/>
      <c r="AG36" s="779"/>
      <c r="AH36" s="774"/>
      <c r="AI36" s="773"/>
      <c r="AJ36" s="774"/>
      <c r="AK36" s="773"/>
      <c r="AL36" s="774"/>
      <c r="AM36" s="773"/>
      <c r="AN36" s="774"/>
      <c r="AO36" s="780"/>
      <c r="AQ36" s="606"/>
      <c r="AR36" s="674" t="str">
        <f t="shared" si="14"/>
        <v/>
      </c>
      <c r="AS36" s="674" t="str">
        <f t="shared" si="15"/>
        <v/>
      </c>
      <c r="AT36" s="774"/>
      <c r="AU36" s="779"/>
      <c r="AV36" s="774"/>
      <c r="AW36" s="773"/>
      <c r="AX36" s="774"/>
      <c r="AY36" s="773"/>
      <c r="AZ36" s="774"/>
      <c r="BA36" s="773"/>
      <c r="BB36" s="774"/>
      <c r="BC36" s="780"/>
    </row>
    <row r="37" spans="1:56" ht="33" hidden="1" customHeight="1">
      <c r="A37" s="606"/>
      <c r="B37" s="35" t="str">
        <f t="shared" si="8"/>
        <v/>
      </c>
      <c r="C37" s="35" t="str">
        <f t="shared" si="9"/>
        <v/>
      </c>
      <c r="D37" s="777"/>
      <c r="E37" s="775"/>
      <c r="F37" s="777"/>
      <c r="G37" s="776"/>
      <c r="H37" s="777"/>
      <c r="I37" s="776"/>
      <c r="J37" s="777"/>
      <c r="K37" s="776"/>
      <c r="L37" s="777"/>
      <c r="M37" s="778"/>
      <c r="O37" s="606"/>
      <c r="P37" s="35" t="str">
        <f t="shared" si="10"/>
        <v/>
      </c>
      <c r="Q37" s="35" t="str">
        <f t="shared" si="11"/>
        <v/>
      </c>
      <c r="R37" s="777"/>
      <c r="S37" s="775"/>
      <c r="T37" s="777"/>
      <c r="U37" s="776"/>
      <c r="V37" s="777"/>
      <c r="W37" s="776"/>
      <c r="X37" s="777"/>
      <c r="Y37" s="776"/>
      <c r="Z37" s="777"/>
      <c r="AA37" s="778"/>
      <c r="AC37" s="606"/>
      <c r="AD37" s="35" t="str">
        <f t="shared" si="12"/>
        <v/>
      </c>
      <c r="AE37" s="35" t="str">
        <f t="shared" si="13"/>
        <v/>
      </c>
      <c r="AF37" s="777"/>
      <c r="AG37" s="775"/>
      <c r="AH37" s="777"/>
      <c r="AI37" s="776"/>
      <c r="AJ37" s="777"/>
      <c r="AK37" s="776"/>
      <c r="AL37" s="777"/>
      <c r="AM37" s="776"/>
      <c r="AN37" s="777"/>
      <c r="AO37" s="778"/>
      <c r="AQ37" s="606"/>
      <c r="AR37" s="35" t="str">
        <f t="shared" si="14"/>
        <v/>
      </c>
      <c r="AS37" s="35" t="str">
        <f t="shared" si="15"/>
        <v/>
      </c>
      <c r="AT37" s="777"/>
      <c r="AU37" s="775"/>
      <c r="AV37" s="777"/>
      <c r="AW37" s="776"/>
      <c r="AX37" s="777"/>
      <c r="AY37" s="776"/>
      <c r="AZ37" s="777"/>
      <c r="BA37" s="776"/>
      <c r="BB37" s="777"/>
      <c r="BC37" s="778"/>
    </row>
    <row r="38" spans="1:56" ht="33" hidden="1" customHeight="1">
      <c r="A38" s="606"/>
      <c r="B38" s="674" t="str">
        <f t="shared" si="8"/>
        <v/>
      </c>
      <c r="C38" s="674" t="str">
        <f t="shared" si="9"/>
        <v/>
      </c>
      <c r="D38" s="774"/>
      <c r="E38" s="779"/>
      <c r="F38" s="774"/>
      <c r="G38" s="773"/>
      <c r="H38" s="774"/>
      <c r="I38" s="773"/>
      <c r="J38" s="774"/>
      <c r="K38" s="773"/>
      <c r="L38" s="774"/>
      <c r="M38" s="780"/>
      <c r="O38" s="606"/>
      <c r="P38" s="674" t="str">
        <f t="shared" si="10"/>
        <v/>
      </c>
      <c r="Q38" s="674" t="str">
        <f t="shared" si="11"/>
        <v/>
      </c>
      <c r="R38" s="774"/>
      <c r="S38" s="779"/>
      <c r="T38" s="774"/>
      <c r="U38" s="773"/>
      <c r="V38" s="774"/>
      <c r="W38" s="773"/>
      <c r="X38" s="774"/>
      <c r="Y38" s="773"/>
      <c r="Z38" s="774"/>
      <c r="AA38" s="780"/>
      <c r="AC38" s="606"/>
      <c r="AD38" s="674" t="str">
        <f t="shared" si="12"/>
        <v/>
      </c>
      <c r="AE38" s="674" t="str">
        <f t="shared" si="13"/>
        <v/>
      </c>
      <c r="AF38" s="774"/>
      <c r="AG38" s="779"/>
      <c r="AH38" s="774"/>
      <c r="AI38" s="773"/>
      <c r="AJ38" s="774"/>
      <c r="AK38" s="773"/>
      <c r="AL38" s="774"/>
      <c r="AM38" s="773"/>
      <c r="AN38" s="774"/>
      <c r="AO38" s="780"/>
      <c r="AQ38" s="606"/>
      <c r="AR38" s="674" t="str">
        <f t="shared" si="14"/>
        <v/>
      </c>
      <c r="AS38" s="674" t="str">
        <f t="shared" si="15"/>
        <v/>
      </c>
      <c r="AT38" s="774"/>
      <c r="AU38" s="779"/>
      <c r="AV38" s="774"/>
      <c r="AW38" s="773"/>
      <c r="AX38" s="774"/>
      <c r="AY38" s="773"/>
      <c r="AZ38" s="774"/>
      <c r="BA38" s="773"/>
      <c r="BB38" s="774"/>
      <c r="BC38" s="780"/>
    </row>
    <row r="39" spans="1:56" ht="33" hidden="1" customHeight="1">
      <c r="A39" s="606"/>
      <c r="B39" s="35" t="str">
        <f t="shared" si="8"/>
        <v/>
      </c>
      <c r="C39" s="35" t="str">
        <f t="shared" si="9"/>
        <v/>
      </c>
      <c r="D39" s="777"/>
      <c r="E39" s="775"/>
      <c r="F39" s="777"/>
      <c r="G39" s="776"/>
      <c r="H39" s="777"/>
      <c r="I39" s="776"/>
      <c r="J39" s="777"/>
      <c r="K39" s="776"/>
      <c r="L39" s="777"/>
      <c r="M39" s="778"/>
      <c r="O39" s="606"/>
      <c r="P39" s="35" t="str">
        <f t="shared" si="10"/>
        <v/>
      </c>
      <c r="Q39" s="35" t="str">
        <f t="shared" si="11"/>
        <v/>
      </c>
      <c r="R39" s="777"/>
      <c r="S39" s="775"/>
      <c r="T39" s="777"/>
      <c r="U39" s="776"/>
      <c r="V39" s="777"/>
      <c r="W39" s="776"/>
      <c r="X39" s="777"/>
      <c r="Y39" s="776"/>
      <c r="Z39" s="777"/>
      <c r="AA39" s="778"/>
      <c r="AC39" s="606"/>
      <c r="AD39" s="35" t="str">
        <f t="shared" si="12"/>
        <v/>
      </c>
      <c r="AE39" s="35" t="str">
        <f t="shared" si="13"/>
        <v/>
      </c>
      <c r="AF39" s="777"/>
      <c r="AG39" s="775"/>
      <c r="AH39" s="777"/>
      <c r="AI39" s="776"/>
      <c r="AJ39" s="777"/>
      <c r="AK39" s="776"/>
      <c r="AL39" s="777"/>
      <c r="AM39" s="776"/>
      <c r="AN39" s="777"/>
      <c r="AO39" s="778"/>
      <c r="AQ39" s="606"/>
      <c r="AR39" s="35" t="str">
        <f t="shared" si="14"/>
        <v/>
      </c>
      <c r="AS39" s="35" t="str">
        <f t="shared" si="15"/>
        <v/>
      </c>
      <c r="AT39" s="777"/>
      <c r="AU39" s="775"/>
      <c r="AV39" s="777"/>
      <c r="AW39" s="776"/>
      <c r="AX39" s="777"/>
      <c r="AY39" s="776"/>
      <c r="AZ39" s="777"/>
      <c r="BA39" s="776"/>
      <c r="BB39" s="777"/>
      <c r="BC39" s="778"/>
    </row>
    <row r="40" spans="1:56" ht="33" hidden="1" customHeight="1">
      <c r="A40" s="606"/>
      <c r="B40" s="674" t="str">
        <f t="shared" si="8"/>
        <v/>
      </c>
      <c r="C40" s="674" t="str">
        <f t="shared" si="9"/>
        <v/>
      </c>
      <c r="D40" s="774"/>
      <c r="E40" s="779"/>
      <c r="F40" s="774"/>
      <c r="G40" s="773"/>
      <c r="H40" s="774"/>
      <c r="I40" s="773"/>
      <c r="J40" s="774"/>
      <c r="K40" s="773"/>
      <c r="L40" s="774"/>
      <c r="M40" s="780"/>
      <c r="O40" s="606"/>
      <c r="P40" s="674" t="str">
        <f t="shared" si="10"/>
        <v/>
      </c>
      <c r="Q40" s="674" t="str">
        <f t="shared" si="11"/>
        <v/>
      </c>
      <c r="R40" s="774"/>
      <c r="S40" s="779"/>
      <c r="T40" s="774"/>
      <c r="U40" s="773"/>
      <c r="V40" s="774"/>
      <c r="W40" s="773"/>
      <c r="X40" s="774"/>
      <c r="Y40" s="773"/>
      <c r="Z40" s="774"/>
      <c r="AA40" s="780"/>
      <c r="AC40" s="606"/>
      <c r="AD40" s="674" t="str">
        <f t="shared" si="12"/>
        <v/>
      </c>
      <c r="AE40" s="674" t="str">
        <f t="shared" si="13"/>
        <v/>
      </c>
      <c r="AF40" s="774"/>
      <c r="AG40" s="779"/>
      <c r="AH40" s="774"/>
      <c r="AI40" s="773"/>
      <c r="AJ40" s="774"/>
      <c r="AK40" s="773"/>
      <c r="AL40" s="774"/>
      <c r="AM40" s="773"/>
      <c r="AN40" s="774"/>
      <c r="AO40" s="780"/>
      <c r="AQ40" s="606"/>
      <c r="AR40" s="674" t="str">
        <f t="shared" si="14"/>
        <v/>
      </c>
      <c r="AS40" s="674" t="str">
        <f t="shared" si="15"/>
        <v/>
      </c>
      <c r="AT40" s="774"/>
      <c r="AU40" s="779"/>
      <c r="AV40" s="774"/>
      <c r="AW40" s="773"/>
      <c r="AX40" s="774"/>
      <c r="AY40" s="773"/>
      <c r="AZ40" s="774"/>
      <c r="BA40" s="773"/>
      <c r="BB40" s="774"/>
      <c r="BC40" s="780"/>
    </row>
    <row r="41" spans="1:56" ht="33" hidden="1" customHeight="1">
      <c r="A41" s="606"/>
      <c r="B41" s="35" t="str">
        <f t="shared" si="8"/>
        <v/>
      </c>
      <c r="C41" s="35" t="str">
        <f t="shared" si="9"/>
        <v/>
      </c>
      <c r="D41" s="777"/>
      <c r="E41" s="775"/>
      <c r="F41" s="777"/>
      <c r="G41" s="776"/>
      <c r="H41" s="777"/>
      <c r="I41" s="776"/>
      <c r="J41" s="777"/>
      <c r="K41" s="776"/>
      <c r="L41" s="777"/>
      <c r="M41" s="778"/>
      <c r="O41" s="606"/>
      <c r="P41" s="35" t="str">
        <f t="shared" si="10"/>
        <v/>
      </c>
      <c r="Q41" s="35" t="str">
        <f t="shared" si="11"/>
        <v/>
      </c>
      <c r="R41" s="777"/>
      <c r="S41" s="775"/>
      <c r="T41" s="777"/>
      <c r="U41" s="776"/>
      <c r="V41" s="777"/>
      <c r="W41" s="776"/>
      <c r="X41" s="777"/>
      <c r="Y41" s="776"/>
      <c r="Z41" s="777"/>
      <c r="AA41" s="778"/>
      <c r="AC41" s="606"/>
      <c r="AD41" s="35" t="str">
        <f t="shared" si="12"/>
        <v/>
      </c>
      <c r="AE41" s="35" t="str">
        <f t="shared" si="13"/>
        <v/>
      </c>
      <c r="AF41" s="777"/>
      <c r="AG41" s="775"/>
      <c r="AH41" s="777"/>
      <c r="AI41" s="776"/>
      <c r="AJ41" s="777"/>
      <c r="AK41" s="776"/>
      <c r="AL41" s="777"/>
      <c r="AM41" s="776"/>
      <c r="AN41" s="777"/>
      <c r="AO41" s="778"/>
      <c r="AQ41" s="606"/>
      <c r="AR41" s="35" t="str">
        <f t="shared" si="14"/>
        <v/>
      </c>
      <c r="AS41" s="35" t="str">
        <f t="shared" si="15"/>
        <v/>
      </c>
      <c r="AT41" s="777"/>
      <c r="AU41" s="775"/>
      <c r="AV41" s="777"/>
      <c r="AW41" s="776"/>
      <c r="AX41" s="777"/>
      <c r="AY41" s="776"/>
      <c r="AZ41" s="777"/>
      <c r="BA41" s="776"/>
      <c r="BB41" s="777"/>
      <c r="BC41" s="778"/>
    </row>
    <row r="42" spans="1:56" ht="33" hidden="1" customHeight="1">
      <c r="A42" s="606"/>
      <c r="B42" s="674" t="str">
        <f t="shared" si="8"/>
        <v/>
      </c>
      <c r="C42" s="674" t="str">
        <f t="shared" si="9"/>
        <v/>
      </c>
      <c r="D42" s="774"/>
      <c r="E42" s="779"/>
      <c r="F42" s="774"/>
      <c r="G42" s="773"/>
      <c r="H42" s="774"/>
      <c r="I42" s="773"/>
      <c r="J42" s="774"/>
      <c r="K42" s="773"/>
      <c r="L42" s="774"/>
      <c r="M42" s="780"/>
      <c r="O42" s="606"/>
      <c r="P42" s="674" t="str">
        <f t="shared" si="10"/>
        <v/>
      </c>
      <c r="Q42" s="674" t="str">
        <f t="shared" si="11"/>
        <v/>
      </c>
      <c r="R42" s="774"/>
      <c r="S42" s="779"/>
      <c r="T42" s="774"/>
      <c r="U42" s="773"/>
      <c r="V42" s="774"/>
      <c r="W42" s="773"/>
      <c r="X42" s="774"/>
      <c r="Y42" s="773"/>
      <c r="Z42" s="774"/>
      <c r="AA42" s="780"/>
      <c r="AC42" s="606"/>
      <c r="AD42" s="674" t="str">
        <f t="shared" si="12"/>
        <v/>
      </c>
      <c r="AE42" s="674" t="str">
        <f t="shared" si="13"/>
        <v/>
      </c>
      <c r="AF42" s="774"/>
      <c r="AG42" s="779"/>
      <c r="AH42" s="774"/>
      <c r="AI42" s="773"/>
      <c r="AJ42" s="774"/>
      <c r="AK42" s="773"/>
      <c r="AL42" s="774"/>
      <c r="AM42" s="773"/>
      <c r="AN42" s="774"/>
      <c r="AO42" s="780"/>
      <c r="AQ42" s="606"/>
      <c r="AR42" s="674" t="str">
        <f t="shared" si="14"/>
        <v/>
      </c>
      <c r="AS42" s="674" t="str">
        <f t="shared" si="15"/>
        <v/>
      </c>
      <c r="AT42" s="774"/>
      <c r="AU42" s="779"/>
      <c r="AV42" s="774"/>
      <c r="AW42" s="773"/>
      <c r="AX42" s="774"/>
      <c r="AY42" s="773"/>
      <c r="AZ42" s="774"/>
      <c r="BA42" s="773"/>
      <c r="BB42" s="774"/>
      <c r="BC42" s="780"/>
    </row>
    <row r="43" spans="1:56" ht="33" hidden="1" customHeight="1">
      <c r="A43" s="606"/>
      <c r="B43" s="35" t="str">
        <f t="shared" si="8"/>
        <v/>
      </c>
      <c r="C43" s="35" t="str">
        <f t="shared" si="9"/>
        <v/>
      </c>
      <c r="D43" s="777"/>
      <c r="E43" s="775"/>
      <c r="F43" s="777"/>
      <c r="G43" s="776"/>
      <c r="H43" s="777"/>
      <c r="I43" s="776"/>
      <c r="J43" s="777"/>
      <c r="K43" s="776"/>
      <c r="L43" s="777"/>
      <c r="M43" s="778"/>
      <c r="O43" s="606"/>
      <c r="P43" s="35" t="str">
        <f t="shared" si="10"/>
        <v/>
      </c>
      <c r="Q43" s="35" t="str">
        <f t="shared" si="11"/>
        <v/>
      </c>
      <c r="R43" s="777"/>
      <c r="S43" s="775"/>
      <c r="T43" s="777"/>
      <c r="U43" s="776"/>
      <c r="V43" s="777"/>
      <c r="W43" s="776"/>
      <c r="X43" s="777"/>
      <c r="Y43" s="776"/>
      <c r="Z43" s="777"/>
      <c r="AA43" s="778"/>
      <c r="AC43" s="606"/>
      <c r="AD43" s="35" t="str">
        <f t="shared" si="12"/>
        <v/>
      </c>
      <c r="AE43" s="35" t="str">
        <f t="shared" si="13"/>
        <v/>
      </c>
      <c r="AF43" s="777"/>
      <c r="AG43" s="775"/>
      <c r="AH43" s="777"/>
      <c r="AI43" s="776"/>
      <c r="AJ43" s="777"/>
      <c r="AK43" s="776"/>
      <c r="AL43" s="777"/>
      <c r="AM43" s="776"/>
      <c r="AN43" s="777"/>
      <c r="AO43" s="778"/>
      <c r="AQ43" s="606"/>
      <c r="AR43" s="35" t="str">
        <f t="shared" si="14"/>
        <v/>
      </c>
      <c r="AS43" s="35" t="str">
        <f t="shared" si="15"/>
        <v/>
      </c>
      <c r="AT43" s="777"/>
      <c r="AU43" s="775"/>
      <c r="AV43" s="777"/>
      <c r="AW43" s="776"/>
      <c r="AX43" s="777"/>
      <c r="AY43" s="776"/>
      <c r="AZ43" s="777"/>
      <c r="BA43" s="776"/>
      <c r="BB43" s="777"/>
      <c r="BC43" s="778"/>
    </row>
    <row r="44" spans="1:56" ht="33" hidden="1" customHeight="1">
      <c r="A44" s="606"/>
      <c r="B44" s="674" t="str">
        <f t="shared" si="8"/>
        <v/>
      </c>
      <c r="C44" s="674" t="str">
        <f t="shared" si="9"/>
        <v/>
      </c>
      <c r="D44" s="774"/>
      <c r="E44" s="779"/>
      <c r="F44" s="774"/>
      <c r="G44" s="773"/>
      <c r="H44" s="774"/>
      <c r="I44" s="773"/>
      <c r="J44" s="774"/>
      <c r="K44" s="773"/>
      <c r="L44" s="774"/>
      <c r="M44" s="780"/>
      <c r="O44" s="606"/>
      <c r="P44" s="674" t="str">
        <f t="shared" si="10"/>
        <v/>
      </c>
      <c r="Q44" s="674" t="str">
        <f t="shared" si="11"/>
        <v/>
      </c>
      <c r="R44" s="774"/>
      <c r="S44" s="779"/>
      <c r="T44" s="774"/>
      <c r="U44" s="773"/>
      <c r="V44" s="774"/>
      <c r="W44" s="773"/>
      <c r="X44" s="774"/>
      <c r="Y44" s="773"/>
      <c r="Z44" s="774"/>
      <c r="AA44" s="780"/>
      <c r="AC44" s="606"/>
      <c r="AD44" s="674" t="str">
        <f t="shared" si="12"/>
        <v/>
      </c>
      <c r="AE44" s="674" t="str">
        <f t="shared" si="13"/>
        <v/>
      </c>
      <c r="AF44" s="774"/>
      <c r="AG44" s="779"/>
      <c r="AH44" s="774"/>
      <c r="AI44" s="773"/>
      <c r="AJ44" s="774"/>
      <c r="AK44" s="773"/>
      <c r="AL44" s="774"/>
      <c r="AM44" s="773"/>
      <c r="AN44" s="774"/>
      <c r="AO44" s="780"/>
      <c r="AQ44" s="606"/>
      <c r="AR44" s="674" t="str">
        <f t="shared" si="14"/>
        <v/>
      </c>
      <c r="AS44" s="674" t="str">
        <f t="shared" si="15"/>
        <v/>
      </c>
      <c r="AT44" s="774"/>
      <c r="AU44" s="779"/>
      <c r="AV44" s="774"/>
      <c r="AW44" s="773"/>
      <c r="AX44" s="774"/>
      <c r="AY44" s="773"/>
      <c r="AZ44" s="774"/>
      <c r="BA44" s="773"/>
      <c r="BB44" s="774"/>
      <c r="BC44" s="780"/>
    </row>
    <row r="45" spans="1:56" ht="33" hidden="1" customHeight="1" thickBot="1">
      <c r="A45" s="607"/>
      <c r="B45" s="781" t="str">
        <f>IF(A45&gt;0,C44,"")</f>
        <v/>
      </c>
      <c r="C45" s="781" t="str">
        <f>IF(A45&gt;0,B45+A45,"")</f>
        <v/>
      </c>
      <c r="D45" s="782"/>
      <c r="E45" s="783"/>
      <c r="F45" s="782"/>
      <c r="G45" s="784"/>
      <c r="H45" s="782"/>
      <c r="I45" s="784"/>
      <c r="J45" s="782"/>
      <c r="K45" s="784"/>
      <c r="L45" s="782"/>
      <c r="M45" s="785"/>
      <c r="O45" s="607"/>
      <c r="P45" s="781" t="str">
        <f t="shared" si="10"/>
        <v/>
      </c>
      <c r="Q45" s="781" t="str">
        <f t="shared" si="11"/>
        <v/>
      </c>
      <c r="R45" s="782"/>
      <c r="S45" s="783"/>
      <c r="T45" s="782"/>
      <c r="U45" s="784"/>
      <c r="V45" s="782"/>
      <c r="W45" s="784"/>
      <c r="X45" s="782"/>
      <c r="Y45" s="784"/>
      <c r="Z45" s="782"/>
      <c r="AA45" s="785"/>
      <c r="AC45" s="607"/>
      <c r="AD45" s="781" t="str">
        <f t="shared" si="12"/>
        <v/>
      </c>
      <c r="AE45" s="781" t="str">
        <f t="shared" si="13"/>
        <v/>
      </c>
      <c r="AF45" s="782"/>
      <c r="AG45" s="783"/>
      <c r="AH45" s="782"/>
      <c r="AI45" s="784"/>
      <c r="AJ45" s="782"/>
      <c r="AK45" s="784"/>
      <c r="AL45" s="782"/>
      <c r="AM45" s="784"/>
      <c r="AN45" s="782"/>
      <c r="AO45" s="785"/>
      <c r="AQ45" s="607"/>
      <c r="AR45" s="781" t="str">
        <f t="shared" si="14"/>
        <v/>
      </c>
      <c r="AS45" s="781" t="str">
        <f t="shared" si="15"/>
        <v/>
      </c>
      <c r="AT45" s="782"/>
      <c r="AU45" s="783"/>
      <c r="AV45" s="782"/>
      <c r="AW45" s="784"/>
      <c r="AX45" s="782"/>
      <c r="AY45" s="784"/>
      <c r="AZ45" s="782"/>
      <c r="BA45" s="784"/>
      <c r="BB45" s="782"/>
      <c r="BC45" s="785"/>
    </row>
    <row r="46" spans="1:56" ht="33" hidden="1" customHeight="1">
      <c r="A46" s="975" t="s">
        <v>217</v>
      </c>
      <c r="B46" s="976"/>
      <c r="C46" s="976"/>
      <c r="D46" s="976"/>
      <c r="E46" s="264">
        <f>IF(AND(D16="L",E16&gt;0),A16,0)+IF(AND(D17="L",E17&gt;0),A17,0)+IF(AND(D18="L",E18&gt;0),A18,0)+IF(AND(D19="L",E19&gt;0),A19,0)+IF(AND(D20="L",E20&gt;0),A20,0)+IF(AND(D21="L",E21&gt;0),A21,0)+IF(AND(D22="L",E22&gt;0),A22,0)+IF(AND(D23="L",E23&gt;0),A23,0)+IF(AND(D24="L",E24&gt;0),A24,0)+IF(AND(D25="L",E25&gt;0),A25,0)+IF(AND(D26="L",E26&gt;0),A26,0)+IF(AND(D27="L",E27&gt;0),A27,0)+IF(AND(D28="L",E28&gt;0),A28,0)+IF(AND(D29="L",E29&gt;0),A29,0)+IF(AND(D30="L",E30&gt;0),A30,0)+IF(AND(D31="L",E31&gt;0),A31,0)+IF(AND(D32="L",E32&gt;0),A32,0)+IF(AND(D33="L",E33&gt;0),A33,0)+IF(AND(D34="L",E34&gt;0),A34,0)+IF(AND(D35="L",E35&gt;0),A35,0)+IF(AND(D36="L",E36&gt;0),A36,0)+IF(AND(D37="L",E37&gt;0),A37,0)+IF(AND(D38="L",E38&gt;0),A38,0)+IF(AND(D39="L",E39&gt;0),A39,0)+IF(AND(D40="L",E40&gt;0),A40,0)+IF(AND(D41="L",E41&gt;0),A41,0)+IF(AND(D42="L",E42&gt;0),A42,0)+IF(AND(D43="L",E43&gt;0),A43,0)+IF(AND(D44="L",E44&gt;0),A44,0)+IF(AND(D45="L",E45&gt;0),A45,0)</f>
        <v>0.1875</v>
      </c>
      <c r="F46" s="264">
        <f t="shared" ref="F46:M46" si="16">IF(AND(E16="L",F16&gt;0),$A$16,0)+IF(AND(E17="L",F17&gt;0),$A$17,0)+IF(AND(E18="L",F18&gt;0),$A$18,0)+IF(AND(E19="L",F19&gt;0),$A$19,0)+IF(AND(E20="L",F20&gt;0),$A$20,0)+IF(AND(E21="L",F21&gt;0),$A$21,0)+IF(AND(E22="L",F22&gt;0),$A$22,0)+IF(AND(E23="L",F23&gt;0),$A$23,0)+IF(AND(E24="L",F24&gt;0),$A$24,0)+IF(AND(E25="L",F25&gt;0),$A$25,0)+IF(AND(E26="L",F26&gt;0),$A$26,0)+IF(AND(E27="L",F27&gt;0),$A$27,0)+IF(AND(E28="L",F28&gt;0),$A$28,0)+IF(AND(E29="L",F29&gt;0),$A$29,0)+IF(AND(E30="L",F30&gt;0),$A$30,0)+IF(AND(E31="L",F31&gt;0),$A$31,0)+IF(AND(E32="L",F32&gt;0),$A$32,0)+IF(AND(E33="L",F33&gt;0),$A$33,0)+IF(AND(E34="L",F34&gt;0),$A$34,0)+IF(AND(E35="L",F35&gt;0),$A$35,0)+IF(AND(E36="L",F36&gt;0),$A$36,0)+IF(AND(E37="L",F37&gt;0),$A$37,0)+IF(AND(E38="L",F38&gt;0),$A$38,0)+IF(AND(E39="L",F39&gt;0),$A$39,0)+IF(AND(E40="L",F40&gt;0),$A$40,0)+IF(AND(E41="L",F41&gt;0),$A$41,0)+IF(AND(E42="L",F42&gt;0),$A$42,0)+IF(AND(E43="L",F43&gt;0),$A$43,0)+IF(AND(E44="L",F44&gt;0),$A$44,0)+IF(AND(E45="L",F45&gt;0),$A$45,0)</f>
        <v>0</v>
      </c>
      <c r="G46" s="264">
        <f t="shared" si="16"/>
        <v>0.1875</v>
      </c>
      <c r="H46" s="264">
        <f t="shared" si="16"/>
        <v>0</v>
      </c>
      <c r="I46" s="264">
        <f t="shared" si="16"/>
        <v>0.11458333333333333</v>
      </c>
      <c r="J46" s="264"/>
      <c r="K46" s="264">
        <f t="shared" si="16"/>
        <v>0.15625</v>
      </c>
      <c r="L46" s="264">
        <f t="shared" si="16"/>
        <v>0</v>
      </c>
      <c r="M46" s="264">
        <f t="shared" si="16"/>
        <v>0.15625</v>
      </c>
      <c r="N46" s="608"/>
      <c r="O46" s="264"/>
      <c r="P46" s="264"/>
      <c r="Q46" s="264"/>
      <c r="R46" s="264"/>
      <c r="S46" s="264">
        <f>IF(AND(R16="L",S16&gt;0),$O$16,0)+IF(AND(R17="L",S17&gt;0),$O$17,0)+IF(AND(R18="L",S18&gt;0),$O$18,0)+IF(AND(R19="L",S19&gt;0),$O$19,0)+IF(AND(R20="L",S20&gt;0),$O$20,0)+IF(AND(R21="L",S21&gt;0),$O$21,0)+IF(AND(R22="L",S22&gt;0),$O$22,0)+IF(AND(R23="L",S23&gt;0),$O$23,0)+IF(AND(R24="L",S24&gt;0),$O$24,0)+IF(AND(R25="L",S25&gt;0),$O$25,0)+IF(AND(R26="L",S26&gt;0),$O$26,0)+IF(AND(R27="L",S27&gt;0),$O$27,0)+IF(AND(R28="L",S28&gt;0),$O$28,0)+IF(AND(R29="L",S29&gt;0),$O$29,0)+IF(AND(R30="L",S30&gt;0),$O$30,0)+IF(AND(R31="L",S31&gt;0),$O$31,0)+IF(AND(R32="L",S32&gt;0),$O$32,0)+IF(AND(R33="L",S33&gt;0),$O$33,0)+IF(AND(R34="L",S34&gt;0),$O$34,0)+IF(AND(R35="L",S35&gt;0),$O$35,0)+IF(AND(R36="L",S36&gt;0),$O$36,0)+IF(AND(R37="L",S37&gt;0),$O$37,0)+IF(AND(R38="L",S38&gt;0),$O$38,0)+IF(AND(R39="L",S39&gt;0),$O$39,0)+IF(AND(R40="L",S40&gt;0),$O$40,0)+IF(AND(R41="L",S41&gt;0),$O$41,0)+IF(AND(R42="L",S42&gt;0),$O$42,0)+IF(AND(R43="L",S43&gt;0),$O$43,0)+IF(AND(R44="L",S44&gt;0),$O$44,0)+IF(AND(R45="L",S45&gt;0),$O$45,0)</f>
        <v>0</v>
      </c>
      <c r="T46" s="264">
        <f t="shared" ref="T46:Z46" si="17">IF(AND(S16="L",T16&gt;0),$O$16,0)+IF(AND(S17="L",T17&gt;0),$O$17,0)+IF(AND(S18="L",T18&gt;0),$O$18,0)+IF(AND(S19="L",T19&gt;0),$O$19,0)+IF(AND(S20="L",T20&gt;0),$O$20,0)+IF(AND(S21="L",T21&gt;0),$O$21,0)+IF(AND(S22="L",T22&gt;0),$O$22,0)+IF(AND(S23="L",T23&gt;0),$O$23,0)+IF(AND(S24="L",T24&gt;0),$O$24,0)+IF(AND(S25="L",T25&gt;0),$O$25,0)+IF(AND(S26="L",T26&gt;0),$O$26,0)+IF(AND(S27="L",T27&gt;0),$O$27,0)+IF(AND(S28="L",T28&gt;0),$O$28,0)+IF(AND(S29="L",T29&gt;0),$O$29,0)+IF(AND(S30="L",T30&gt;0),$O$30,0)+IF(AND(S31="L",T31&gt;0),$O$31,0)+IF(AND(S32="L",T32&gt;0),$O$32,0)+IF(AND(S33="L",T33&gt;0),$O$33,0)+IF(AND(S34="L",T34&gt;0),$O$34,0)+IF(AND(S35="L",T35&gt;0),$O$35,0)+IF(AND(S36="L",T36&gt;0),$O$36,0)+IF(AND(S37="L",T37&gt;0),$O$37,0)+IF(AND(S38="L",T38&gt;0),$O$38,0)+IF(AND(S39="L",T39&gt;0),$O$39,0)+IF(AND(S40="L",T40&gt;0),$O$40,0)+IF(AND(S41="L",T41&gt;0),$O$41,0)+IF(AND(S42="L",T42&gt;0),$O$42,0)+IF(AND(S43="L",T43&gt;0),$O$43,0)+IF(AND(S44="L",T44&gt;0),$O$44,0)+IF(AND(S45="L",T45&gt;0),$O$45,0)</f>
        <v>0</v>
      </c>
      <c r="U46" s="264">
        <f t="shared" si="17"/>
        <v>0</v>
      </c>
      <c r="V46" s="264">
        <f t="shared" si="17"/>
        <v>0</v>
      </c>
      <c r="W46" s="264">
        <f t="shared" si="17"/>
        <v>0</v>
      </c>
      <c r="X46" s="264">
        <f t="shared" si="17"/>
        <v>0</v>
      </c>
      <c r="Y46" s="264">
        <f t="shared" si="17"/>
        <v>0</v>
      </c>
      <c r="Z46" s="264">
        <f t="shared" si="17"/>
        <v>0</v>
      </c>
      <c r="AA46" s="264">
        <f>IF(AND(Z16="L",AA16&gt;0),$O$16,0)+IF(AND(Z17="L",AA17&gt;0),$O$17,0)+IF(AND(Z18="L",AA18&gt;0),$O$18,0)+IF(AND(Z19="L",AA19&gt;0),$O$19,0)+IF(AND(Z20="L",AA20&gt;0),$O$20,0)+IF(AND(Z21="L",AA21&gt;0),$O$21,0)+IF(AND(Z22="L",AA22&gt;0),$O$22,0)+IF(AND(Z23="L",AA23&gt;0),$O$23,0)+IF(AND(Z24="L",AA24&gt;0),$O$24,0)+IF(AND(Z25="L",AA25&gt;0),$O$25,0)+IF(AND(Z26="L",AA26&gt;0),$O$26,0)+IF(AND(Z27="L",AA27&gt;0),$O$27,0)+IF(AND(Z28="L",AA28&gt;0),$O$28,0)+IF(AND(Z29="L",AA29&gt;0),$O$29,0)+IF(AND(Z30="L",AA30&gt;0),$O$30,0)+IF(AND(Z31="L",AA31&gt;0),$O$31,0)+IF(AND(Z32="L",AA32&gt;0),$O$32,0)+IF(AND(Z33="L",AA33&gt;0),$O$33,0)+IF(AND(Z34="L",AA34&gt;0),$O$34,0)+IF(AND(Z35="L",AA35&gt;0),$O$35,0)+IF(AND(Z36="L",AA36&gt;0),$O$36,0)+IF(AND(Z37="L",AA37&gt;0),$O$37,0)+IF(AND(Z38="L",AA38&gt;0),$O$38,0)+IF(AND(Z39="L",AA39&gt;0),$O$39,0)+IF(AND(Z40="L",AA40&gt;0),$O$40,0)+IF(AND(Z41="L",AA41&gt;0),$O$41,0)+IF(AND(Z42="L",AA42&gt;0),$O$42,0)+IF(AND(Z43="L",AA43&gt;0),$O$43,0)+IF(AND(Z44="L",AA44&gt;0),$O$44,0)+IF(AND(Z45="L",AA45&gt;0),$O$45,0)</f>
        <v>0</v>
      </c>
      <c r="AB46" s="264"/>
      <c r="AC46" s="264"/>
      <c r="AD46" s="476"/>
      <c r="AE46" s="608"/>
      <c r="AF46" s="608"/>
      <c r="AG46" s="264">
        <f>IF(AND(AF16="L",AG16&gt;0),$AC$16,0)+IF(AND(AF17="L",AG17&gt;0),$AC$17,0)+IF(AND(AF18="L",AG18&gt;0),$AC$18,0)+IF(AND(AF19="L",AG19&gt;0),$AC$19,0)+IF(AND(AF20="L",AG20&gt;0),$AC$20,0)+IF(AND(AF21="L",AG21&gt;0),$AC$21,0)+IF(AND(AF22="L",AG22&gt;0),$AC$22,0)+IF(AND(AF23="L",AG23&gt;0),$AC$23,0)+IF(AND(AF24="L",AG24&gt;0),$AC$24,0)+IF(AND(AF25="L",AG25&gt;0),$AC$25,0)+IF(AND(AF26="L",AG26&gt;0),$AC$26,0)+IF(AND(AF27="L",AG27&gt;0),$AC$27,0)+IF(AND(AF28="L",AG28&gt;0),$AC$28,0)+IF(AND(AF29="L",AG29&gt;0),$AC$29,0)+IF(AND(AF30="L",AG30&gt;0),$AC$30,0)+IF(AND(AF31="L",AG31&gt;0),$AC$31,0)+IF(AND(AF32="L",AG32&gt;0),$AC$32,0)+IF(AND(AF33="L",AG33&gt;0),$AC$33,0)+IF(AND(AF34="L",AG34&gt;0),$AC$34,0)+IF(AND(AF35="L",AG35&gt;0),$AC$35,0)+IF(AND(AF36="L",AG36&gt;0),$AC$36,0)+IF(AND(AF37="L",AG37&gt;0),$AC$37,0)+IF(AND(AF38="L",AG38&gt;0),$AC$38,0)+IF(AND(AF39="L",AG39&gt;0),$AC$39,0)+IF(AND(AF40="L",AG40&gt;0),$AC$40,0)+IF(AND(AF41="L",AG41&gt;0),$AC$41,0)+IF(AND(AF42="L",AG42&gt;0),$AC$42,0)+IF(AND(AF43="L",AG43&gt;0),$AC$43,0)+IF(AND(AF44="L",AG44&gt;0),$AC$44,0)+IF(AND(AF45="L",AG45&gt;0),$AC$45,0)</f>
        <v>0</v>
      </c>
      <c r="AH46" s="264">
        <f t="shared" ref="AH46:AN46" si="18">IF(AND(AG16="L",AH16&gt;0),$AC$16,0)+IF(AND(AG17="L",AH17&gt;0),$AC$17,0)+IF(AND(AG18="L",AH18&gt;0),$AC$18,0)+IF(AND(AG19="L",AH19&gt;0),$AC$19,0)+IF(AND(AG20="L",AH20&gt;0),$AC$20,0)+IF(AND(AG21="L",AH21&gt;0),$AC$21,0)+IF(AND(AG22="L",AH22&gt;0),$AC$22,0)+IF(AND(AG23="L",AH23&gt;0),$AC$23,0)+IF(AND(AG24="L",AH24&gt;0),$AC$24,0)+IF(AND(AG25="L",AH25&gt;0),$AC$25,0)+IF(AND(AG26="L",AH26&gt;0),$AC$26,0)+IF(AND(AG27="L",AH27&gt;0),$AC$27,0)+IF(AND(AG28="L",AH28&gt;0),$AC$28,0)+IF(AND(AG29="L",AH29&gt;0),$AC$29,0)+IF(AND(AG30="L",AH30&gt;0),$AC$30,0)+IF(AND(AG31="L",AH31&gt;0),$AC$31,0)+IF(AND(AG32="L",AH32&gt;0),$AC$32,0)+IF(AND(AG33="L",AH33&gt;0),$AC$33,0)+IF(AND(AG34="L",AH34&gt;0),$AC$34,0)+IF(AND(AG35="L",AH35&gt;0),$AC$35,0)+IF(AND(AG36="L",AH36&gt;0),$AC$36,0)+IF(AND(AG37="L",AH37&gt;0),$AC$37,0)+IF(AND(AG38="L",AH38&gt;0),$AC$38,0)+IF(AND(AG39="L",AH39&gt;0),$AC$39,0)+IF(AND(AG40="L",AH40&gt;0),$AC$40,0)+IF(AND(AG41="L",AH41&gt;0),$AC$41,0)+IF(AND(AG42="L",AH42&gt;0),$AC$42,0)+IF(AND(AG43="L",AH43&gt;0),$AC$43,0)+IF(AND(AG44="L",AH44&gt;0),$AC$44,0)+IF(AND(AG45="L",AH45&gt;0),$AC$45,0)</f>
        <v>0</v>
      </c>
      <c r="AI46" s="264">
        <f t="shared" si="18"/>
        <v>0</v>
      </c>
      <c r="AJ46" s="264">
        <f t="shared" si="18"/>
        <v>0</v>
      </c>
      <c r="AK46" s="264">
        <f t="shared" si="18"/>
        <v>0</v>
      </c>
      <c r="AL46" s="264">
        <f t="shared" si="18"/>
        <v>0</v>
      </c>
      <c r="AM46" s="264">
        <f t="shared" si="18"/>
        <v>0</v>
      </c>
      <c r="AN46" s="264">
        <f t="shared" si="18"/>
        <v>0</v>
      </c>
      <c r="AO46" s="264">
        <f>IF(AND(AN16="L",AO16&gt;0),$AC$16,0)+IF(AND(AN17="L",AO17&gt;0),$AC$17,0)+IF(AND(AN18="L",AO18&gt;0),$AC$18,0)+IF(AND(AN19="L",AO19&gt;0),$AC$19,0)+IF(AND(AN20="L",AO20&gt;0),$AC$20,0)+IF(AND(AN21="L",AO21&gt;0),$AC$21,0)+IF(AND(AN22="L",AO22&gt;0),$AC$22,0)+IF(AND(AN23="L",AO23&gt;0),$AC$23,0)+IF(AND(AN24="L",AO24&gt;0),$AC$24,0)+IF(AND(AN25="L",AO25&gt;0),$AC$25,0)+IF(AND(AN26="L",AO26&gt;0),$AC$26,0)+IF(AND(AN27="L",AO27&gt;0),$AC$27,0)+IF(AND(AN28="L",AO28&gt;0),$AC$28,0)+IF(AND(AN29="L",AO29&gt;0),$AC$29,0)+IF(AND(AN30="L",AO30&gt;0),$AC$30,0)+IF(AND(AN31="L",AO31&gt;0),$AC$31,0)+IF(AND(AN32="L",AO32&gt;0),$AC$32,0)+IF(AND(AN33="L",AO33&gt;0),$AC$33,0)+IF(AND(AN34="L",AO34&gt;0),$AC$34,0)+IF(AND(AN35="L",AO35&gt;0),$AC$35,0)+IF(AND(AN36="L",AO36&gt;0),$AC$36,0)+IF(AND(AN37="L",AO37&gt;0),$AC$37,0)+IF(AND(AN38="L",AO38&gt;0),$AC$38,0)+IF(AND(AN39="L",AO39&gt;0),$AC$39,0)+IF(AND(AN40="L",AO40&gt;0),$AC$40,0)+IF(AND(AN41="L",AO41&gt;0),$AC$41,0)+IF(AND(AN42="L",AO42&gt;0),$AC$42,0)+IF(AND(AN43="L",AO43&gt;0),$AC$43,0)+IF(AND(AN44="L",AO44&gt;0),$AC$44,0)+IF(AND(AN45="L",AO45&gt;0),$AC$45,0)</f>
        <v>0</v>
      </c>
      <c r="AU46" s="264">
        <f>IF(AND(AT16="L",AU16&gt;0),$AQ$16,0)+IF(AND(AT17="L",AU17&gt;0),$AQ$17,0)+IF(AND(AT18="L",AU18&gt;0),$AQ$18,0)+IF(AND(AT19="L",AU19&gt;0),$AQ$19,0)+IF(AND(AT20="L",AU20&gt;0),$AQ$20,0)+IF(AND(AT21="L",AU21&gt;0),$AQ$21,0)+IF(AND(AT22="L",AU22&gt;0),$AQ$22,0)+IF(AND(AT23="L",AU23&gt;0),$AQ$23,0)+IF(AND(AT24="L",AU24&gt;0),$AQ$24,0)+IF(AND(AT25="L",AU25&gt;0),$AQ$25,0)+IF(AND(AT26="L",AU26&gt;0),$AQ$26,0)+IF(AND(AT27="L",AU27&gt;0),$AQ$27,0)+IF(AND(AT28="L",AU28&gt;0),$AQ$28,0)+IF(AND(AT29="L",AU29&gt;0),$AQ$29,0)+IF(AND(AT30="L",AU30&gt;0),$AQ$30,0)+IF(AND(AT31="L",AU31&gt;0),$AQ$31,0)+IF(AND(AT32="L",AU32&gt;0),$AQ$32,0)+IF(AND(AT33="L",AU33&gt;0),$AQ$33,0)+IF(AND(AT34="L",AU34&gt;0),$AQ$34,0)+IF(AND(AT35="L",AU35&gt;0),$AQ$35,0)+IF(AND(AT36="L",AU36&gt;0),$AQ$36,0)+IF(AND(AT37="L",AU37&gt;0),$AQ$37,0)+IF(AND(AT38="L",AU38&gt;0),$AQ$38,0)+IF(AND(AT39="L",AU39&gt;0),$AQ$39,0)+IF(AND(AT40="L",AU40&gt;0),$AQ$40,0)+IF(AND(AT41="L",AU41&gt;0),$AQ$41,0)+IF(AND(AT42="L",AU42&gt;0),$AQ$42,0)+IF(AND(AT43="L",AU43&gt;0),$AQ$43,0)+IF(AND(AT44="L",AU44&gt;0),$AQ$44,0)+IF(AND(AT45="L",AU45&gt;0),$AQ$45,0)</f>
        <v>0</v>
      </c>
      <c r="AV46" s="264">
        <f t="shared" ref="AV46:BB46" si="19">IF(AND(AU16="L",AV16&gt;0),$AQ$16,0)+IF(AND(AU17="L",AV17&gt;0),$AQ$17,0)+IF(AND(AU18="L",AV18&gt;0),$AQ$18,0)+IF(AND(AU19="L",AV19&gt;0),$AQ$19,0)+IF(AND(AU20="L",AV20&gt;0),$AQ$20,0)+IF(AND(AU21="L",AV21&gt;0),$AQ$21,0)+IF(AND(AU22="L",AV22&gt;0),$AQ$22,0)+IF(AND(AU23="L",AV23&gt;0),$AQ$23,0)+IF(AND(AU24="L",AV24&gt;0),$AQ$24,0)+IF(AND(AU25="L",AV25&gt;0),$AQ$25,0)+IF(AND(AU26="L",AV26&gt;0),$AQ$26,0)+IF(AND(AU27="L",AV27&gt;0),$AQ$27,0)+IF(AND(AU28="L",AV28&gt;0),$AQ$28,0)+IF(AND(AU29="L",AV29&gt;0),$AQ$29,0)+IF(AND(AU30="L",AV30&gt;0),$AQ$30,0)+IF(AND(AU31="L",AV31&gt;0),$AQ$31,0)+IF(AND(AU32="L",AV32&gt;0),$AQ$32,0)+IF(AND(AU33="L",AV33&gt;0),$AQ$33,0)+IF(AND(AU34="L",AV34&gt;0),$AQ$34,0)+IF(AND(AU35="L",AV35&gt;0),$AQ$35,0)+IF(AND(AU36="L",AV36&gt;0),$AQ$36,0)+IF(AND(AU37="L",AV37&gt;0),$AQ$37,0)+IF(AND(AU38="L",AV38&gt;0),$AQ$38,0)+IF(AND(AU39="L",AV39&gt;0),$AQ$39,0)+IF(AND(AU40="L",AV40&gt;0),$AQ$40,0)+IF(AND(AU41="L",AV41&gt;0),$AQ$41,0)+IF(AND(AU42="L",AV42&gt;0),$AQ$42,0)+IF(AND(AU43="L",AV43&gt;0),$AQ$43,0)+IF(AND(AU44="L",AV44&gt;0),$AQ$44,0)+IF(AND(AU45="L",AV45&gt;0),$AQ$45,0)</f>
        <v>0</v>
      </c>
      <c r="AW46" s="264">
        <f t="shared" si="19"/>
        <v>0</v>
      </c>
      <c r="AX46" s="264">
        <f t="shared" si="19"/>
        <v>0</v>
      </c>
      <c r="AY46" s="264">
        <f t="shared" si="19"/>
        <v>0</v>
      </c>
      <c r="AZ46" s="264">
        <f t="shared" si="19"/>
        <v>0</v>
      </c>
      <c r="BA46" s="264">
        <f t="shared" si="19"/>
        <v>0</v>
      </c>
      <c r="BB46" s="264">
        <f t="shared" si="19"/>
        <v>0</v>
      </c>
      <c r="BC46" s="264">
        <f>IF(AND(BB16="L",BC16&gt;0),$AQ$16,0)+IF(AND(BB17="L",BC17&gt;0),$AQ$17,0)+IF(AND(BB18="L",BC18&gt;0),$AQ$18,0)+IF(AND(BB19="L",BC19&gt;0),$AQ$19,0)+IF(AND(BB20="L",BC20&gt;0),$AQ$20,0)+IF(AND(BB21="L",BC21&gt;0),$AQ$21,0)+IF(AND(BB22="L",BC22&gt;0),$AQ$22,0)+IF(AND(BB23="L",BC23&gt;0),$AQ$23,0)+IF(AND(BB24="L",BC24&gt;0),$AQ$24,0)+IF(AND(BB25="L",BC25&gt;0),$AQ$25,0)+IF(AND(BB26="L",BC26&gt;0),$AQ$26,0)+IF(AND(BB27="L",BC27&gt;0),$AQ$27,0)+IF(AND(BB28="L",BC28&gt;0),$AQ$28,0)+IF(AND(BB29="L",BC29&gt;0),$AQ$29,0)+IF(AND(BB30="L",BC30&gt;0),$AQ$30,0)+IF(AND(BB31="L",BC31&gt;0),$AQ$31,0)+IF(AND(BB32="L",BC32&gt;0),$AQ$32,0)+IF(AND(BB33="L",BC33&gt;0),$AQ$33,0)+IF(AND(BB34="L",BC34&gt;0),$AQ$34,0)+IF(AND(BB35="L",BC35&gt;0),$AQ$35,0)+IF(AND(BB36="L",BC36&gt;0),$AQ$36,0)+IF(AND(BB37="L",BC37&gt;0),$AQ$37,0)+IF(AND(BB38="L",BC38&gt;0),$AQ$38,0)+IF(AND(BB39="L",BC39&gt;0),$AQ$39,0)+IF(AND(BB40="L",BC40&gt;0),$AQ$40,0)+IF(AND(BB41="L",BC41&gt;0),$AQ$41,0)+IF(AND(BB42="L",BC42&gt;0),$AQ$42,0)+IF(AND(BB43="L",BC43&gt;0),$AQ$43,0)+IF(AND(BB44="L",BC44&gt;0),$AQ$44,0)+IF(AND(BB45="L",BC45&gt;0),$AQ$45,0)</f>
        <v>0</v>
      </c>
      <c r="BD46" s="476">
        <f>SUM(E46:BC46)</f>
        <v>0.80208333333333326</v>
      </c>
    </row>
    <row r="47" spans="1:56" ht="33" hidden="1" customHeight="1">
      <c r="A47" s="971" t="s">
        <v>457</v>
      </c>
      <c r="B47" s="972"/>
      <c r="C47" s="972"/>
      <c r="D47" s="972"/>
      <c r="E47" s="264">
        <f>IF(AND(D16="E",E16&gt;0),A16,0)+IF(AND(D17="E",E17&gt;0),A17,0)+IF(AND(D18="E",E18&gt;0),A18,0)+IF(AND(D19="E",E19&gt;0),A19,0)+IF(AND(D20="E",E20&gt;0),A20,0)+IF(AND(D21="E",E21&gt;0),A21,0)+IF(AND(D22="E",E22&gt;0),A22,0)+IF(AND(D23="E",E23&gt;0),A23,0)+IF(AND(D24="E",E24&gt;0),A24,0)+IF(AND(D25="E",E25&gt;0),A25,0)+IF(AND(D26="E",E26&gt;0),A26,0)+IF(AND(D27="E",E27&gt;0),A27,0)+IF(AND(D28="E",E28&gt;0),A28,0)+IF(AND(D29="E",E29&gt;0),A29,0)+IF(AND(D30="E",E30&gt;0),A30,0)+IF(AND(D31="E",E31&gt;0),A31,0)+IF(AND(D32="E",E32&gt;0),A32,0)+IF(AND(D33="E",E33&gt;0),A33,0)+IF(AND(D34="E",E34&gt;0),A34,0)+IF(AND(D35="E",E35&gt;0),A35,0)+IF(AND(D36="E",E36&gt;0),A36,0)+IF(AND(D37="E",E37&gt;0),A37,0)+IF(AND(D38="E",E38&gt;0),A38,0)+IF(AND(D39="E",E39&gt;0),A39,0)+IF(AND(D40="E",E40&gt;0),A40,0)+IF(AND(D41="E",E41&gt;0),A41,0)+IF(AND(D42="E",E42&gt;0),A42,0)+IF(AND(D43="E",E43&gt;0),A43,0)+IF(AND(D44="E",E44&gt;0),A44,0)+IF(AND(D45="E",E45&gt;0),A45,0)</f>
        <v>7.9861111111111105E-2</v>
      </c>
      <c r="F47" s="264">
        <f t="shared" ref="F47:M47" si="20">IF(AND(E16="E",F16&gt;0),$A$16,0)+IF(AND(E17="E",F17&gt;0),$A$17,0)+IF(AND(E18="E",F18&gt;0),$A$18,0)+IF(AND(E19="E",F19&gt;0),$A$19,0)+IF(AND(E20="E",F20&gt;0),$A$20,0)+IF(AND(E21="E",F21&gt;0),$A$21,0)+IF(AND(E22="E",F22&gt;0),$A$22,0)+IF(AND(E23="E",F23&gt;0),$A$23,0)+IF(AND(E24="E",F24&gt;0),$A$24,0)+IF(AND(E25="E",F25&gt;0),$A$25,0)+IF(AND(E26="E",F26&gt;0),$A$26,0)+IF(AND(E27="E",F27&gt;0),$A$27,0)+IF(AND(E28="E",F28&gt;0),$A$28,0)+IF(AND(E29="E",F29&gt;0),$A$29,0)+IF(AND(E30="E",F30&gt;0),$A$30,0)+IF(AND(E31="E",F31&gt;0),$A$31,0)+IF(AND(E32="E",F32&gt;0),$A$32,0)+IF(AND(E33="E",F33&gt;0),$A$33,0)+IF(AND(E34="E",F34&gt;0),$A$34,0)+IF(AND(E35="E",F35&gt;0),$A$35,0)+IF(AND(E36="E",F36&gt;0),$A$36,0)+IF(AND(E37="E",F37&gt;0),$A$37,0)+IF(AND(E38="E",F38&gt;0),$A$38,0)+IF(AND(E39="E",F39&gt;0),$A$39,0)+IF(AND(E40="E",F40&gt;0),$A$40,0)+IF(AND(E41="E",F41&gt;0),$A$41,0)+IF(AND(E42="E",F42&gt;0),$A$42,0)+IF(AND(E43="E",F43&gt;0),$A$43,0)+IF(AND(E44="E",F44&gt;0),$A$44,0)+IF(AND(E45="E",F45&gt;0),$A$45,0)</f>
        <v>0</v>
      </c>
      <c r="G47" s="264">
        <f t="shared" si="20"/>
        <v>7.9861111111111105E-2</v>
      </c>
      <c r="H47" s="264">
        <f t="shared" si="20"/>
        <v>0</v>
      </c>
      <c r="I47" s="264">
        <f t="shared" si="20"/>
        <v>5.2083333333333329E-2</v>
      </c>
      <c r="J47" s="264">
        <f t="shared" si="20"/>
        <v>0</v>
      </c>
      <c r="K47" s="264">
        <f t="shared" si="20"/>
        <v>4.1666666666666664E-2</v>
      </c>
      <c r="L47" s="264">
        <f t="shared" si="20"/>
        <v>0</v>
      </c>
      <c r="M47" s="264">
        <f t="shared" si="20"/>
        <v>4.1666666666666664E-2</v>
      </c>
      <c r="N47" s="609"/>
      <c r="O47" s="264"/>
      <c r="P47" s="264"/>
      <c r="Q47" s="264"/>
      <c r="R47" s="264"/>
      <c r="S47" s="264">
        <f>IF(AND(R16="E",S16&gt;0),$O$16,0)+IF(AND(R17="E",S17&gt;0),$O$17,0)+IF(AND(R18="E",S18&gt;0),$O$18,0)+IF(AND(R19="E",S19&gt;0),$O$19,0)+IF(AND(R20="E",S20&gt;0),$O$20,0)+IF(AND(R21="E",S21&gt;0),$O$21,0)+IF(AND(R22="E",S22&gt;0),$O$22,0)+IF(AND(R23="E",S23&gt;0),$O$23,0)+IF(AND(R24="E",S24&gt;0),$O$24,0)+IF(AND(R25="E",S25&gt;0),$O$25,0)+IF(AND(R26="E",S26&gt;0),$O$26,0)+IF(AND(R27="E",S27&gt;0),$O$27,0)+IF(AND(R28="E",S28&gt;0),$O$28,0)+IF(AND(R29="E",S29&gt;0),$O$29,0)+IF(AND(R30="E",S30&gt;0),$O$30,0)+IF(AND(R31="E",S31&gt;0),$O$31,0)+IF(AND(R32="E",S32&gt;0),$O$32,0)+IF(AND(R33="E",S33&gt;0),$O$33,0)+IF(AND(R34="E",S34&gt;0),$O$34,0)+IF(AND(R35="E",S35&gt;0),$O$35,0)+IF(AND(R36="E",S36&gt;0),$O$36,0)+IF(AND(R37="E",S37&gt;0),$O$37,0)+IF(AND(R38="E",S38&gt;0),$O$38,0)+IF(AND(R39="E",S39&gt;0),$O$39,0)+IF(AND(R40="E",S40&gt;0),$O$40,0)+IF(AND(R41="E",S41&gt;0),$O$41,0)+IF(AND(R42="E",S42&gt;0),$O$42,0)+IF(AND(R43="E",S43&gt;0),$O$43,0)+IF(AND(R44="E",S44&gt;0),$O$44,0)+IF(AND(R45="E",S45&gt;0),$O$45,0)</f>
        <v>0</v>
      </c>
      <c r="T47" s="264">
        <f t="shared" ref="T47:Z47" si="21">IF(AND(S16="E",T16&gt;0),$O$16,0)+IF(AND(S17="E",T17&gt;0),$O$17,0)+IF(AND(S18="E",T18&gt;0),$O$18,0)+IF(AND(S19="E",T19&gt;0),$O$19,0)+IF(AND(S20="E",T20&gt;0),$O$20,0)+IF(AND(S21="E",T21&gt;0),$O$21,0)+IF(AND(S22="E",T22&gt;0),$O$22,0)+IF(AND(S23="E",T23&gt;0),$O$23,0)+IF(AND(S24="E",T24&gt;0),$O$24,0)+IF(AND(S25="E",T25&gt;0),$O$25,0)+IF(AND(S26="E",T26&gt;0),$O$26,0)+IF(AND(S27="E",T27&gt;0),$O$27,0)+IF(AND(S28="E",T28&gt;0),$O$28,0)+IF(AND(S29="E",T29&gt;0),$O$29,0)+IF(AND(S30="E",T30&gt;0),$O$30,0)+IF(AND(S31="E",T31&gt;0),$O$31,0)+IF(AND(S32="E",T32&gt;0),$O$32,0)+IF(AND(S33="E",T33&gt;0),$O$33,0)+IF(AND(S34="E",T34&gt;0),$O$34,0)+IF(AND(S35="E",T35&gt;0),$O$35,0)+IF(AND(S36="E",T36&gt;0),$O$36,0)+IF(AND(S37="E",T37&gt;0),$O$37,0)+IF(AND(S38="E",T38&gt;0),$O$38,0)+IF(AND(S39="E",T39&gt;0),$O$39,0)+IF(AND(S40="E",T40&gt;0),$O$40,0)+IF(AND(S41="E",T41&gt;0),$O$41,0)+IF(AND(S42="E",T42&gt;0),$O$42,0)+IF(AND(S43="E",T43&gt;0),$O$43,0)+IF(AND(S44="E",T44&gt;0),$O$44,0)+IF(AND(S45="E",T45&gt;0),$O$45,0)</f>
        <v>0</v>
      </c>
      <c r="U47" s="264">
        <f t="shared" si="21"/>
        <v>0</v>
      </c>
      <c r="V47" s="264">
        <f t="shared" si="21"/>
        <v>0</v>
      </c>
      <c r="W47" s="264">
        <f t="shared" si="21"/>
        <v>0</v>
      </c>
      <c r="X47" s="264">
        <f t="shared" si="21"/>
        <v>0</v>
      </c>
      <c r="Y47" s="264">
        <f t="shared" si="21"/>
        <v>0</v>
      </c>
      <c r="Z47" s="264">
        <f t="shared" si="21"/>
        <v>0</v>
      </c>
      <c r="AA47" s="264">
        <f>IF(AND(Z16="E",AA16&gt;0),$O$16,0)+IF(AND(Z17="E",AA17&gt;0),$O$17,0)+IF(AND(Z18="E",AA18&gt;0),$O$18,0)+IF(AND(Z19="E",AA19&gt;0),$O$19,0)+IF(AND(Z20="E",AA20&gt;0),$O$20,0)+IF(AND(Z21="E",AA21&gt;0),$O$21,0)+IF(AND(Z22="E",AA22&gt;0),$O$22,0)+IF(AND(Z23="E",AA23&gt;0),$O$23,0)+IF(AND(Z24="E",AA24&gt;0),$O$24,0)+IF(AND(Z25="E",AA25&gt;0),$O$25,0)+IF(AND(Z26="E",AA26&gt;0),$O$26,0)+IF(AND(Z27="E",AA27&gt;0),$O$27,0)+IF(AND(Z28="E",AA28&gt;0),$O$28,0)+IF(AND(Z29="E",AA29&gt;0),$O$29,0)+IF(AND(Z30="E",AA30&gt;0),$O$30,0)+IF(AND(Z31="E",AA31&gt;0),$O$31,0)+IF(AND(Z32="E",AA32&gt;0),$O$32,0)+IF(AND(Z33="E",AA33&gt;0),$O$33,0)+IF(AND(Z34="E",AA34&gt;0),$O$34,0)+IF(AND(Z35="E",AA35&gt;0),$O$35,0)+IF(AND(Z36="E",AA36&gt;0),$O$36,0)+IF(AND(Z37="E",AA37&gt;0),$O$37,0)+IF(AND(Z38="E",AA38&gt;0),$O$38,0)+IF(AND(Z39="E",AA39&gt;0),$O$39,0)+IF(AND(Z40="E",AA40&gt;0),$O$40,0)+IF(AND(Z41="E",AA41&gt;0),$O$41,0)+IF(AND(Z42="E",AA42&gt;0),$O$42,0)+IF(AND(Z43="E",AA43&gt;0),$O$43,0)+IF(AND(Z44="E",AA44&gt;0),$O$44,0)+IF(AND(Z45="E",AA45&gt;0),$O$45,0)</f>
        <v>0</v>
      </c>
      <c r="AB47" s="264"/>
      <c r="AC47" s="264"/>
      <c r="AE47" s="609"/>
      <c r="AF47" s="609"/>
      <c r="AG47" s="264">
        <f>IF(AND(AF16="E",AG16&gt;0),$AC$16,0)+IF(AND(AF17="E",AG17&gt;0),$AC$17,0)+IF(AND(AF18="E",AG18&gt;0),$AC$18,0)+IF(AND(AF19="E",AG19&gt;0),$AC$19,0)+IF(AND(AF20="E",AG20&gt;0),$AC$20,0)+IF(AND(AF21="E",AG21&gt;0),$AC$21,0)+IF(AND(AF22="E",AG22&gt;0),$AC$22,0)+IF(AND(AF23="E",AG23&gt;0),$AC$23,0)+IF(AND(AF24="E",AG24&gt;0),$AC$24,0)+IF(AND(AF25="E",AG25&gt;0),$AC$25,0)+IF(AND(AF26="E",AG26&gt;0),$AC$26,0)+IF(AND(AF27="E",AG27&gt;0),$AC$27,0)+IF(AND(AF28="E",AG28&gt;0),$AC$28,0)+IF(AND(AF29="E",AG29&gt;0),$AC$29,0)+IF(AND(AF30="E",AG30&gt;0),$AC$30,0)+IF(AND(AF31="E",AG31&gt;0),$AC$31,0)+IF(AND(AF32="E",AG32&gt;0),$AC$32,0)+IF(AND(AF33="E",AG33&gt;0),$AC$33,0)+IF(AND(AF34="E",AG34&gt;0),$AC$34,0)+IF(AND(AF35="E",AG35&gt;0),$AC$35,0)+IF(AND(AF36="E",AG36&gt;0),$AC$36,0)+IF(AND(AF37="E",AG37&gt;0),$AC$37,0)+IF(AND(AF38="E",AG38&gt;0),$AC$38,0)+IF(AND(AF39="E",AG39&gt;0),$AC$39,0)+IF(AND(AF40="E",AG40&gt;0),$AC$40,0)+IF(AND(AF41="E",AG41&gt;0),$AC$41,0)+IF(AND(AF42="E",AG42&gt;0),$AC$42,0)+IF(AND(AF43="E",AG43&gt;0),$AC$43,0)+IF(AND(AF44="E",AG44&gt;0),$AC$44,0)+IF(AND(AF45="E",AG45&gt;0),$AC$45,0)</f>
        <v>0</v>
      </c>
      <c r="AH47" s="264">
        <f t="shared" ref="AH47:AN47" si="22">IF(AND(AG16="E",AH16&gt;0),$AC$16,0)+IF(AND(AG17="E",AH17&gt;0),$AC$17,0)+IF(AND(AG18="E",AH18&gt;0),$AC$18,0)+IF(AND(AG19="E",AH19&gt;0),$AC$19,0)+IF(AND(AG20="E",AH20&gt;0),$AC$20,0)+IF(AND(AG21="E",AH21&gt;0),$AC$21,0)+IF(AND(AG22="E",AH22&gt;0),$AC$22,0)+IF(AND(AG23="E",AH23&gt;0),$AC$23,0)+IF(AND(AG24="E",AH24&gt;0),$AC$24,0)+IF(AND(AG25="E",AH25&gt;0),$AC$25,0)+IF(AND(AG26="E",AH26&gt;0),$AC$26,0)+IF(AND(AG27="E",AH27&gt;0),$AC$27,0)+IF(AND(AG28="E",AH28&gt;0),$AC$28,0)+IF(AND(AG29="E",AH29&gt;0),$AC$29,0)+IF(AND(AG30="E",AH30&gt;0),$AC$30,0)+IF(AND(AG31="E",AH31&gt;0),$AC$31,0)+IF(AND(AG32="E",AH32&gt;0),$AC$32,0)+IF(AND(AG33="E",AH33&gt;0),$AC$33,0)+IF(AND(AG34="E",AH34&gt;0),$AC$34,0)+IF(AND(AG35="E",AH35&gt;0),$AC$35,0)+IF(AND(AG36="E",AH36&gt;0),$AC$36,0)+IF(AND(AG37="E",AH37&gt;0),$AC$37,0)+IF(AND(AG38="E",AH38&gt;0),$AC$38,0)+IF(AND(AG39="E",AH39&gt;0),$AC$39,0)+IF(AND(AG40="E",AH40&gt;0),$AC$40,0)+IF(AND(AG41="E",AH41&gt;0),$AC$41,0)+IF(AND(AG42="E",AH42&gt;0),$AC$42,0)+IF(AND(AG43="E",AH43&gt;0),$AC$43,0)+IF(AND(AG44="E",AH44&gt;0),$AC$44,0)+IF(AND(AG45="E",AH45&gt;0),$AC$45,0)</f>
        <v>0</v>
      </c>
      <c r="AI47" s="264">
        <f t="shared" si="22"/>
        <v>0</v>
      </c>
      <c r="AJ47" s="264">
        <f t="shared" si="22"/>
        <v>0</v>
      </c>
      <c r="AK47" s="264">
        <f>IF(AND(AJ16="E",AK16&gt;0),$AC$16,0)+IF(AND(AJ17="E",AK17&gt;0),$AC$17,0)+IF(AND(AJ18="E",AK18&gt;0),$AC$18,0)+IF(AND(AJ19="E",AK19&gt;0),$AC$19,0)+IF(AND(AJ20="E",AK20&gt;0),$AC$20,0)+IF(AND(AJ21="E",AK21&gt;0),$AC$21,0)+IF(AND(AJ22="E",AK22&gt;0),$AC$22,0)+IF(AND(AJ23="E",AK23&gt;0),$AC$23,0)+IF(AND(AJ24="E",AK24&gt;0),$AC$24,0)+IF(AND(AJ25="E",AK25&gt;0),$AC$25,0)+IF(AND(AJ26="E",AK26&gt;0),$AC$26,0)+IF(AND(AJ27="E",AK27&gt;0),$AC$27,0)+IF(AND(AJ28="E",AK28&gt;0),$AC$28,0)+IF(AND(AJ29="E",AK29&gt;0),$AC$29,0)+IF(AND(AJ30="E",AK30&gt;0),$AC$30,0)+IF(AND(AJ31="E",AK31&gt;0),$AC$31,0)+IF(AND(AJ32="E",AK32&gt;0),$AC$32,0)+IF(AND(AJ33="E",AK33&gt;0),$AC$33,0)+IF(AND(AJ34="E",AK34&gt;0),$AC$34,0)+IF(AND(AJ35="E",AK35&gt;0),$AC$35,0)+IF(AND(AJ36="E",AK36&gt;0),$AC$36,0)+IF(AND(AJ37="E",AK37&gt;0),$AC$37,0)+IF(AND(AJ38="E",AK38&gt;0),$AC$38,0)+IF(AND(AJ39="E",AK39&gt;0),$AC$39,0)+IF(AND(AJ40="E",AK40&gt;0),$AC$40,0)+IF(AND(AJ41="E",AK41&gt;0),$AC$41,0)+IF(AND(AJ42="E",AK42&gt;0),$AC$42,0)+IF(AND(AJ43="E",AK43&gt;0),$AC$43,0)+IF(AND(AJ44="E",AK44&gt;0),$AC$44,0)+IF(AND(AJ45="E",AK45&gt;0),$AC$45,0)</f>
        <v>0</v>
      </c>
      <c r="AL47" s="264">
        <f t="shared" si="22"/>
        <v>0</v>
      </c>
      <c r="AM47" s="264">
        <f t="shared" si="22"/>
        <v>0</v>
      </c>
      <c r="AN47" s="264">
        <f t="shared" si="22"/>
        <v>0</v>
      </c>
      <c r="AO47" s="264">
        <f>IF(AND(AN16="E",AO16&gt;0),$AC$16,0)+IF(AND(AN17="E",AO17&gt;0),$AC$17,0)+IF(AND(AN18="E",AO18&gt;0),$AC$18,0)+IF(AND(AN19="E",AO19&gt;0),$AC$19,0)+IF(AND(AN20="E",AO20&gt;0),$AC$20,0)+IF(AND(AN21="E",AO21&gt;0),$AC$21,0)+IF(AND(AN22="E",AO22&gt;0),$AC$22,0)+IF(AND(AN23="E",AO23&gt;0),$AC$23,0)+IF(AND(AN24="E",AO24&gt;0),$AC$24,0)+IF(AND(AN25="E",AO25&gt;0),$AC$25,0)+IF(AND(AN26="E",AO26&gt;0),$AC$26,0)+IF(AND(AN27="E",AO27&gt;0),$AC$27,0)+IF(AND(AN28="E",AO28&gt;0),$AC$28,0)+IF(AND(AN29="E",AO29&gt;0),$AC$29,0)+IF(AND(AN30="E",AO30&gt;0),$AC$30,0)+IF(AND(AN31="E",AO31&gt;0),$AC$31,0)+IF(AND(AN32="E",AO32&gt;0),$AC$32,0)+IF(AND(AN33="E",AO33&gt;0),$AC$33,0)+IF(AND(AN34="E",AO34&gt;0),$AC$34,0)+IF(AND(AN35="E",AO35&gt;0),$AC$35,0)+IF(AND(AN36="E",AO36&gt;0),$AC$36,0)+IF(AND(AN37="E",AO37&gt;0),$AC$37,0)+IF(AND(AN38="E",AO38&gt;0),$AC$38,0)+IF(AND(AN39="E",AO39&gt;0),$AC$39,0)+IF(AND(AN40="E",AO40&gt;0),$AC$40,0)+IF(AND(AN41="E",AO41&gt;0),$AC$41,0)+IF(AND(AN42="E",AO42&gt;0),$AC$42,0)+IF(AND(AN43="E",AO43&gt;0),$AC$43,0)+IF(AND(AN44="E",AO44&gt;0),$AC$44,0)+IF(AND(AN45="E",AO45&gt;0),$AC$45,0)</f>
        <v>0</v>
      </c>
      <c r="AU47" s="264">
        <f>IF(AND(AT16="E",AU16&gt;0),$AQ$16,0)+IF(AND(AT17="E",AU17&gt;0),$AQ$17,0)+IF(AND(AT18="E",AU18&gt;0),$AQ$18,0)+IF(AND(AT19="E",AU19&gt;0),$AQ$19,0)+IF(AND(AT20="E",AU20&gt;0),$AQ$20,0)+IF(AND(AT21="E",AU21&gt;0),$AQ$21,0)+IF(AND(AT22="E",AU22&gt;0),$AQ$22,0)+IF(AND(AT23="E",AU23&gt;0),$AQ$23,0)+IF(AND(AT24="E",AU24&gt;0),$AQ$24,0)+IF(AND(AT25="E",AU25&gt;0),$AQ$25,0)+IF(AND(AT26="E",AU26&gt;0),$AQ$26,0)+IF(AND(AT27="E",AU27&gt;0),$AQ$27,0)+IF(AND(AT28="E",AU28&gt;0),$AQ$28,0)+IF(AND(AT29="E",AU29&gt;0),$AQ$29,0)+IF(AND(AT30="E",AU30&gt;0),$AQ$30,0)+IF(AND(AT31="E",AU31&gt;0),$AQ$31,0)+IF(AND(AT32="E",AU32&gt;0),$AQ$32,0)+IF(AND(AT33="E",AU33&gt;0),$AQ$33,0)+IF(AND(AT34="E",AU34&gt;0),$AQ$34,0)+IF(AND(AT35="E",AU35&gt;0),$AQ$35,0)+IF(AND(AT36="E",AU36&gt;0),$AQ$36,0)+IF(AND(AT37="E",AU37&gt;0),$AQ$37,0)+IF(AND(AT38="E",AU38&gt;0),$AQ$38,0)+IF(AND(AT39="E",AU39&gt;0),$AQ$39,0)+IF(AND(AT40="E",AU40&gt;0),$AQ$40,0)+IF(AND(AT41="E",AU41&gt;0),$AQ$41,0)+IF(AND(AT42="E",AU42&gt;0),$AQ$42,0)+IF(AND(AT43="E",AU43&gt;0),$AQ$43,0)+IF(AND(AT44="E",AU44&gt;0),$AQ$44,0)+IF(AND(AT45="E",AU45&gt;0),$AQ$45,0)</f>
        <v>0</v>
      </c>
      <c r="AV47" s="264">
        <f t="shared" ref="AV47:BB47" si="23">IF(AND(AU16="E",AV16&gt;0),$AQ$16,0)+IF(AND(AU17="E",AV17&gt;0),$AQ$17,0)+IF(AND(AU18="E",AV18&gt;0),$AQ$18,0)+IF(AND(AU19="E",AV19&gt;0),$AQ$19,0)+IF(AND(AU20="E",AV20&gt;0),$AQ$20,0)+IF(AND(AU21="E",AV21&gt;0),$AQ$21,0)+IF(AND(AU22="E",AV22&gt;0),$AQ$22,0)+IF(AND(AU23="E",AV23&gt;0),$AQ$23,0)+IF(AND(AU24="E",AV24&gt;0),$AQ$24,0)+IF(AND(AU25="E",AV25&gt;0),$AQ$25,0)+IF(AND(AU26="E",AV26&gt;0),$AQ$26,0)+IF(AND(AU27="E",AV27&gt;0),$AQ$27,0)+IF(AND(AU28="E",AV28&gt;0),$AQ$28,0)+IF(AND(AU29="E",AV29&gt;0),$AQ$29,0)+IF(AND(AU30="E",AV30&gt;0),$AQ$30,0)+IF(AND(AU31="E",AV31&gt;0),$AQ$31,0)+IF(AND(AU32="E",AV32&gt;0),$AQ$32,0)+IF(AND(AU33="E",AV33&gt;0),$AQ$33,0)+IF(AND(AU34="E",AV34&gt;0),$AQ$34,0)+IF(AND(AU35="E",AV35&gt;0),$AQ$35,0)+IF(AND(AU36="E",AV36&gt;0),$AQ$36,0)+IF(AND(AU37="E",AV37&gt;0),$AQ$37,0)+IF(AND(AU38="E",AV38&gt;0),$AQ$38,0)+IF(AND(AU39="E",AV39&gt;0),$AQ$39,0)+IF(AND(AU40="E",AV40&gt;0),$AQ$40,0)+IF(AND(AU41="E",AV41&gt;0),$AQ$41,0)+IF(AND(AU42="E",AV42&gt;0),$AQ$42,0)+IF(AND(AU43="E",AV43&gt;0),$AQ$43,0)+IF(AND(AU44="E",AV44&gt;0),$AQ$44,0)+IF(AND(AU45="E",AV45&gt;0),$AQ$45,0)</f>
        <v>0</v>
      </c>
      <c r="AW47" s="264">
        <f t="shared" si="23"/>
        <v>0</v>
      </c>
      <c r="AX47" s="264">
        <f t="shared" si="23"/>
        <v>0</v>
      </c>
      <c r="AY47" s="264">
        <f t="shared" si="23"/>
        <v>0</v>
      </c>
      <c r="AZ47" s="264">
        <f t="shared" si="23"/>
        <v>0</v>
      </c>
      <c r="BA47" s="264">
        <f t="shared" si="23"/>
        <v>0</v>
      </c>
      <c r="BB47" s="264">
        <f t="shared" si="23"/>
        <v>0</v>
      </c>
      <c r="BC47" s="264">
        <f>IF(AND(BB16="E",BC16&gt;0),$AQ$16,0)+IF(AND(BB17="E",BC17&gt;0),$AQ$17,0)+IF(AND(BB18="E",BC18&gt;0),$AQ$18,0)+IF(AND(BB19="E",BC19&gt;0),$AQ$19,0)+IF(AND(BB20="E",BC20&gt;0),$AQ$20,0)+IF(AND(BB21="E",BC21&gt;0),$AQ$21,0)+IF(AND(BB22="E",BC22&gt;0),$AQ$22,0)+IF(AND(BB23="E",BC23&gt;0),$AQ$23,0)+IF(AND(BB24="E",BC24&gt;0),$AQ$24,0)+IF(AND(BB25="E",BC25&gt;0),$AQ$25,0)+IF(AND(BB26="E",BC26&gt;0),$AQ$26,0)+IF(AND(BB27="E",BC27&gt;0),$AQ$27,0)+IF(AND(BB28="E",BC28&gt;0),$AQ$28,0)+IF(AND(BB29="E",BC29&gt;0),$AQ$29,0)+IF(AND(BB30="E",BC30&gt;0),$AQ$30,0)+IF(AND(BB31="E",BC31&gt;0),$AQ$31,0)+IF(AND(BB32="E",BC32&gt;0),$AQ$32,0)+IF(AND(BB33="E",BC33&gt;0),$AQ$33,0)+IF(AND(BB34="E",BC34&gt;0),$AQ$34,0)+IF(AND(BB35="E",BC35&gt;0),$AQ$35,0)+IF(AND(BB36="E",BC36&gt;0),$AQ$36,0)+IF(AND(BB37="E",BC37&gt;0),$AQ$37,0)+IF(AND(BB38="E",BC38&gt;0),$AQ$38,0)+IF(AND(BB39="E",BC39&gt;0),$AQ$39,0)+IF(AND(BB40="E",BC40&gt;0),$AQ$40,0)+IF(AND(BB41="E",BC41&gt;0),$AQ$41,0)+IF(AND(BB42="E",BC42&gt;0),$AQ$42,0)+IF(AND(BB43="E",BC43&gt;0),$AQ$43,0)+IF(AND(BB44="E",BC44&gt;0),$AQ$44,0)+IF(AND(BB45="E",BC45&gt;0),$AQ$45,0)</f>
        <v>0</v>
      </c>
    </row>
    <row r="48" spans="1:56" ht="33" hidden="1" customHeight="1">
      <c r="A48" s="969" t="str">
        <f>"Antal ugedage der læses "&amp;A10&amp;":"</f>
        <v>Antal ugedage der læses Skema 1 vedr. Beate Simonsen:</v>
      </c>
      <c r="B48" s="970"/>
      <c r="C48" s="970"/>
      <c r="D48" s="970"/>
      <c r="E48" s="216">
        <f>August!$G$69+September!$G$68+Oktober!$G$69+November!$G$68+December!$G$69+Januar!$G$69+Februar!$G$67+Marts!$G$69+April!$G$68+Maj!$G$69+Juni!$G$68+Juli!$G$69</f>
        <v>33</v>
      </c>
      <c r="F48" s="216"/>
      <c r="G48" s="216">
        <f>August!$G$70+September!$G$69+Oktober!$G$70+November!$G$69+December!$G$70+Januar!$G$70+Februar!$G$68+Marts!$G$70+April!$G$69+Maj!$G$70+Juni!$G$69+Juli!$G$70</f>
        <v>34</v>
      </c>
      <c r="H48" s="216"/>
      <c r="I48" s="216">
        <f>August!$G$71+September!$G$70+Oktober!$G$71+November!$G$70+December!$G$71+Januar!$G$71+Februar!$G$69+Marts!$G$71+April!$G$70+Maj!$G$71+Juni!$G$70+Juli!$G$71</f>
        <v>37</v>
      </c>
      <c r="K48" s="217">
        <f>August!$G$72+September!$G$71+Oktober!$G$72+November!$G$71+December!$G$72+Januar!$G$72+Februar!$G$70+Marts!$G$72+April!$G$71+Maj!$G$72+Juni!$G$71+Juli!$G$72</f>
        <v>36</v>
      </c>
      <c r="L48" s="218"/>
      <c r="M48" s="616">
        <f>August!$G$73+September!$G$72+Oktober!$G$73+November!$G$72+December!$G$73+Januar!$G$73+Februar!$G$71+Marts!$G$73+April!$G$72+Maj!$G$73+Juni!$G$72+Juli!$G$73</f>
        <v>32</v>
      </c>
      <c r="N48" s="219"/>
      <c r="O48" s="216"/>
      <c r="P48" s="216"/>
      <c r="Q48" s="216"/>
      <c r="R48" s="216"/>
      <c r="S48" s="216">
        <f>August!$G$75+September!$G$74+Oktober!$G$75+November!$G$74+December!$G$75+Januar!$G$75+Februar!$G$73+Marts!$G$75+April!$G$74+Maj!$G$75+Juni!$G$74+Juli!$G$75</f>
        <v>0</v>
      </c>
      <c r="U48" s="217">
        <f>August!$G$76+September!$G$75+Oktober!$G$76+November!$G$75+December!$G$76+Januar!$G$76+Februar!$G$74+Marts!$G$76+April!$G$75+Maj!$G$76+Juni!$G$75+Juli!$G$76</f>
        <v>0</v>
      </c>
      <c r="V48" s="218"/>
      <c r="W48" s="219">
        <f>August!$G$77+September!$G$76+Oktober!$G$77+November!$G$76+December!$G$77+Januar!$G$77+Februar!$G$75+Marts!$G$77+April!$G$76+Maj!$G$77+Juni!$G$76+Juli!$G$77</f>
        <v>0</v>
      </c>
      <c r="X48" s="219"/>
      <c r="Y48" s="216">
        <f>August!$G$78+September!$G$77+Oktober!$G$78+November!$G$77+December!$G$78+Januar!$G$78+Februar!$G$76+Marts!$G$78+April!$G$77+Maj!$G$78+Juni!$G$77+Juli!$G$78</f>
        <v>0</v>
      </c>
      <c r="Z48" s="216"/>
      <c r="AA48" s="216">
        <f>August!$G$79+September!$G$78+Oktober!$G$79+November!$G$78+December!$G$79+Januar!$G$79+Februar!$G$77+Marts!$G$79+April!$G$78+Maj!$G$79+Juni!$G$78+Juli!$G$79</f>
        <v>0</v>
      </c>
      <c r="AB48" s="216"/>
      <c r="AC48" s="216"/>
      <c r="AE48" s="217"/>
      <c r="AF48" s="218"/>
      <c r="AG48" s="219">
        <f>August!$G$81+September!$G$80+Oktober!$G$81+November!$G$80+December!$G$81+Januar!$G$81+Februar!$G$79+Marts!$G$81+April!$G$80+Maj!$G$81+Juni!$G$80+Juli!$G$81</f>
        <v>0</v>
      </c>
      <c r="AH48" s="219"/>
      <c r="AI48" s="216">
        <f>August!$G$82+September!$G$81+Oktober!$G$82+November!$G$81+December!$G$82+Januar!$G$82+Februar!$G$80+Marts!$G$82+April!$G$81+Maj!$G$82+Juni!$G$81+Juli!$G$82</f>
        <v>0</v>
      </c>
      <c r="AJ48" s="216"/>
      <c r="AK48" s="216">
        <f>August!$G$83+September!$G$82+Oktober!$G$83+November!$G$82+December!$G$83+Januar!$G$83+Februar!$G$81+Marts!$G$83+April!$G$82+Maj!$G$83+Juni!$G$82+Juli!$G$83</f>
        <v>0</v>
      </c>
      <c r="AL48" s="216"/>
      <c r="AM48" s="216">
        <f>August!$G$84+September!$G$83+Oktober!$G$84+November!$G$83+December!$G$84+Januar!$G$84+Februar!$G$82+Marts!$G$84+April!$G$83+Maj!$G$84+Juni!$G$83+Juli!$G$84</f>
        <v>0</v>
      </c>
      <c r="AO48">
        <f>August!$G$85+September!$G$84+Oktober!$G$85+November!$G$84+December!$G$85+Januar!$G$85+Februar!$G$83+Marts!$G$85+April!$G$84+Maj!$G$85+Juni!$G$84+Juli!$G$85</f>
        <v>0</v>
      </c>
      <c r="AU48">
        <f>August!$G$87+September!$G$86+Oktober!$G$87+November!$G$86+December!$G$87+Januar!$G$87+Februar!$G$85+Marts!$G$87+April!$G$86+Maj!$G$87+Juni!$G$86+Juli!$G$87</f>
        <v>0</v>
      </c>
      <c r="AW48">
        <f>August!$G$88+September!$G$87+Oktober!$G$88+November!$G$87+December!$G$88+Januar!$G$88+Februar!$G$86+Marts!$G$88+April!$G$87+Maj!$G$88+Juni!$G$87+Juli!$G$88</f>
        <v>0</v>
      </c>
      <c r="AY48">
        <f>August!$G$89+September!$G$88+Oktober!$G$89+November!$G$88+December!$G$89+Januar!$G$89+Februar!$G$87+Marts!$G$89+April!$G$88+Maj!$G$89+Juni!$G$88+Juli!$G$89</f>
        <v>0</v>
      </c>
      <c r="BA48">
        <f>August!$G$90+September!$G$89+Oktober!$G$90+November!$G$89+December!$G$90+Januar!$G$90+Februar!$G$88+Marts!$G$90+April!$G$89+Maj!$G$90+Juni!$G$89+Juli!$G$90</f>
        <v>0</v>
      </c>
      <c r="BC48">
        <f>August!$G$91+September!$G$90+Oktober!$G$91+November!$G$90+December!$G$91+Januar!$G$91+Februar!$G$89+Marts!$G$91+April!$G$90+Maj!$G$91+Juni!$G$90+Juli!$G$91</f>
        <v>0</v>
      </c>
      <c r="BD48">
        <f>SUM(E48:BC48)</f>
        <v>172</v>
      </c>
    </row>
    <row r="49" spans="1:56" hidden="1">
      <c r="E49" t="s">
        <v>240</v>
      </c>
    </row>
    <row r="50" spans="1:56" hidden="1">
      <c r="A50" t="s">
        <v>239</v>
      </c>
      <c r="I50" t="s">
        <v>295</v>
      </c>
    </row>
    <row r="51" spans="1:56" hidden="1">
      <c r="E51" t="s">
        <v>34</v>
      </c>
    </row>
    <row r="52" spans="1:56" hidden="1">
      <c r="E52" s="1">
        <f>E46*24</f>
        <v>4.5</v>
      </c>
      <c r="F52" s="1"/>
      <c r="G52" s="1">
        <f>G46*24</f>
        <v>4.5</v>
      </c>
      <c r="H52" s="1"/>
      <c r="I52" s="1">
        <f>I46*24</f>
        <v>2.75</v>
      </c>
      <c r="J52" s="1"/>
      <c r="K52" s="1">
        <f>K46*24</f>
        <v>3.75</v>
      </c>
      <c r="L52" s="1"/>
      <c r="M52" s="1">
        <f>M46*24</f>
        <v>3.75</v>
      </c>
      <c r="N52" s="1"/>
      <c r="O52" s="1"/>
      <c r="P52" s="1"/>
      <c r="Q52" s="1"/>
      <c r="R52" s="1"/>
      <c r="S52" s="1">
        <f>S46*24</f>
        <v>0</v>
      </c>
      <c r="T52" s="1"/>
      <c r="U52" s="1">
        <f>U46*24</f>
        <v>0</v>
      </c>
      <c r="V52" s="1"/>
      <c r="W52" s="1">
        <f>W46*24</f>
        <v>0</v>
      </c>
      <c r="X52" s="1"/>
      <c r="Y52" s="1">
        <f>Y46*24</f>
        <v>0</v>
      </c>
      <c r="Z52" s="1"/>
      <c r="AA52" s="1">
        <f>AA46*24</f>
        <v>0</v>
      </c>
      <c r="AB52" s="1"/>
      <c r="AC52" s="1"/>
      <c r="AD52" s="1"/>
      <c r="AE52" s="1"/>
      <c r="AF52" s="1"/>
      <c r="AG52" s="1">
        <f>AG46*24</f>
        <v>0</v>
      </c>
      <c r="AH52" s="1"/>
      <c r="AI52" s="1">
        <f>AI46*24</f>
        <v>0</v>
      </c>
      <c r="AJ52" s="1"/>
      <c r="AK52" s="1">
        <f>AK46*24</f>
        <v>0</v>
      </c>
      <c r="AL52" s="1"/>
      <c r="AM52" s="1">
        <f>AM46*24</f>
        <v>0</v>
      </c>
      <c r="AN52" s="1"/>
      <c r="AO52" s="1">
        <f>AO46*24</f>
        <v>0</v>
      </c>
      <c r="AP52" s="1"/>
      <c r="AQ52" s="1"/>
      <c r="AR52" s="1"/>
      <c r="AS52" s="1"/>
      <c r="AT52" s="1"/>
      <c r="AU52" s="1">
        <f t="shared" ref="AU52:BA52" si="24">AU46*24</f>
        <v>0</v>
      </c>
      <c r="AV52" s="1"/>
      <c r="AW52" s="1">
        <f t="shared" si="24"/>
        <v>0</v>
      </c>
      <c r="AX52" s="1"/>
      <c r="AY52" s="1">
        <f t="shared" si="24"/>
        <v>0</v>
      </c>
      <c r="AZ52" s="1"/>
      <c r="BA52" s="1">
        <f t="shared" si="24"/>
        <v>0</v>
      </c>
      <c r="BB52" s="1"/>
      <c r="BC52" s="1">
        <f>BC46*24</f>
        <v>0</v>
      </c>
    </row>
    <row r="53" spans="1:56" hidden="1">
      <c r="A53" t="s">
        <v>244</v>
      </c>
      <c r="E53" s="1">
        <f>E52*E48</f>
        <v>148.5</v>
      </c>
      <c r="F53" s="1"/>
      <c r="G53" s="1">
        <f>G52*G48</f>
        <v>153</v>
      </c>
      <c r="H53" s="1"/>
      <c r="I53" s="1">
        <f>I52*I48</f>
        <v>101.75</v>
      </c>
      <c r="J53" s="1"/>
      <c r="K53" s="1">
        <f>K52*K48</f>
        <v>135</v>
      </c>
      <c r="L53" s="1"/>
      <c r="M53" s="1">
        <f>M52*M48</f>
        <v>120</v>
      </c>
      <c r="N53" s="1"/>
      <c r="O53" s="1"/>
      <c r="P53" s="1"/>
      <c r="Q53" s="1"/>
      <c r="R53" s="1"/>
      <c r="S53" s="1">
        <f>S52*S48</f>
        <v>0</v>
      </c>
      <c r="T53" s="1"/>
      <c r="U53" s="1">
        <f>U52*U48</f>
        <v>0</v>
      </c>
      <c r="V53" s="1"/>
      <c r="W53" s="1">
        <f>W52*W48</f>
        <v>0</v>
      </c>
      <c r="X53" s="1"/>
      <c r="Y53" s="1">
        <f>Y52*Y48</f>
        <v>0</v>
      </c>
      <c r="Z53" s="1"/>
      <c r="AA53" s="1">
        <f>AA52*AA48</f>
        <v>0</v>
      </c>
      <c r="AB53" s="1"/>
      <c r="AC53" s="1"/>
      <c r="AD53" s="1"/>
      <c r="AE53" s="1"/>
      <c r="AF53" s="1"/>
      <c r="AG53" s="1">
        <f>AG52*AG48</f>
        <v>0</v>
      </c>
      <c r="AH53" s="1"/>
      <c r="AI53" s="1">
        <f>AI52*AI48</f>
        <v>0</v>
      </c>
      <c r="AJ53" s="1"/>
      <c r="AK53" s="1">
        <f>AK52*AK48</f>
        <v>0</v>
      </c>
      <c r="AL53" s="1"/>
      <c r="AM53" s="1">
        <f>AM52*AM48</f>
        <v>0</v>
      </c>
      <c r="AN53" s="1"/>
      <c r="AO53" s="1">
        <f>AO52*AO48</f>
        <v>0</v>
      </c>
      <c r="AP53" s="1"/>
      <c r="AQ53" s="1"/>
      <c r="AR53" s="1"/>
      <c r="AS53" s="1"/>
      <c r="AT53" s="1"/>
      <c r="AU53" s="1">
        <f>AU52*AU48</f>
        <v>0</v>
      </c>
      <c r="AV53" s="1"/>
      <c r="AW53" s="1">
        <f>AW52*AW48</f>
        <v>0</v>
      </c>
      <c r="AX53" s="1"/>
      <c r="AY53" s="1">
        <f>AY52*AY48</f>
        <v>0</v>
      </c>
      <c r="AZ53" s="1"/>
      <c r="BA53" s="1">
        <f>BA52*BA48</f>
        <v>0</v>
      </c>
      <c r="BB53" s="1"/>
      <c r="BC53" s="1">
        <f>BC52*BC48</f>
        <v>0</v>
      </c>
      <c r="BD53" s="1">
        <f>SUM(E53:BC53)</f>
        <v>658.25</v>
      </c>
    </row>
    <row r="54" spans="1:56" hidden="1">
      <c r="AN54" s="1"/>
    </row>
    <row r="55" spans="1:56" hidden="1">
      <c r="A55" t="s">
        <v>247</v>
      </c>
      <c r="E55" s="1">
        <f>E47*24</f>
        <v>1.9166666666666665</v>
      </c>
      <c r="F55" s="1"/>
      <c r="G55" s="1">
        <f>G47*24</f>
        <v>1.9166666666666665</v>
      </c>
      <c r="H55" s="1"/>
      <c r="I55" s="1">
        <f>I47*24</f>
        <v>1.25</v>
      </c>
      <c r="J55" s="1"/>
      <c r="K55" s="1">
        <f>K47*24</f>
        <v>1</v>
      </c>
      <c r="L55" s="1"/>
      <c r="M55" s="1">
        <f>M47*24</f>
        <v>1</v>
      </c>
      <c r="N55" s="1"/>
      <c r="O55" s="1"/>
      <c r="P55" s="1"/>
      <c r="Q55" s="1"/>
      <c r="R55" s="1"/>
      <c r="S55" s="1">
        <f>S47*24</f>
        <v>0</v>
      </c>
      <c r="T55" s="1"/>
      <c r="U55" s="1">
        <f t="shared" ref="U55:AA55" si="25">U47*24</f>
        <v>0</v>
      </c>
      <c r="V55" s="1"/>
      <c r="W55" s="1">
        <f t="shared" si="25"/>
        <v>0</v>
      </c>
      <c r="X55" s="1"/>
      <c r="Y55" s="1">
        <f t="shared" si="25"/>
        <v>0</v>
      </c>
      <c r="Z55" s="1"/>
      <c r="AA55" s="1">
        <f t="shared" si="25"/>
        <v>0</v>
      </c>
      <c r="AB55" s="1"/>
      <c r="AC55" s="1"/>
      <c r="AD55" s="1"/>
      <c r="AE55" s="1"/>
      <c r="AF55" s="1"/>
      <c r="AG55" s="1">
        <f>AG47*24</f>
        <v>0</v>
      </c>
      <c r="AH55" s="1"/>
      <c r="AI55" s="1">
        <f>AI47*24</f>
        <v>0</v>
      </c>
      <c r="AJ55" s="1"/>
      <c r="AK55" s="1">
        <f>AK47*24</f>
        <v>0</v>
      </c>
      <c r="AL55" s="1"/>
      <c r="AM55" s="1">
        <f>AM47*24</f>
        <v>0</v>
      </c>
      <c r="AN55" s="1"/>
      <c r="AO55" s="1">
        <f>AO47*24</f>
        <v>0</v>
      </c>
      <c r="AP55" s="1"/>
      <c r="AQ55" s="1"/>
      <c r="AR55" s="1"/>
      <c r="AS55" s="1"/>
      <c r="AT55" s="1"/>
      <c r="AU55" s="1">
        <f t="shared" ref="AU55:BC55" si="26">AU47*24</f>
        <v>0</v>
      </c>
      <c r="AV55" s="1"/>
      <c r="AW55" s="1">
        <f t="shared" si="26"/>
        <v>0</v>
      </c>
      <c r="AX55" s="1"/>
      <c r="AY55" s="1">
        <f t="shared" si="26"/>
        <v>0</v>
      </c>
      <c r="AZ55" s="1"/>
      <c r="BA55" s="1">
        <f t="shared" si="26"/>
        <v>0</v>
      </c>
      <c r="BB55" s="1"/>
      <c r="BC55" s="1">
        <f t="shared" si="26"/>
        <v>0</v>
      </c>
    </row>
    <row r="56" spans="1:56" hidden="1">
      <c r="E56" s="1">
        <f>E55*E48</f>
        <v>63.249999999999993</v>
      </c>
      <c r="F56" s="1"/>
      <c r="G56" s="1">
        <f>G55*G48</f>
        <v>65.166666666666657</v>
      </c>
      <c r="H56" s="1"/>
      <c r="I56" s="1">
        <f>I55*I48</f>
        <v>46.25</v>
      </c>
      <c r="J56" s="1"/>
      <c r="K56" s="1">
        <f>K55*K48</f>
        <v>36</v>
      </c>
      <c r="L56" s="1"/>
      <c r="M56" s="1">
        <f>M55*M48</f>
        <v>32</v>
      </c>
      <c r="N56" s="1"/>
      <c r="O56" s="1"/>
      <c r="P56" s="1"/>
      <c r="Q56" s="1"/>
      <c r="R56" s="1"/>
      <c r="S56" s="1">
        <f>S55*S48</f>
        <v>0</v>
      </c>
      <c r="T56" s="1"/>
      <c r="U56" s="1">
        <f>U55*U48</f>
        <v>0</v>
      </c>
      <c r="V56" s="1"/>
      <c r="W56" s="1">
        <f>W55*W48</f>
        <v>0</v>
      </c>
      <c r="X56" s="1"/>
      <c r="Y56" s="1">
        <f>Y55*Y48</f>
        <v>0</v>
      </c>
      <c r="Z56" s="1"/>
      <c r="AA56" s="1">
        <f>AA55*AA48</f>
        <v>0</v>
      </c>
      <c r="AB56" s="1"/>
      <c r="AC56" s="1"/>
      <c r="AD56" s="1"/>
      <c r="AE56" s="1"/>
      <c r="AF56" s="1"/>
      <c r="AG56" s="1">
        <f>AG55*AG48</f>
        <v>0</v>
      </c>
      <c r="AH56" s="1"/>
      <c r="AI56" s="1">
        <f>AI55*AI48</f>
        <v>0</v>
      </c>
      <c r="AJ56" s="1"/>
      <c r="AK56" s="1">
        <f>AK55*AK48</f>
        <v>0</v>
      </c>
      <c r="AL56" s="1"/>
      <c r="AM56" s="1">
        <f>AM55*AM48</f>
        <v>0</v>
      </c>
      <c r="AN56" s="1"/>
      <c r="AO56" s="1">
        <f>AO55*AO48</f>
        <v>0</v>
      </c>
      <c r="AP56" s="1"/>
      <c r="AQ56" s="1"/>
      <c r="AR56" s="1"/>
      <c r="AS56" s="1"/>
      <c r="AT56" s="1"/>
      <c r="AU56" s="1">
        <f>AU55*AU48</f>
        <v>0</v>
      </c>
      <c r="AV56" s="1"/>
      <c r="AW56" s="1">
        <f>AW55*AW48</f>
        <v>0</v>
      </c>
      <c r="AX56" s="1"/>
      <c r="AY56" s="1">
        <f>AY55*AY48</f>
        <v>0</v>
      </c>
      <c r="AZ56" s="1"/>
      <c r="BA56" s="1">
        <f>BA55*BA48</f>
        <v>0</v>
      </c>
      <c r="BB56" s="1"/>
      <c r="BC56" s="1">
        <f>BC55*BC48</f>
        <v>0</v>
      </c>
      <c r="BD56" s="1">
        <f>SUM(E56:BC56)</f>
        <v>242.66666666666666</v>
      </c>
    </row>
    <row r="57" spans="1:56" hidden="1">
      <c r="A57" t="s">
        <v>251</v>
      </c>
      <c r="AN57" s="1">
        <f>August!CB46+August!CC46+September!CB44+September!CC44+Oktober!CB45+Oktober!CC45+November!CB44+November!CC44+December!CB45+December!CC45+Januar!CB45+Januar!CC45+Februar!CB43+Februar!CC43+Marts!CB45+Marts!CC45+April!CB44+April!CC44+Maj!CB45+Maj!CC45+Juni!CB44+Juni!CC44+Juli!CB45+Juli!CC45</f>
        <v>25.75</v>
      </c>
      <c r="AO57" t="s">
        <v>309</v>
      </c>
      <c r="BD57" s="1">
        <f>August!CB46+September!CB44+Oktober!CB45+November!CB44+December!CB45+Januar!CB45+Februar!CB43+Marts!CB45+April!CB44+Maj!CB45+Juni!CB44+Juli!CB45</f>
        <v>2.5</v>
      </c>
    </row>
    <row r="58" spans="1:56" ht="17" thickBot="1">
      <c r="AN58" s="1"/>
    </row>
    <row r="59" spans="1:56" ht="45" customHeight="1">
      <c r="A59" s="988" t="s">
        <v>509</v>
      </c>
      <c r="B59" s="989"/>
      <c r="C59" s="989"/>
      <c r="D59" s="989"/>
      <c r="E59" s="989"/>
      <c r="F59" s="989"/>
      <c r="G59" s="989"/>
      <c r="H59" s="989"/>
      <c r="I59" s="990"/>
      <c r="J59" s="385"/>
      <c r="K59" s="364" t="s">
        <v>231</v>
      </c>
      <c r="L59" s="365" t="s">
        <v>233</v>
      </c>
      <c r="M59" s="364" t="s">
        <v>234</v>
      </c>
      <c r="N59" s="365" t="s">
        <v>235</v>
      </c>
      <c r="O59" s="364" t="s">
        <v>279</v>
      </c>
      <c r="P59" s="365" t="s">
        <v>280</v>
      </c>
      <c r="Q59" s="364" t="s">
        <v>281</v>
      </c>
      <c r="R59" s="365" t="s">
        <v>282</v>
      </c>
      <c r="S59" s="364" t="s">
        <v>283</v>
      </c>
      <c r="T59" s="365" t="s">
        <v>284</v>
      </c>
      <c r="U59" s="364" t="s">
        <v>285</v>
      </c>
      <c r="V59" s="365" t="s">
        <v>286</v>
      </c>
    </row>
    <row r="60" spans="1:56" ht="42" customHeight="1" thickBot="1">
      <c r="A60" s="981" t="s">
        <v>508</v>
      </c>
      <c r="B60" s="982"/>
      <c r="C60" s="982"/>
      <c r="D60" s="982"/>
      <c r="E60" s="982"/>
      <c r="F60" s="982"/>
      <c r="G60" s="982"/>
      <c r="H60" s="982"/>
      <c r="I60" s="983"/>
      <c r="J60" s="385"/>
      <c r="K60" s="364"/>
      <c r="L60" s="365"/>
      <c r="M60" s="364"/>
      <c r="N60" s="365"/>
      <c r="O60" s="364"/>
      <c r="P60" s="365"/>
      <c r="Q60" s="364"/>
      <c r="R60" s="365"/>
      <c r="S60" s="364"/>
      <c r="T60" s="365"/>
      <c r="U60" s="364"/>
      <c r="V60" s="365"/>
    </row>
    <row r="61" spans="1:56" ht="44" customHeight="1">
      <c r="A61" s="991" t="s">
        <v>510</v>
      </c>
      <c r="B61" s="992"/>
      <c r="C61" s="992"/>
      <c r="D61" s="992"/>
      <c r="E61" s="992"/>
      <c r="F61" s="993"/>
      <c r="G61" s="987" t="s">
        <v>230</v>
      </c>
      <c r="H61" s="987"/>
      <c r="I61" s="591" t="s">
        <v>232</v>
      </c>
      <c r="J61" s="385"/>
      <c r="K61" s="364"/>
      <c r="L61" s="365"/>
      <c r="M61" s="364"/>
      <c r="N61" s="365"/>
      <c r="O61" s="364"/>
      <c r="P61" s="365"/>
      <c r="Q61" s="364"/>
      <c r="R61" s="365"/>
      <c r="S61" s="364"/>
      <c r="T61" s="365"/>
      <c r="U61" s="364"/>
      <c r="V61" s="365"/>
    </row>
    <row r="62" spans="1:56" ht="16" customHeight="1">
      <c r="A62" s="977" t="s">
        <v>727</v>
      </c>
      <c r="B62" s="978"/>
      <c r="C62" s="978"/>
      <c r="D62" s="978"/>
      <c r="E62" s="978"/>
      <c r="F62" s="974"/>
      <c r="G62" s="973" t="s">
        <v>279</v>
      </c>
      <c r="H62" s="974"/>
      <c r="I62" s="362">
        <v>10</v>
      </c>
      <c r="J62" s="385"/>
      <c r="K62" s="364">
        <f>IF(G62="August",I62,0)</f>
        <v>0</v>
      </c>
      <c r="L62" s="364">
        <f>IF(G62="September",I62,0)</f>
        <v>0</v>
      </c>
      <c r="M62" s="364">
        <f>IF(G62="Oktober",I62,0)</f>
        <v>0</v>
      </c>
      <c r="N62" s="364">
        <f>IF(G62="November",I62,0)</f>
        <v>0</v>
      </c>
      <c r="O62" s="364">
        <f>IF(G62="December",I62,0)</f>
        <v>10</v>
      </c>
      <c r="P62" s="364">
        <f>IF(G62="Januar",I62,0)</f>
        <v>0</v>
      </c>
      <c r="Q62" s="364">
        <f>IF(G62="Februar",I62,0)</f>
        <v>0</v>
      </c>
      <c r="R62" s="364">
        <f>IF(G62="Marts",I62,0)</f>
        <v>0</v>
      </c>
      <c r="S62" s="364">
        <f>IF(G62="April",I62,0)</f>
        <v>0</v>
      </c>
      <c r="T62" s="364">
        <f>IF(G62="Maj",I62,0)</f>
        <v>0</v>
      </c>
      <c r="U62" s="364">
        <f>IF(G62="Juni",I62,0)</f>
        <v>0</v>
      </c>
      <c r="V62" s="364">
        <f>IF(G62="Juli",I62,0)</f>
        <v>0</v>
      </c>
    </row>
    <row r="63" spans="1:56">
      <c r="A63" s="977"/>
      <c r="B63" s="978"/>
      <c r="C63" s="978"/>
      <c r="D63" s="978"/>
      <c r="E63" s="978"/>
      <c r="F63" s="974"/>
      <c r="G63" s="973"/>
      <c r="H63" s="974"/>
      <c r="I63" s="362"/>
      <c r="J63" s="385"/>
      <c r="K63" s="364">
        <f t="shared" ref="K63:K106" si="27">IF(G63="August",I63,0)</f>
        <v>0</v>
      </c>
      <c r="L63" s="364">
        <f t="shared" ref="L63:L106" si="28">IF(G63="September",I63,0)</f>
        <v>0</v>
      </c>
      <c r="M63" s="364">
        <f t="shared" ref="M63:M106" si="29">IF(G63="Oktober",I63,0)</f>
        <v>0</v>
      </c>
      <c r="N63" s="364">
        <f t="shared" ref="N63:N106" si="30">IF(G63="November",I63,0)</f>
        <v>0</v>
      </c>
      <c r="O63" s="364">
        <f t="shared" ref="O63:O106" si="31">IF(G63="December",I63,0)</f>
        <v>0</v>
      </c>
      <c r="P63" s="364">
        <f t="shared" ref="P63:P106" si="32">IF(G63="Januar",I63,0)</f>
        <v>0</v>
      </c>
      <c r="Q63" s="364">
        <f t="shared" ref="Q63:Q106" si="33">IF(G63="Februar",I63,0)</f>
        <v>0</v>
      </c>
      <c r="R63" s="364">
        <f t="shared" ref="R63:R106" si="34">IF(G63="Marts",I63,0)</f>
        <v>0</v>
      </c>
      <c r="S63" s="364">
        <f t="shared" ref="S63:S106" si="35">IF(G63="April",I63,0)</f>
        <v>0</v>
      </c>
      <c r="T63" s="364">
        <f t="shared" ref="T63:T106" si="36">IF(G63="Maj",I63,0)</f>
        <v>0</v>
      </c>
      <c r="U63" s="364">
        <f t="shared" ref="U63:U106" si="37">IF(G63="Juni",I63,0)</f>
        <v>0</v>
      </c>
      <c r="V63" s="364">
        <f t="shared" ref="V63:V106" si="38">IF(G63="Juli",I63,0)</f>
        <v>0</v>
      </c>
    </row>
    <row r="64" spans="1:56">
      <c r="A64" s="977"/>
      <c r="B64" s="978"/>
      <c r="C64" s="978"/>
      <c r="D64" s="978"/>
      <c r="E64" s="978"/>
      <c r="F64" s="974"/>
      <c r="G64" s="973"/>
      <c r="H64" s="974"/>
      <c r="I64" s="362"/>
      <c r="J64" s="385"/>
      <c r="K64" s="364">
        <f t="shared" si="27"/>
        <v>0</v>
      </c>
      <c r="L64" s="364">
        <f t="shared" si="28"/>
        <v>0</v>
      </c>
      <c r="M64" s="364">
        <f t="shared" si="29"/>
        <v>0</v>
      </c>
      <c r="N64" s="364">
        <f t="shared" si="30"/>
        <v>0</v>
      </c>
      <c r="O64" s="364">
        <f t="shared" si="31"/>
        <v>0</v>
      </c>
      <c r="P64" s="364">
        <f t="shared" si="32"/>
        <v>0</v>
      </c>
      <c r="Q64" s="364">
        <f t="shared" si="33"/>
        <v>0</v>
      </c>
      <c r="R64" s="364">
        <f t="shared" si="34"/>
        <v>0</v>
      </c>
      <c r="S64" s="364">
        <f t="shared" si="35"/>
        <v>0</v>
      </c>
      <c r="T64" s="364">
        <f t="shared" si="36"/>
        <v>0</v>
      </c>
      <c r="U64" s="364">
        <f t="shared" si="37"/>
        <v>0</v>
      </c>
      <c r="V64" s="364">
        <f t="shared" si="38"/>
        <v>0</v>
      </c>
    </row>
    <row r="65" spans="1:22">
      <c r="A65" s="977"/>
      <c r="B65" s="978"/>
      <c r="C65" s="978"/>
      <c r="D65" s="978"/>
      <c r="E65" s="978"/>
      <c r="F65" s="974"/>
      <c r="G65" s="973"/>
      <c r="H65" s="974"/>
      <c r="I65" s="362"/>
      <c r="J65" s="385"/>
      <c r="K65" s="364">
        <f>IF(G65="August",I65,0)</f>
        <v>0</v>
      </c>
      <c r="L65" s="364">
        <f>IF(G65="September",I65,0)</f>
        <v>0</v>
      </c>
      <c r="M65" s="364">
        <f>IF(G65="Oktober",I65,0)</f>
        <v>0</v>
      </c>
      <c r="N65" s="364">
        <f>IF(G65="November",I65,0)</f>
        <v>0</v>
      </c>
      <c r="O65" s="364">
        <f>IF(G65="December",I65,0)</f>
        <v>0</v>
      </c>
      <c r="P65" s="364">
        <f>IF(G65="Januar",I65,0)</f>
        <v>0</v>
      </c>
      <c r="Q65" s="364">
        <f>IF(G65="Februar",I65,0)</f>
        <v>0</v>
      </c>
      <c r="R65" s="364">
        <f>IF(G65="Marts",I65,0)</f>
        <v>0</v>
      </c>
      <c r="S65" s="364">
        <f>IF(G65="April",I65,0)</f>
        <v>0</v>
      </c>
      <c r="T65" s="364">
        <f>IF(G65="Maj",I65,0)</f>
        <v>0</v>
      </c>
      <c r="U65" s="364">
        <f>IF(G65="Juni",I65,0)</f>
        <v>0</v>
      </c>
      <c r="V65" s="364">
        <f>IF(G65="Juli",I65,0)</f>
        <v>0</v>
      </c>
    </row>
    <row r="66" spans="1:22">
      <c r="A66" s="977"/>
      <c r="B66" s="978"/>
      <c r="C66" s="978"/>
      <c r="D66" s="978"/>
      <c r="E66" s="978"/>
      <c r="F66" s="974"/>
      <c r="G66" s="973"/>
      <c r="H66" s="974"/>
      <c r="I66" s="362"/>
      <c r="J66" s="385"/>
      <c r="K66" s="364">
        <f>IF(G66="August",I66,0)</f>
        <v>0</v>
      </c>
      <c r="L66" s="364">
        <f>IF(G66="September",I66,0)</f>
        <v>0</v>
      </c>
      <c r="M66" s="364">
        <f>IF(G66="Oktober",I66,0)</f>
        <v>0</v>
      </c>
      <c r="N66" s="364">
        <f>IF(G66="November",I66,0)</f>
        <v>0</v>
      </c>
      <c r="O66" s="364">
        <f>IF(G66="December",I66,0)</f>
        <v>0</v>
      </c>
      <c r="P66" s="364">
        <f>IF(G66="Januar",I66,0)</f>
        <v>0</v>
      </c>
      <c r="Q66" s="364">
        <f>IF(G66="Februar",I66,0)</f>
        <v>0</v>
      </c>
      <c r="R66" s="364">
        <f>IF(G66="Marts",I66,0)</f>
        <v>0</v>
      </c>
      <c r="S66" s="364">
        <f>IF(G66="April",I66,0)</f>
        <v>0</v>
      </c>
      <c r="T66" s="364">
        <f>IF(G66="Maj",I66,0)</f>
        <v>0</v>
      </c>
      <c r="U66" s="364">
        <f>IF(G66="Juni",I66,0)</f>
        <v>0</v>
      </c>
      <c r="V66" s="364">
        <f>IF(G66="Juli",I66,0)</f>
        <v>0</v>
      </c>
    </row>
    <row r="67" spans="1:22">
      <c r="A67" s="977"/>
      <c r="B67" s="978"/>
      <c r="C67" s="978"/>
      <c r="D67" s="978"/>
      <c r="E67" s="978"/>
      <c r="F67" s="974"/>
      <c r="G67" s="973"/>
      <c r="H67" s="974"/>
      <c r="I67" s="362"/>
      <c r="J67" s="385"/>
      <c r="K67" s="364">
        <f t="shared" si="27"/>
        <v>0</v>
      </c>
      <c r="L67" s="364">
        <f t="shared" si="28"/>
        <v>0</v>
      </c>
      <c r="M67" s="364">
        <f t="shared" si="29"/>
        <v>0</v>
      </c>
      <c r="N67" s="364">
        <f t="shared" si="30"/>
        <v>0</v>
      </c>
      <c r="O67" s="364">
        <f t="shared" si="31"/>
        <v>0</v>
      </c>
      <c r="P67" s="364">
        <f t="shared" si="32"/>
        <v>0</v>
      </c>
      <c r="Q67" s="364">
        <f t="shared" si="33"/>
        <v>0</v>
      </c>
      <c r="R67" s="364">
        <f t="shared" si="34"/>
        <v>0</v>
      </c>
      <c r="S67" s="364">
        <f t="shared" si="35"/>
        <v>0</v>
      </c>
      <c r="T67" s="364">
        <f t="shared" si="36"/>
        <v>0</v>
      </c>
      <c r="U67" s="364">
        <f t="shared" si="37"/>
        <v>0</v>
      </c>
      <c r="V67" s="364">
        <f t="shared" si="38"/>
        <v>0</v>
      </c>
    </row>
    <row r="68" spans="1:22">
      <c r="A68" s="977"/>
      <c r="B68" s="978"/>
      <c r="C68" s="978"/>
      <c r="D68" s="978"/>
      <c r="E68" s="978"/>
      <c r="F68" s="974"/>
      <c r="G68" s="973"/>
      <c r="H68" s="974"/>
      <c r="I68" s="362"/>
      <c r="J68" s="385"/>
      <c r="K68" s="364">
        <f t="shared" si="27"/>
        <v>0</v>
      </c>
      <c r="L68" s="364">
        <f t="shared" si="28"/>
        <v>0</v>
      </c>
      <c r="M68" s="364">
        <f t="shared" si="29"/>
        <v>0</v>
      </c>
      <c r="N68" s="364">
        <f t="shared" si="30"/>
        <v>0</v>
      </c>
      <c r="O68" s="364">
        <f t="shared" si="31"/>
        <v>0</v>
      </c>
      <c r="P68" s="364">
        <f t="shared" si="32"/>
        <v>0</v>
      </c>
      <c r="Q68" s="364">
        <f t="shared" si="33"/>
        <v>0</v>
      </c>
      <c r="R68" s="364">
        <f t="shared" si="34"/>
        <v>0</v>
      </c>
      <c r="S68" s="364">
        <f t="shared" si="35"/>
        <v>0</v>
      </c>
      <c r="T68" s="364">
        <f t="shared" si="36"/>
        <v>0</v>
      </c>
      <c r="U68" s="364">
        <f t="shared" si="37"/>
        <v>0</v>
      </c>
      <c r="V68" s="364">
        <f t="shared" si="38"/>
        <v>0</v>
      </c>
    </row>
    <row r="69" spans="1:22">
      <c r="A69" s="977"/>
      <c r="B69" s="978"/>
      <c r="C69" s="978"/>
      <c r="D69" s="978"/>
      <c r="E69" s="978"/>
      <c r="F69" s="974"/>
      <c r="G69" s="973"/>
      <c r="H69" s="974"/>
      <c r="I69" s="362"/>
      <c r="J69" s="385"/>
      <c r="K69" s="364">
        <f t="shared" si="27"/>
        <v>0</v>
      </c>
      <c r="L69" s="364">
        <f t="shared" si="28"/>
        <v>0</v>
      </c>
      <c r="M69" s="364">
        <f t="shared" si="29"/>
        <v>0</v>
      </c>
      <c r="N69" s="364">
        <f t="shared" si="30"/>
        <v>0</v>
      </c>
      <c r="O69" s="364">
        <f t="shared" si="31"/>
        <v>0</v>
      </c>
      <c r="P69" s="364">
        <f t="shared" si="32"/>
        <v>0</v>
      </c>
      <c r="Q69" s="364">
        <f t="shared" si="33"/>
        <v>0</v>
      </c>
      <c r="R69" s="364">
        <f t="shared" si="34"/>
        <v>0</v>
      </c>
      <c r="S69" s="364">
        <f t="shared" si="35"/>
        <v>0</v>
      </c>
      <c r="T69" s="364">
        <f t="shared" si="36"/>
        <v>0</v>
      </c>
      <c r="U69" s="364">
        <f t="shared" si="37"/>
        <v>0</v>
      </c>
      <c r="V69" s="364">
        <f t="shared" si="38"/>
        <v>0</v>
      </c>
    </row>
    <row r="70" spans="1:22">
      <c r="A70" s="977"/>
      <c r="B70" s="978"/>
      <c r="C70" s="978"/>
      <c r="D70" s="978"/>
      <c r="E70" s="978"/>
      <c r="F70" s="974"/>
      <c r="G70" s="973"/>
      <c r="H70" s="974"/>
      <c r="I70" s="362"/>
      <c r="J70" s="385"/>
      <c r="K70" s="364">
        <f t="shared" si="27"/>
        <v>0</v>
      </c>
      <c r="L70" s="364">
        <f t="shared" si="28"/>
        <v>0</v>
      </c>
      <c r="M70" s="364">
        <f t="shared" si="29"/>
        <v>0</v>
      </c>
      <c r="N70" s="364">
        <f t="shared" si="30"/>
        <v>0</v>
      </c>
      <c r="O70" s="364">
        <f t="shared" si="31"/>
        <v>0</v>
      </c>
      <c r="P70" s="364">
        <f t="shared" si="32"/>
        <v>0</v>
      </c>
      <c r="Q70" s="364">
        <f t="shared" si="33"/>
        <v>0</v>
      </c>
      <c r="R70" s="364">
        <f t="shared" si="34"/>
        <v>0</v>
      </c>
      <c r="S70" s="364">
        <f t="shared" si="35"/>
        <v>0</v>
      </c>
      <c r="T70" s="364">
        <f t="shared" si="36"/>
        <v>0</v>
      </c>
      <c r="U70" s="364">
        <f t="shared" si="37"/>
        <v>0</v>
      </c>
      <c r="V70" s="364">
        <f t="shared" si="38"/>
        <v>0</v>
      </c>
    </row>
    <row r="71" spans="1:22">
      <c r="A71" s="977"/>
      <c r="B71" s="978"/>
      <c r="C71" s="978"/>
      <c r="D71" s="978"/>
      <c r="E71" s="978"/>
      <c r="F71" s="974"/>
      <c r="G71" s="973"/>
      <c r="H71" s="974"/>
      <c r="I71" s="362"/>
      <c r="J71" s="385"/>
      <c r="K71" s="364">
        <f t="shared" si="27"/>
        <v>0</v>
      </c>
      <c r="L71" s="364">
        <f t="shared" si="28"/>
        <v>0</v>
      </c>
      <c r="M71" s="364">
        <f t="shared" si="29"/>
        <v>0</v>
      </c>
      <c r="N71" s="364">
        <f t="shared" si="30"/>
        <v>0</v>
      </c>
      <c r="O71" s="364">
        <f t="shared" si="31"/>
        <v>0</v>
      </c>
      <c r="P71" s="364">
        <f t="shared" si="32"/>
        <v>0</v>
      </c>
      <c r="Q71" s="364">
        <f t="shared" si="33"/>
        <v>0</v>
      </c>
      <c r="R71" s="364">
        <f t="shared" si="34"/>
        <v>0</v>
      </c>
      <c r="S71" s="364">
        <f t="shared" si="35"/>
        <v>0</v>
      </c>
      <c r="T71" s="364">
        <f t="shared" si="36"/>
        <v>0</v>
      </c>
      <c r="U71" s="364">
        <f t="shared" si="37"/>
        <v>0</v>
      </c>
      <c r="V71" s="364">
        <f t="shared" si="38"/>
        <v>0</v>
      </c>
    </row>
    <row r="72" spans="1:22">
      <c r="A72" s="977"/>
      <c r="B72" s="978"/>
      <c r="C72" s="978"/>
      <c r="D72" s="978"/>
      <c r="E72" s="978"/>
      <c r="F72" s="974"/>
      <c r="G72" s="973"/>
      <c r="H72" s="974"/>
      <c r="I72" s="362"/>
      <c r="J72" s="385"/>
      <c r="K72" s="364">
        <f t="shared" si="27"/>
        <v>0</v>
      </c>
      <c r="L72" s="364">
        <f t="shared" si="28"/>
        <v>0</v>
      </c>
      <c r="M72" s="364">
        <f t="shared" si="29"/>
        <v>0</v>
      </c>
      <c r="N72" s="364">
        <f t="shared" si="30"/>
        <v>0</v>
      </c>
      <c r="O72" s="364">
        <f t="shared" si="31"/>
        <v>0</v>
      </c>
      <c r="P72" s="364">
        <f t="shared" si="32"/>
        <v>0</v>
      </c>
      <c r="Q72" s="364">
        <f t="shared" si="33"/>
        <v>0</v>
      </c>
      <c r="R72" s="364">
        <f t="shared" si="34"/>
        <v>0</v>
      </c>
      <c r="S72" s="364">
        <f t="shared" si="35"/>
        <v>0</v>
      </c>
      <c r="T72" s="364">
        <f t="shared" si="36"/>
        <v>0</v>
      </c>
      <c r="U72" s="364">
        <f t="shared" si="37"/>
        <v>0</v>
      </c>
      <c r="V72" s="364">
        <f t="shared" si="38"/>
        <v>0</v>
      </c>
    </row>
    <row r="73" spans="1:22">
      <c r="A73" s="977"/>
      <c r="B73" s="978"/>
      <c r="C73" s="978"/>
      <c r="D73" s="978"/>
      <c r="E73" s="978"/>
      <c r="F73" s="974"/>
      <c r="G73" s="973"/>
      <c r="H73" s="974"/>
      <c r="I73" s="362"/>
      <c r="J73" s="385"/>
      <c r="K73" s="364">
        <f t="shared" si="27"/>
        <v>0</v>
      </c>
      <c r="L73" s="364">
        <f t="shared" si="28"/>
        <v>0</v>
      </c>
      <c r="M73" s="364">
        <f t="shared" si="29"/>
        <v>0</v>
      </c>
      <c r="N73" s="364">
        <f t="shared" si="30"/>
        <v>0</v>
      </c>
      <c r="O73" s="364">
        <f t="shared" si="31"/>
        <v>0</v>
      </c>
      <c r="P73" s="364">
        <f t="shared" si="32"/>
        <v>0</v>
      </c>
      <c r="Q73" s="364">
        <f t="shared" si="33"/>
        <v>0</v>
      </c>
      <c r="R73" s="364">
        <f t="shared" si="34"/>
        <v>0</v>
      </c>
      <c r="S73" s="364">
        <f t="shared" si="35"/>
        <v>0</v>
      </c>
      <c r="T73" s="364">
        <f t="shared" si="36"/>
        <v>0</v>
      </c>
      <c r="U73" s="364">
        <f t="shared" si="37"/>
        <v>0</v>
      </c>
      <c r="V73" s="364">
        <f t="shared" si="38"/>
        <v>0</v>
      </c>
    </row>
    <row r="74" spans="1:22" ht="16" customHeight="1">
      <c r="A74" s="977"/>
      <c r="B74" s="978"/>
      <c r="C74" s="978"/>
      <c r="D74" s="978"/>
      <c r="E74" s="978"/>
      <c r="F74" s="974"/>
      <c r="G74" s="973"/>
      <c r="H74" s="974"/>
      <c r="I74" s="362"/>
      <c r="J74" s="385"/>
      <c r="K74" s="364">
        <f t="shared" si="27"/>
        <v>0</v>
      </c>
      <c r="L74" s="364">
        <f t="shared" si="28"/>
        <v>0</v>
      </c>
      <c r="M74" s="364">
        <f t="shared" si="29"/>
        <v>0</v>
      </c>
      <c r="N74" s="364">
        <f t="shared" si="30"/>
        <v>0</v>
      </c>
      <c r="O74" s="364">
        <f t="shared" si="31"/>
        <v>0</v>
      </c>
      <c r="P74" s="364">
        <f t="shared" si="32"/>
        <v>0</v>
      </c>
      <c r="Q74" s="364">
        <f t="shared" si="33"/>
        <v>0</v>
      </c>
      <c r="R74" s="364">
        <f t="shared" si="34"/>
        <v>0</v>
      </c>
      <c r="S74" s="364">
        <f t="shared" si="35"/>
        <v>0</v>
      </c>
      <c r="T74" s="364">
        <f t="shared" si="36"/>
        <v>0</v>
      </c>
      <c r="U74" s="364">
        <f t="shared" si="37"/>
        <v>0</v>
      </c>
      <c r="V74" s="364">
        <f t="shared" si="38"/>
        <v>0</v>
      </c>
    </row>
    <row r="75" spans="1:22">
      <c r="A75" s="977"/>
      <c r="B75" s="978"/>
      <c r="C75" s="978"/>
      <c r="D75" s="978"/>
      <c r="E75" s="978"/>
      <c r="F75" s="974"/>
      <c r="G75" s="973"/>
      <c r="H75" s="974"/>
      <c r="I75" s="362"/>
      <c r="J75" s="385"/>
      <c r="K75" s="364">
        <f t="shared" si="27"/>
        <v>0</v>
      </c>
      <c r="L75" s="364">
        <f t="shared" si="28"/>
        <v>0</v>
      </c>
      <c r="M75" s="364">
        <f t="shared" si="29"/>
        <v>0</v>
      </c>
      <c r="N75" s="364">
        <f t="shared" si="30"/>
        <v>0</v>
      </c>
      <c r="O75" s="364">
        <f t="shared" si="31"/>
        <v>0</v>
      </c>
      <c r="P75" s="364">
        <f t="shared" si="32"/>
        <v>0</v>
      </c>
      <c r="Q75" s="364">
        <f t="shared" si="33"/>
        <v>0</v>
      </c>
      <c r="R75" s="364">
        <f t="shared" si="34"/>
        <v>0</v>
      </c>
      <c r="S75" s="364">
        <f t="shared" si="35"/>
        <v>0</v>
      </c>
      <c r="T75" s="364">
        <f t="shared" si="36"/>
        <v>0</v>
      </c>
      <c r="U75" s="364">
        <f t="shared" si="37"/>
        <v>0</v>
      </c>
      <c r="V75" s="364">
        <f t="shared" si="38"/>
        <v>0</v>
      </c>
    </row>
    <row r="76" spans="1:22">
      <c r="A76" s="977"/>
      <c r="B76" s="978"/>
      <c r="C76" s="978"/>
      <c r="D76" s="978"/>
      <c r="E76" s="978"/>
      <c r="F76" s="974"/>
      <c r="G76" s="973"/>
      <c r="H76" s="974"/>
      <c r="I76" s="362"/>
      <c r="J76" s="385"/>
      <c r="K76" s="364">
        <f t="shared" si="27"/>
        <v>0</v>
      </c>
      <c r="L76" s="364">
        <f t="shared" si="28"/>
        <v>0</v>
      </c>
      <c r="M76" s="364">
        <f t="shared" si="29"/>
        <v>0</v>
      </c>
      <c r="N76" s="364">
        <f t="shared" si="30"/>
        <v>0</v>
      </c>
      <c r="O76" s="364">
        <f t="shared" si="31"/>
        <v>0</v>
      </c>
      <c r="P76" s="364">
        <f t="shared" si="32"/>
        <v>0</v>
      </c>
      <c r="Q76" s="364">
        <f t="shared" si="33"/>
        <v>0</v>
      </c>
      <c r="R76" s="364">
        <f t="shared" si="34"/>
        <v>0</v>
      </c>
      <c r="S76" s="364">
        <f t="shared" si="35"/>
        <v>0</v>
      </c>
      <c r="T76" s="364">
        <f t="shared" si="36"/>
        <v>0</v>
      </c>
      <c r="U76" s="364">
        <f t="shared" si="37"/>
        <v>0</v>
      </c>
      <c r="V76" s="364">
        <f t="shared" si="38"/>
        <v>0</v>
      </c>
    </row>
    <row r="77" spans="1:22">
      <c r="A77" s="977"/>
      <c r="B77" s="978"/>
      <c r="C77" s="978"/>
      <c r="D77" s="978"/>
      <c r="E77" s="978"/>
      <c r="F77" s="974"/>
      <c r="G77" s="973"/>
      <c r="H77" s="974"/>
      <c r="I77" s="362"/>
      <c r="J77" s="385"/>
      <c r="K77" s="364">
        <f t="shared" si="27"/>
        <v>0</v>
      </c>
      <c r="L77" s="364">
        <f t="shared" si="28"/>
        <v>0</v>
      </c>
      <c r="M77" s="364">
        <f t="shared" si="29"/>
        <v>0</v>
      </c>
      <c r="N77" s="364">
        <f t="shared" si="30"/>
        <v>0</v>
      </c>
      <c r="O77" s="364">
        <f t="shared" si="31"/>
        <v>0</v>
      </c>
      <c r="P77" s="364">
        <f t="shared" si="32"/>
        <v>0</v>
      </c>
      <c r="Q77" s="364">
        <f t="shared" si="33"/>
        <v>0</v>
      </c>
      <c r="R77" s="364">
        <f t="shared" si="34"/>
        <v>0</v>
      </c>
      <c r="S77" s="364">
        <f t="shared" si="35"/>
        <v>0</v>
      </c>
      <c r="T77" s="364">
        <f t="shared" si="36"/>
        <v>0</v>
      </c>
      <c r="U77" s="364">
        <f t="shared" si="37"/>
        <v>0</v>
      </c>
      <c r="V77" s="364">
        <f t="shared" si="38"/>
        <v>0</v>
      </c>
    </row>
    <row r="78" spans="1:22">
      <c r="A78" s="977"/>
      <c r="B78" s="978"/>
      <c r="C78" s="978"/>
      <c r="D78" s="978"/>
      <c r="E78" s="978"/>
      <c r="F78" s="974"/>
      <c r="G78" s="973"/>
      <c r="H78" s="974"/>
      <c r="I78" s="362"/>
      <c r="J78" s="385"/>
      <c r="K78" s="364">
        <f t="shared" si="27"/>
        <v>0</v>
      </c>
      <c r="L78" s="364">
        <f t="shared" si="28"/>
        <v>0</v>
      </c>
      <c r="M78" s="364">
        <f t="shared" si="29"/>
        <v>0</v>
      </c>
      <c r="N78" s="364">
        <f t="shared" si="30"/>
        <v>0</v>
      </c>
      <c r="O78" s="364">
        <f t="shared" si="31"/>
        <v>0</v>
      </c>
      <c r="P78" s="364">
        <f t="shared" si="32"/>
        <v>0</v>
      </c>
      <c r="Q78" s="364">
        <f t="shared" si="33"/>
        <v>0</v>
      </c>
      <c r="R78" s="364">
        <f t="shared" si="34"/>
        <v>0</v>
      </c>
      <c r="S78" s="364">
        <f t="shared" si="35"/>
        <v>0</v>
      </c>
      <c r="T78" s="364">
        <f t="shared" si="36"/>
        <v>0</v>
      </c>
      <c r="U78" s="364">
        <f t="shared" si="37"/>
        <v>0</v>
      </c>
      <c r="V78" s="364">
        <f t="shared" si="38"/>
        <v>0</v>
      </c>
    </row>
    <row r="79" spans="1:22">
      <c r="A79" s="977"/>
      <c r="B79" s="978"/>
      <c r="C79" s="978"/>
      <c r="D79" s="978"/>
      <c r="E79" s="978"/>
      <c r="F79" s="974"/>
      <c r="G79" s="973"/>
      <c r="H79" s="974"/>
      <c r="I79" s="362"/>
      <c r="J79" s="385"/>
      <c r="K79" s="364">
        <f t="shared" si="27"/>
        <v>0</v>
      </c>
      <c r="L79" s="364">
        <f t="shared" si="28"/>
        <v>0</v>
      </c>
      <c r="M79" s="364">
        <f t="shared" si="29"/>
        <v>0</v>
      </c>
      <c r="N79" s="364">
        <f t="shared" si="30"/>
        <v>0</v>
      </c>
      <c r="O79" s="364">
        <f t="shared" si="31"/>
        <v>0</v>
      </c>
      <c r="P79" s="364">
        <f t="shared" si="32"/>
        <v>0</v>
      </c>
      <c r="Q79" s="364">
        <f t="shared" si="33"/>
        <v>0</v>
      </c>
      <c r="R79" s="364">
        <f t="shared" si="34"/>
        <v>0</v>
      </c>
      <c r="S79" s="364">
        <f t="shared" si="35"/>
        <v>0</v>
      </c>
      <c r="T79" s="364">
        <f t="shared" si="36"/>
        <v>0</v>
      </c>
      <c r="U79" s="364">
        <f t="shared" si="37"/>
        <v>0</v>
      </c>
      <c r="V79" s="364">
        <f t="shared" si="38"/>
        <v>0</v>
      </c>
    </row>
    <row r="80" spans="1:22">
      <c r="A80" s="977"/>
      <c r="B80" s="978"/>
      <c r="C80" s="978"/>
      <c r="D80" s="978"/>
      <c r="E80" s="978"/>
      <c r="F80" s="974"/>
      <c r="G80" s="973"/>
      <c r="H80" s="974"/>
      <c r="I80" s="362"/>
      <c r="J80" s="385"/>
      <c r="K80" s="364">
        <f t="shared" si="27"/>
        <v>0</v>
      </c>
      <c r="L80" s="364">
        <f t="shared" si="28"/>
        <v>0</v>
      </c>
      <c r="M80" s="364">
        <f t="shared" si="29"/>
        <v>0</v>
      </c>
      <c r="N80" s="364">
        <f t="shared" si="30"/>
        <v>0</v>
      </c>
      <c r="O80" s="364">
        <f t="shared" si="31"/>
        <v>0</v>
      </c>
      <c r="P80" s="364">
        <f t="shared" si="32"/>
        <v>0</v>
      </c>
      <c r="Q80" s="364">
        <f t="shared" si="33"/>
        <v>0</v>
      </c>
      <c r="R80" s="364">
        <f t="shared" si="34"/>
        <v>0</v>
      </c>
      <c r="S80" s="364">
        <f t="shared" si="35"/>
        <v>0</v>
      </c>
      <c r="T80" s="364">
        <f t="shared" si="36"/>
        <v>0</v>
      </c>
      <c r="U80" s="364">
        <f t="shared" si="37"/>
        <v>0</v>
      </c>
      <c r="V80" s="364">
        <f t="shared" si="38"/>
        <v>0</v>
      </c>
    </row>
    <row r="81" spans="1:22">
      <c r="A81" s="977"/>
      <c r="B81" s="978"/>
      <c r="C81" s="978"/>
      <c r="D81" s="978"/>
      <c r="E81" s="978"/>
      <c r="F81" s="974"/>
      <c r="G81" s="973"/>
      <c r="H81" s="974"/>
      <c r="I81" s="362"/>
      <c r="J81" s="385"/>
      <c r="K81" s="364">
        <f t="shared" si="27"/>
        <v>0</v>
      </c>
      <c r="L81" s="364">
        <f t="shared" si="28"/>
        <v>0</v>
      </c>
      <c r="M81" s="364">
        <f t="shared" si="29"/>
        <v>0</v>
      </c>
      <c r="N81" s="364">
        <f t="shared" si="30"/>
        <v>0</v>
      </c>
      <c r="O81" s="364">
        <f t="shared" si="31"/>
        <v>0</v>
      </c>
      <c r="P81" s="364">
        <f t="shared" si="32"/>
        <v>0</v>
      </c>
      <c r="Q81" s="364">
        <f t="shared" si="33"/>
        <v>0</v>
      </c>
      <c r="R81" s="364">
        <f t="shared" si="34"/>
        <v>0</v>
      </c>
      <c r="S81" s="364">
        <f t="shared" si="35"/>
        <v>0</v>
      </c>
      <c r="T81" s="364">
        <f t="shared" si="36"/>
        <v>0</v>
      </c>
      <c r="U81" s="364">
        <f t="shared" si="37"/>
        <v>0</v>
      </c>
      <c r="V81" s="364">
        <f t="shared" si="38"/>
        <v>0</v>
      </c>
    </row>
    <row r="82" spans="1:22">
      <c r="A82" s="977"/>
      <c r="B82" s="978"/>
      <c r="C82" s="978"/>
      <c r="D82" s="978"/>
      <c r="E82" s="978"/>
      <c r="F82" s="974"/>
      <c r="G82" s="973"/>
      <c r="H82" s="974"/>
      <c r="I82" s="362"/>
      <c r="J82" s="385"/>
      <c r="K82" s="364">
        <f t="shared" si="27"/>
        <v>0</v>
      </c>
      <c r="L82" s="364">
        <f t="shared" si="28"/>
        <v>0</v>
      </c>
      <c r="M82" s="364">
        <f t="shared" si="29"/>
        <v>0</v>
      </c>
      <c r="N82" s="364">
        <f t="shared" si="30"/>
        <v>0</v>
      </c>
      <c r="O82" s="364">
        <f t="shared" si="31"/>
        <v>0</v>
      </c>
      <c r="P82" s="364">
        <f t="shared" si="32"/>
        <v>0</v>
      </c>
      <c r="Q82" s="364">
        <f t="shared" si="33"/>
        <v>0</v>
      </c>
      <c r="R82" s="364">
        <f t="shared" si="34"/>
        <v>0</v>
      </c>
      <c r="S82" s="364">
        <f t="shared" si="35"/>
        <v>0</v>
      </c>
      <c r="T82" s="364">
        <f t="shared" si="36"/>
        <v>0</v>
      </c>
      <c r="U82" s="364">
        <f t="shared" si="37"/>
        <v>0</v>
      </c>
      <c r="V82" s="364">
        <f t="shared" si="38"/>
        <v>0</v>
      </c>
    </row>
    <row r="83" spans="1:22">
      <c r="A83" s="977"/>
      <c r="B83" s="978"/>
      <c r="C83" s="978"/>
      <c r="D83" s="978"/>
      <c r="E83" s="978"/>
      <c r="F83" s="974"/>
      <c r="G83" s="973"/>
      <c r="H83" s="974"/>
      <c r="I83" s="362"/>
      <c r="J83" s="385"/>
      <c r="K83" s="364">
        <f t="shared" si="27"/>
        <v>0</v>
      </c>
      <c r="L83" s="364">
        <f t="shared" si="28"/>
        <v>0</v>
      </c>
      <c r="M83" s="364">
        <f t="shared" si="29"/>
        <v>0</v>
      </c>
      <c r="N83" s="364">
        <f t="shared" si="30"/>
        <v>0</v>
      </c>
      <c r="O83" s="364">
        <f t="shared" si="31"/>
        <v>0</v>
      </c>
      <c r="P83" s="364">
        <f t="shared" si="32"/>
        <v>0</v>
      </c>
      <c r="Q83" s="364">
        <f t="shared" si="33"/>
        <v>0</v>
      </c>
      <c r="R83" s="364">
        <f t="shared" si="34"/>
        <v>0</v>
      </c>
      <c r="S83" s="364">
        <f t="shared" si="35"/>
        <v>0</v>
      </c>
      <c r="T83" s="364">
        <f t="shared" si="36"/>
        <v>0</v>
      </c>
      <c r="U83" s="364">
        <f t="shared" si="37"/>
        <v>0</v>
      </c>
      <c r="V83" s="364">
        <f t="shared" si="38"/>
        <v>0</v>
      </c>
    </row>
    <row r="84" spans="1:22">
      <c r="A84" s="977"/>
      <c r="B84" s="978"/>
      <c r="C84" s="978"/>
      <c r="D84" s="978"/>
      <c r="E84" s="978"/>
      <c r="F84" s="974"/>
      <c r="G84" s="973"/>
      <c r="H84" s="974"/>
      <c r="I84" s="362"/>
      <c r="J84" s="385"/>
      <c r="K84" s="364">
        <f t="shared" si="27"/>
        <v>0</v>
      </c>
      <c r="L84" s="364">
        <f t="shared" si="28"/>
        <v>0</v>
      </c>
      <c r="M84" s="364">
        <f t="shared" si="29"/>
        <v>0</v>
      </c>
      <c r="N84" s="364">
        <f t="shared" si="30"/>
        <v>0</v>
      </c>
      <c r="O84" s="364">
        <f t="shared" si="31"/>
        <v>0</v>
      </c>
      <c r="P84" s="364">
        <f t="shared" si="32"/>
        <v>0</v>
      </c>
      <c r="Q84" s="364">
        <f t="shared" si="33"/>
        <v>0</v>
      </c>
      <c r="R84" s="364">
        <f t="shared" si="34"/>
        <v>0</v>
      </c>
      <c r="S84" s="364">
        <f t="shared" si="35"/>
        <v>0</v>
      </c>
      <c r="T84" s="364">
        <f t="shared" si="36"/>
        <v>0</v>
      </c>
      <c r="U84" s="364">
        <f t="shared" si="37"/>
        <v>0</v>
      </c>
      <c r="V84" s="364">
        <f t="shared" si="38"/>
        <v>0</v>
      </c>
    </row>
    <row r="85" spans="1:22">
      <c r="A85" s="977"/>
      <c r="B85" s="978"/>
      <c r="C85" s="978"/>
      <c r="D85" s="978"/>
      <c r="E85" s="978"/>
      <c r="F85" s="974"/>
      <c r="G85" s="973"/>
      <c r="H85" s="974"/>
      <c r="I85" s="362"/>
      <c r="J85" s="385"/>
      <c r="K85" s="364">
        <f t="shared" si="27"/>
        <v>0</v>
      </c>
      <c r="L85" s="364">
        <f t="shared" si="28"/>
        <v>0</v>
      </c>
      <c r="M85" s="364">
        <f t="shared" si="29"/>
        <v>0</v>
      </c>
      <c r="N85" s="364">
        <f t="shared" si="30"/>
        <v>0</v>
      </c>
      <c r="O85" s="364">
        <f t="shared" si="31"/>
        <v>0</v>
      </c>
      <c r="P85" s="364">
        <f t="shared" si="32"/>
        <v>0</v>
      </c>
      <c r="Q85" s="364">
        <f t="shared" si="33"/>
        <v>0</v>
      </c>
      <c r="R85" s="364">
        <f t="shared" si="34"/>
        <v>0</v>
      </c>
      <c r="S85" s="364">
        <f t="shared" si="35"/>
        <v>0</v>
      </c>
      <c r="T85" s="364">
        <f t="shared" si="36"/>
        <v>0</v>
      </c>
      <c r="U85" s="364">
        <f t="shared" si="37"/>
        <v>0</v>
      </c>
      <c r="V85" s="364">
        <f t="shared" si="38"/>
        <v>0</v>
      </c>
    </row>
    <row r="86" spans="1:22">
      <c r="A86" s="977"/>
      <c r="B86" s="978"/>
      <c r="C86" s="978"/>
      <c r="D86" s="978"/>
      <c r="E86" s="978"/>
      <c r="F86" s="974"/>
      <c r="G86" s="973"/>
      <c r="H86" s="974"/>
      <c r="I86" s="362"/>
      <c r="J86" s="385"/>
      <c r="K86" s="364">
        <f t="shared" si="27"/>
        <v>0</v>
      </c>
      <c r="L86" s="364">
        <f t="shared" si="28"/>
        <v>0</v>
      </c>
      <c r="M86" s="364">
        <f t="shared" si="29"/>
        <v>0</v>
      </c>
      <c r="N86" s="364">
        <f t="shared" si="30"/>
        <v>0</v>
      </c>
      <c r="O86" s="364">
        <f t="shared" si="31"/>
        <v>0</v>
      </c>
      <c r="P86" s="364">
        <f t="shared" si="32"/>
        <v>0</v>
      </c>
      <c r="Q86" s="364">
        <f t="shared" si="33"/>
        <v>0</v>
      </c>
      <c r="R86" s="364">
        <f t="shared" si="34"/>
        <v>0</v>
      </c>
      <c r="S86" s="364">
        <f t="shared" si="35"/>
        <v>0</v>
      </c>
      <c r="T86" s="364">
        <f t="shared" si="36"/>
        <v>0</v>
      </c>
      <c r="U86" s="364">
        <f t="shared" si="37"/>
        <v>0</v>
      </c>
      <c r="V86" s="364">
        <f t="shared" si="38"/>
        <v>0</v>
      </c>
    </row>
    <row r="87" spans="1:22">
      <c r="A87" s="977"/>
      <c r="B87" s="978"/>
      <c r="C87" s="978"/>
      <c r="D87" s="978"/>
      <c r="E87" s="978"/>
      <c r="F87" s="974"/>
      <c r="G87" s="973"/>
      <c r="H87" s="974"/>
      <c r="I87" s="362"/>
      <c r="J87" s="385"/>
      <c r="K87" s="364">
        <f t="shared" si="27"/>
        <v>0</v>
      </c>
      <c r="L87" s="364">
        <f t="shared" si="28"/>
        <v>0</v>
      </c>
      <c r="M87" s="364">
        <f t="shared" si="29"/>
        <v>0</v>
      </c>
      <c r="N87" s="364">
        <f t="shared" si="30"/>
        <v>0</v>
      </c>
      <c r="O87" s="364">
        <f t="shared" si="31"/>
        <v>0</v>
      </c>
      <c r="P87" s="364">
        <f t="shared" si="32"/>
        <v>0</v>
      </c>
      <c r="Q87" s="364">
        <f t="shared" si="33"/>
        <v>0</v>
      </c>
      <c r="R87" s="364">
        <f t="shared" si="34"/>
        <v>0</v>
      </c>
      <c r="S87" s="364">
        <f t="shared" si="35"/>
        <v>0</v>
      </c>
      <c r="T87" s="364">
        <f t="shared" si="36"/>
        <v>0</v>
      </c>
      <c r="U87" s="364">
        <f t="shared" si="37"/>
        <v>0</v>
      </c>
      <c r="V87" s="364">
        <f t="shared" si="38"/>
        <v>0</v>
      </c>
    </row>
    <row r="88" spans="1:22">
      <c r="A88" s="977"/>
      <c r="B88" s="978"/>
      <c r="C88" s="978"/>
      <c r="D88" s="978"/>
      <c r="E88" s="978"/>
      <c r="F88" s="974"/>
      <c r="G88" s="973"/>
      <c r="H88" s="974"/>
      <c r="I88" s="362"/>
      <c r="J88" s="385"/>
      <c r="K88" s="364">
        <f t="shared" si="27"/>
        <v>0</v>
      </c>
      <c r="L88" s="364">
        <f t="shared" si="28"/>
        <v>0</v>
      </c>
      <c r="M88" s="364">
        <f t="shared" si="29"/>
        <v>0</v>
      </c>
      <c r="N88" s="364">
        <f t="shared" si="30"/>
        <v>0</v>
      </c>
      <c r="O88" s="364">
        <f t="shared" si="31"/>
        <v>0</v>
      </c>
      <c r="P88" s="364">
        <f t="shared" si="32"/>
        <v>0</v>
      </c>
      <c r="Q88" s="364">
        <f t="shared" si="33"/>
        <v>0</v>
      </c>
      <c r="R88" s="364">
        <f t="shared" si="34"/>
        <v>0</v>
      </c>
      <c r="S88" s="364">
        <f t="shared" si="35"/>
        <v>0</v>
      </c>
      <c r="T88" s="364">
        <f t="shared" si="36"/>
        <v>0</v>
      </c>
      <c r="U88" s="364">
        <f t="shared" si="37"/>
        <v>0</v>
      </c>
      <c r="V88" s="364">
        <f t="shared" si="38"/>
        <v>0</v>
      </c>
    </row>
    <row r="89" spans="1:22">
      <c r="A89" s="977"/>
      <c r="B89" s="978"/>
      <c r="C89" s="978"/>
      <c r="D89" s="978"/>
      <c r="E89" s="978"/>
      <c r="F89" s="974"/>
      <c r="G89" s="973"/>
      <c r="H89" s="974"/>
      <c r="I89" s="362"/>
      <c r="J89" s="385"/>
      <c r="K89" s="364">
        <f t="shared" si="27"/>
        <v>0</v>
      </c>
      <c r="L89" s="364">
        <f t="shared" si="28"/>
        <v>0</v>
      </c>
      <c r="M89" s="364">
        <f t="shared" si="29"/>
        <v>0</v>
      </c>
      <c r="N89" s="364">
        <f t="shared" si="30"/>
        <v>0</v>
      </c>
      <c r="O89" s="364">
        <f t="shared" si="31"/>
        <v>0</v>
      </c>
      <c r="P89" s="364">
        <f t="shared" si="32"/>
        <v>0</v>
      </c>
      <c r="Q89" s="364">
        <f t="shared" si="33"/>
        <v>0</v>
      </c>
      <c r="R89" s="364">
        <f t="shared" si="34"/>
        <v>0</v>
      </c>
      <c r="S89" s="364">
        <f t="shared" si="35"/>
        <v>0</v>
      </c>
      <c r="T89" s="364">
        <f t="shared" si="36"/>
        <v>0</v>
      </c>
      <c r="U89" s="364">
        <f t="shared" si="37"/>
        <v>0</v>
      </c>
      <c r="V89" s="364">
        <f t="shared" si="38"/>
        <v>0</v>
      </c>
    </row>
    <row r="90" spans="1:22">
      <c r="A90" s="977"/>
      <c r="B90" s="978"/>
      <c r="C90" s="978"/>
      <c r="D90" s="978"/>
      <c r="E90" s="978"/>
      <c r="F90" s="974"/>
      <c r="G90" s="973"/>
      <c r="H90" s="974"/>
      <c r="I90" s="362"/>
      <c r="J90" s="385"/>
      <c r="K90" s="364">
        <f t="shared" si="27"/>
        <v>0</v>
      </c>
      <c r="L90" s="364">
        <f t="shared" si="28"/>
        <v>0</v>
      </c>
      <c r="M90" s="364">
        <f t="shared" si="29"/>
        <v>0</v>
      </c>
      <c r="N90" s="364">
        <f t="shared" si="30"/>
        <v>0</v>
      </c>
      <c r="O90" s="364">
        <f t="shared" si="31"/>
        <v>0</v>
      </c>
      <c r="P90" s="364">
        <f t="shared" si="32"/>
        <v>0</v>
      </c>
      <c r="Q90" s="364">
        <f t="shared" si="33"/>
        <v>0</v>
      </c>
      <c r="R90" s="364">
        <f t="shared" si="34"/>
        <v>0</v>
      </c>
      <c r="S90" s="364">
        <f t="shared" si="35"/>
        <v>0</v>
      </c>
      <c r="T90" s="364">
        <f t="shared" si="36"/>
        <v>0</v>
      </c>
      <c r="U90" s="364">
        <f t="shared" si="37"/>
        <v>0</v>
      </c>
      <c r="V90" s="364">
        <f t="shared" si="38"/>
        <v>0</v>
      </c>
    </row>
    <row r="91" spans="1:22">
      <c r="A91" s="977"/>
      <c r="B91" s="978"/>
      <c r="C91" s="978"/>
      <c r="D91" s="978"/>
      <c r="E91" s="978"/>
      <c r="F91" s="974"/>
      <c r="G91" s="973"/>
      <c r="H91" s="974"/>
      <c r="I91" s="362"/>
      <c r="J91" s="385"/>
      <c r="K91" s="364">
        <f t="shared" si="27"/>
        <v>0</v>
      </c>
      <c r="L91" s="364">
        <f t="shared" si="28"/>
        <v>0</v>
      </c>
      <c r="M91" s="364">
        <f t="shared" si="29"/>
        <v>0</v>
      </c>
      <c r="N91" s="364">
        <f t="shared" si="30"/>
        <v>0</v>
      </c>
      <c r="O91" s="364">
        <f t="shared" si="31"/>
        <v>0</v>
      </c>
      <c r="P91" s="364">
        <f t="shared" si="32"/>
        <v>0</v>
      </c>
      <c r="Q91" s="364">
        <f t="shared" si="33"/>
        <v>0</v>
      </c>
      <c r="R91" s="364">
        <f t="shared" si="34"/>
        <v>0</v>
      </c>
      <c r="S91" s="364">
        <f t="shared" si="35"/>
        <v>0</v>
      </c>
      <c r="T91" s="364">
        <f t="shared" si="36"/>
        <v>0</v>
      </c>
      <c r="U91" s="364">
        <f t="shared" si="37"/>
        <v>0</v>
      </c>
      <c r="V91" s="364">
        <f t="shared" si="38"/>
        <v>0</v>
      </c>
    </row>
    <row r="92" spans="1:22">
      <c r="A92" s="977"/>
      <c r="B92" s="978"/>
      <c r="C92" s="978"/>
      <c r="D92" s="978"/>
      <c r="E92" s="978"/>
      <c r="F92" s="974"/>
      <c r="G92" s="973"/>
      <c r="H92" s="974"/>
      <c r="I92" s="362"/>
      <c r="J92" s="385"/>
      <c r="K92" s="364">
        <f t="shared" si="27"/>
        <v>0</v>
      </c>
      <c r="L92" s="364">
        <f t="shared" si="28"/>
        <v>0</v>
      </c>
      <c r="M92" s="364">
        <f t="shared" si="29"/>
        <v>0</v>
      </c>
      <c r="N92" s="364">
        <f t="shared" si="30"/>
        <v>0</v>
      </c>
      <c r="O92" s="364">
        <f t="shared" si="31"/>
        <v>0</v>
      </c>
      <c r="P92" s="364">
        <f t="shared" si="32"/>
        <v>0</v>
      </c>
      <c r="Q92" s="364">
        <f t="shared" si="33"/>
        <v>0</v>
      </c>
      <c r="R92" s="364">
        <f t="shared" si="34"/>
        <v>0</v>
      </c>
      <c r="S92" s="364">
        <f t="shared" si="35"/>
        <v>0</v>
      </c>
      <c r="T92" s="364">
        <f t="shared" si="36"/>
        <v>0</v>
      </c>
      <c r="U92" s="364">
        <f t="shared" si="37"/>
        <v>0</v>
      </c>
      <c r="V92" s="364">
        <f t="shared" si="38"/>
        <v>0</v>
      </c>
    </row>
    <row r="93" spans="1:22">
      <c r="A93" s="977"/>
      <c r="B93" s="978"/>
      <c r="C93" s="978"/>
      <c r="D93" s="978"/>
      <c r="E93" s="978"/>
      <c r="F93" s="974"/>
      <c r="G93" s="973"/>
      <c r="H93" s="974"/>
      <c r="I93" s="362"/>
      <c r="J93" s="385"/>
      <c r="K93" s="364">
        <f t="shared" si="27"/>
        <v>0</v>
      </c>
      <c r="L93" s="364">
        <f t="shared" si="28"/>
        <v>0</v>
      </c>
      <c r="M93" s="364">
        <f t="shared" si="29"/>
        <v>0</v>
      </c>
      <c r="N93" s="364">
        <f t="shared" si="30"/>
        <v>0</v>
      </c>
      <c r="O93" s="364">
        <f t="shared" si="31"/>
        <v>0</v>
      </c>
      <c r="P93" s="364">
        <f t="shared" si="32"/>
        <v>0</v>
      </c>
      <c r="Q93" s="364">
        <f t="shared" si="33"/>
        <v>0</v>
      </c>
      <c r="R93" s="364">
        <f t="shared" si="34"/>
        <v>0</v>
      </c>
      <c r="S93" s="364">
        <f t="shared" si="35"/>
        <v>0</v>
      </c>
      <c r="T93" s="364">
        <f t="shared" si="36"/>
        <v>0</v>
      </c>
      <c r="U93" s="364">
        <f t="shared" si="37"/>
        <v>0</v>
      </c>
      <c r="V93" s="364">
        <f t="shared" si="38"/>
        <v>0</v>
      </c>
    </row>
    <row r="94" spans="1:22">
      <c r="A94" s="977"/>
      <c r="B94" s="978"/>
      <c r="C94" s="978"/>
      <c r="D94" s="978"/>
      <c r="E94" s="978"/>
      <c r="F94" s="974"/>
      <c r="G94" s="973"/>
      <c r="H94" s="974"/>
      <c r="I94" s="362"/>
      <c r="J94" s="385"/>
      <c r="K94" s="364">
        <f t="shared" si="27"/>
        <v>0</v>
      </c>
      <c r="L94" s="364">
        <f t="shared" si="28"/>
        <v>0</v>
      </c>
      <c r="M94" s="364">
        <f t="shared" si="29"/>
        <v>0</v>
      </c>
      <c r="N94" s="364">
        <f t="shared" si="30"/>
        <v>0</v>
      </c>
      <c r="O94" s="364">
        <f t="shared" si="31"/>
        <v>0</v>
      </c>
      <c r="P94" s="364">
        <f t="shared" si="32"/>
        <v>0</v>
      </c>
      <c r="Q94" s="364">
        <f t="shared" si="33"/>
        <v>0</v>
      </c>
      <c r="R94" s="364">
        <f t="shared" si="34"/>
        <v>0</v>
      </c>
      <c r="S94" s="364">
        <f t="shared" si="35"/>
        <v>0</v>
      </c>
      <c r="T94" s="364">
        <f t="shared" si="36"/>
        <v>0</v>
      </c>
      <c r="U94" s="364">
        <f t="shared" si="37"/>
        <v>0</v>
      </c>
      <c r="V94" s="364">
        <f t="shared" si="38"/>
        <v>0</v>
      </c>
    </row>
    <row r="95" spans="1:22">
      <c r="A95" s="977"/>
      <c r="B95" s="978"/>
      <c r="C95" s="978"/>
      <c r="D95" s="978"/>
      <c r="E95" s="978"/>
      <c r="F95" s="974"/>
      <c r="G95" s="973"/>
      <c r="H95" s="974"/>
      <c r="I95" s="362"/>
      <c r="J95" s="385"/>
      <c r="K95" s="364">
        <f t="shared" si="27"/>
        <v>0</v>
      </c>
      <c r="L95" s="364">
        <f t="shared" si="28"/>
        <v>0</v>
      </c>
      <c r="M95" s="364">
        <f t="shared" si="29"/>
        <v>0</v>
      </c>
      <c r="N95" s="364">
        <f t="shared" si="30"/>
        <v>0</v>
      </c>
      <c r="O95" s="364">
        <f t="shared" si="31"/>
        <v>0</v>
      </c>
      <c r="P95" s="364">
        <f t="shared" si="32"/>
        <v>0</v>
      </c>
      <c r="Q95" s="364">
        <f t="shared" si="33"/>
        <v>0</v>
      </c>
      <c r="R95" s="364">
        <f t="shared" si="34"/>
        <v>0</v>
      </c>
      <c r="S95" s="364">
        <f t="shared" si="35"/>
        <v>0</v>
      </c>
      <c r="T95" s="364">
        <f t="shared" si="36"/>
        <v>0</v>
      </c>
      <c r="U95" s="364">
        <f t="shared" si="37"/>
        <v>0</v>
      </c>
      <c r="V95" s="364">
        <f t="shared" si="38"/>
        <v>0</v>
      </c>
    </row>
    <row r="96" spans="1:22">
      <c r="A96" s="977"/>
      <c r="B96" s="978"/>
      <c r="C96" s="978"/>
      <c r="D96" s="978"/>
      <c r="E96" s="978"/>
      <c r="F96" s="974"/>
      <c r="G96" s="973"/>
      <c r="H96" s="974"/>
      <c r="I96" s="362"/>
      <c r="J96" s="385"/>
      <c r="K96" s="364">
        <f t="shared" si="27"/>
        <v>0</v>
      </c>
      <c r="L96" s="364">
        <f t="shared" si="28"/>
        <v>0</v>
      </c>
      <c r="M96" s="364">
        <f t="shared" si="29"/>
        <v>0</v>
      </c>
      <c r="N96" s="364">
        <f t="shared" si="30"/>
        <v>0</v>
      </c>
      <c r="O96" s="364">
        <f t="shared" si="31"/>
        <v>0</v>
      </c>
      <c r="P96" s="364">
        <f t="shared" si="32"/>
        <v>0</v>
      </c>
      <c r="Q96" s="364">
        <f t="shared" si="33"/>
        <v>0</v>
      </c>
      <c r="R96" s="364">
        <f t="shared" si="34"/>
        <v>0</v>
      </c>
      <c r="S96" s="364">
        <f t="shared" si="35"/>
        <v>0</v>
      </c>
      <c r="T96" s="364">
        <f t="shared" si="36"/>
        <v>0</v>
      </c>
      <c r="U96" s="364">
        <f t="shared" si="37"/>
        <v>0</v>
      </c>
      <c r="V96" s="364">
        <f t="shared" si="38"/>
        <v>0</v>
      </c>
    </row>
    <row r="97" spans="1:22">
      <c r="A97" s="977"/>
      <c r="B97" s="978"/>
      <c r="C97" s="978"/>
      <c r="D97" s="978"/>
      <c r="E97" s="978"/>
      <c r="F97" s="974"/>
      <c r="G97" s="973"/>
      <c r="H97" s="974"/>
      <c r="I97" s="362"/>
      <c r="J97" s="385"/>
      <c r="K97" s="364">
        <f t="shared" si="27"/>
        <v>0</v>
      </c>
      <c r="L97" s="364">
        <f t="shared" si="28"/>
        <v>0</v>
      </c>
      <c r="M97" s="364">
        <f t="shared" si="29"/>
        <v>0</v>
      </c>
      <c r="N97" s="364">
        <f t="shared" si="30"/>
        <v>0</v>
      </c>
      <c r="O97" s="364">
        <f t="shared" si="31"/>
        <v>0</v>
      </c>
      <c r="P97" s="364">
        <f t="shared" si="32"/>
        <v>0</v>
      </c>
      <c r="Q97" s="364">
        <f t="shared" si="33"/>
        <v>0</v>
      </c>
      <c r="R97" s="364">
        <f t="shared" si="34"/>
        <v>0</v>
      </c>
      <c r="S97" s="364">
        <f t="shared" si="35"/>
        <v>0</v>
      </c>
      <c r="T97" s="364">
        <f t="shared" si="36"/>
        <v>0</v>
      </c>
      <c r="U97" s="364">
        <f t="shared" si="37"/>
        <v>0</v>
      </c>
      <c r="V97" s="364">
        <f t="shared" si="38"/>
        <v>0</v>
      </c>
    </row>
    <row r="98" spans="1:22">
      <c r="A98" s="977"/>
      <c r="B98" s="978"/>
      <c r="C98" s="978"/>
      <c r="D98" s="978"/>
      <c r="E98" s="978"/>
      <c r="F98" s="974"/>
      <c r="G98" s="973"/>
      <c r="H98" s="974"/>
      <c r="I98" s="362"/>
      <c r="J98" s="385"/>
      <c r="K98" s="364">
        <f t="shared" si="27"/>
        <v>0</v>
      </c>
      <c r="L98" s="364">
        <f t="shared" si="28"/>
        <v>0</v>
      </c>
      <c r="M98" s="364">
        <f t="shared" si="29"/>
        <v>0</v>
      </c>
      <c r="N98" s="364">
        <f t="shared" si="30"/>
        <v>0</v>
      </c>
      <c r="O98" s="364">
        <f t="shared" si="31"/>
        <v>0</v>
      </c>
      <c r="P98" s="364">
        <f t="shared" si="32"/>
        <v>0</v>
      </c>
      <c r="Q98" s="364">
        <f t="shared" si="33"/>
        <v>0</v>
      </c>
      <c r="R98" s="364">
        <f t="shared" si="34"/>
        <v>0</v>
      </c>
      <c r="S98" s="364">
        <f t="shared" si="35"/>
        <v>0</v>
      </c>
      <c r="T98" s="364">
        <f t="shared" si="36"/>
        <v>0</v>
      </c>
      <c r="U98" s="364">
        <f t="shared" si="37"/>
        <v>0</v>
      </c>
      <c r="V98" s="364">
        <f t="shared" si="38"/>
        <v>0</v>
      </c>
    </row>
    <row r="99" spans="1:22">
      <c r="A99" s="977"/>
      <c r="B99" s="978"/>
      <c r="C99" s="978"/>
      <c r="D99" s="978"/>
      <c r="E99" s="978"/>
      <c r="F99" s="974"/>
      <c r="G99" s="973"/>
      <c r="H99" s="974"/>
      <c r="I99" s="362"/>
      <c r="J99" s="385"/>
      <c r="K99" s="364">
        <f t="shared" si="27"/>
        <v>0</v>
      </c>
      <c r="L99" s="364">
        <f t="shared" si="28"/>
        <v>0</v>
      </c>
      <c r="M99" s="364">
        <f t="shared" si="29"/>
        <v>0</v>
      </c>
      <c r="N99" s="364">
        <f t="shared" si="30"/>
        <v>0</v>
      </c>
      <c r="O99" s="364">
        <f t="shared" si="31"/>
        <v>0</v>
      </c>
      <c r="P99" s="364">
        <f t="shared" si="32"/>
        <v>0</v>
      </c>
      <c r="Q99" s="364">
        <f t="shared" si="33"/>
        <v>0</v>
      </c>
      <c r="R99" s="364">
        <f t="shared" si="34"/>
        <v>0</v>
      </c>
      <c r="S99" s="364">
        <f t="shared" si="35"/>
        <v>0</v>
      </c>
      <c r="T99" s="364">
        <f t="shared" si="36"/>
        <v>0</v>
      </c>
      <c r="U99" s="364">
        <f t="shared" si="37"/>
        <v>0</v>
      </c>
      <c r="V99" s="364">
        <f t="shared" si="38"/>
        <v>0</v>
      </c>
    </row>
    <row r="100" spans="1:22">
      <c r="A100" s="977"/>
      <c r="B100" s="978"/>
      <c r="C100" s="978"/>
      <c r="D100" s="978"/>
      <c r="E100" s="978"/>
      <c r="F100" s="974"/>
      <c r="G100" s="973"/>
      <c r="H100" s="974"/>
      <c r="I100" s="362"/>
      <c r="J100" s="385"/>
      <c r="K100" s="364">
        <f t="shared" si="27"/>
        <v>0</v>
      </c>
      <c r="L100" s="364">
        <f t="shared" si="28"/>
        <v>0</v>
      </c>
      <c r="M100" s="364">
        <f t="shared" si="29"/>
        <v>0</v>
      </c>
      <c r="N100" s="364">
        <f t="shared" si="30"/>
        <v>0</v>
      </c>
      <c r="O100" s="364">
        <f t="shared" si="31"/>
        <v>0</v>
      </c>
      <c r="P100" s="364">
        <f t="shared" si="32"/>
        <v>0</v>
      </c>
      <c r="Q100" s="364">
        <f t="shared" si="33"/>
        <v>0</v>
      </c>
      <c r="R100" s="364">
        <f t="shared" si="34"/>
        <v>0</v>
      </c>
      <c r="S100" s="364">
        <f t="shared" si="35"/>
        <v>0</v>
      </c>
      <c r="T100" s="364">
        <f t="shared" si="36"/>
        <v>0</v>
      </c>
      <c r="U100" s="364">
        <f t="shared" si="37"/>
        <v>0</v>
      </c>
      <c r="V100" s="364">
        <f t="shared" si="38"/>
        <v>0</v>
      </c>
    </row>
    <row r="101" spans="1:22">
      <c r="A101" s="977"/>
      <c r="B101" s="978"/>
      <c r="C101" s="978"/>
      <c r="D101" s="978"/>
      <c r="E101" s="978"/>
      <c r="F101" s="974"/>
      <c r="G101" s="973"/>
      <c r="H101" s="974"/>
      <c r="I101" s="362"/>
      <c r="J101" s="385"/>
      <c r="K101" s="364">
        <f t="shared" si="27"/>
        <v>0</v>
      </c>
      <c r="L101" s="364">
        <f t="shared" si="28"/>
        <v>0</v>
      </c>
      <c r="M101" s="364">
        <f t="shared" si="29"/>
        <v>0</v>
      </c>
      <c r="N101" s="364">
        <f t="shared" si="30"/>
        <v>0</v>
      </c>
      <c r="O101" s="364">
        <f t="shared" si="31"/>
        <v>0</v>
      </c>
      <c r="P101" s="364">
        <f t="shared" si="32"/>
        <v>0</v>
      </c>
      <c r="Q101" s="364">
        <f t="shared" si="33"/>
        <v>0</v>
      </c>
      <c r="R101" s="364">
        <f t="shared" si="34"/>
        <v>0</v>
      </c>
      <c r="S101" s="364">
        <f t="shared" si="35"/>
        <v>0</v>
      </c>
      <c r="T101" s="364">
        <f t="shared" si="36"/>
        <v>0</v>
      </c>
      <c r="U101" s="364">
        <f t="shared" si="37"/>
        <v>0</v>
      </c>
      <c r="V101" s="364">
        <f t="shared" si="38"/>
        <v>0</v>
      </c>
    </row>
    <row r="102" spans="1:22">
      <c r="A102" s="977"/>
      <c r="B102" s="978"/>
      <c r="C102" s="978"/>
      <c r="D102" s="978"/>
      <c r="E102" s="978"/>
      <c r="F102" s="974"/>
      <c r="G102" s="973"/>
      <c r="H102" s="974"/>
      <c r="I102" s="362"/>
      <c r="J102" s="385"/>
      <c r="K102" s="364">
        <f t="shared" si="27"/>
        <v>0</v>
      </c>
      <c r="L102" s="364">
        <f t="shared" si="28"/>
        <v>0</v>
      </c>
      <c r="M102" s="364">
        <f t="shared" si="29"/>
        <v>0</v>
      </c>
      <c r="N102" s="364">
        <f t="shared" si="30"/>
        <v>0</v>
      </c>
      <c r="O102" s="364">
        <f t="shared" si="31"/>
        <v>0</v>
      </c>
      <c r="P102" s="364">
        <f t="shared" si="32"/>
        <v>0</v>
      </c>
      <c r="Q102" s="364">
        <f t="shared" si="33"/>
        <v>0</v>
      </c>
      <c r="R102" s="364">
        <f t="shared" si="34"/>
        <v>0</v>
      </c>
      <c r="S102" s="364">
        <f t="shared" si="35"/>
        <v>0</v>
      </c>
      <c r="T102" s="364">
        <f t="shared" si="36"/>
        <v>0</v>
      </c>
      <c r="U102" s="364">
        <f t="shared" si="37"/>
        <v>0</v>
      </c>
      <c r="V102" s="364">
        <f t="shared" si="38"/>
        <v>0</v>
      </c>
    </row>
    <row r="103" spans="1:22">
      <c r="A103" s="977"/>
      <c r="B103" s="978"/>
      <c r="C103" s="978"/>
      <c r="D103" s="978"/>
      <c r="E103" s="978"/>
      <c r="F103" s="974"/>
      <c r="G103" s="973"/>
      <c r="H103" s="974"/>
      <c r="I103" s="362"/>
      <c r="J103" s="385"/>
      <c r="K103" s="364">
        <f t="shared" si="27"/>
        <v>0</v>
      </c>
      <c r="L103" s="364">
        <f t="shared" si="28"/>
        <v>0</v>
      </c>
      <c r="M103" s="364">
        <f t="shared" si="29"/>
        <v>0</v>
      </c>
      <c r="N103" s="364">
        <f t="shared" si="30"/>
        <v>0</v>
      </c>
      <c r="O103" s="364">
        <f t="shared" si="31"/>
        <v>0</v>
      </c>
      <c r="P103" s="364">
        <f t="shared" si="32"/>
        <v>0</v>
      </c>
      <c r="Q103" s="364">
        <f t="shared" si="33"/>
        <v>0</v>
      </c>
      <c r="R103" s="364">
        <f t="shared" si="34"/>
        <v>0</v>
      </c>
      <c r="S103" s="364">
        <f t="shared" si="35"/>
        <v>0</v>
      </c>
      <c r="T103" s="364">
        <f t="shared" si="36"/>
        <v>0</v>
      </c>
      <c r="U103" s="364">
        <f t="shared" si="37"/>
        <v>0</v>
      </c>
      <c r="V103" s="364">
        <f t="shared" si="38"/>
        <v>0</v>
      </c>
    </row>
    <row r="104" spans="1:22">
      <c r="A104" s="977"/>
      <c r="B104" s="978"/>
      <c r="C104" s="978"/>
      <c r="D104" s="978"/>
      <c r="E104" s="978"/>
      <c r="F104" s="974"/>
      <c r="G104" s="973"/>
      <c r="H104" s="974"/>
      <c r="I104" s="362"/>
      <c r="J104" s="385"/>
      <c r="K104" s="364">
        <f t="shared" si="27"/>
        <v>0</v>
      </c>
      <c r="L104" s="364">
        <f t="shared" si="28"/>
        <v>0</v>
      </c>
      <c r="M104" s="364">
        <f t="shared" si="29"/>
        <v>0</v>
      </c>
      <c r="N104" s="364">
        <f t="shared" si="30"/>
        <v>0</v>
      </c>
      <c r="O104" s="364">
        <f t="shared" si="31"/>
        <v>0</v>
      </c>
      <c r="P104" s="364">
        <f t="shared" si="32"/>
        <v>0</v>
      </c>
      <c r="Q104" s="364">
        <f t="shared" si="33"/>
        <v>0</v>
      </c>
      <c r="R104" s="364">
        <f t="shared" si="34"/>
        <v>0</v>
      </c>
      <c r="S104" s="364">
        <f t="shared" si="35"/>
        <v>0</v>
      </c>
      <c r="T104" s="364">
        <f t="shared" si="36"/>
        <v>0</v>
      </c>
      <c r="U104" s="364">
        <f t="shared" si="37"/>
        <v>0</v>
      </c>
      <c r="V104" s="364">
        <f t="shared" si="38"/>
        <v>0</v>
      </c>
    </row>
    <row r="105" spans="1:22">
      <c r="A105" s="977"/>
      <c r="B105" s="978"/>
      <c r="C105" s="978"/>
      <c r="D105" s="978"/>
      <c r="E105" s="978"/>
      <c r="F105" s="974"/>
      <c r="G105" s="973"/>
      <c r="H105" s="974"/>
      <c r="I105" s="362"/>
      <c r="J105" s="385"/>
      <c r="K105" s="364">
        <f t="shared" si="27"/>
        <v>0</v>
      </c>
      <c r="L105" s="364">
        <f t="shared" si="28"/>
        <v>0</v>
      </c>
      <c r="M105" s="364">
        <f t="shared" si="29"/>
        <v>0</v>
      </c>
      <c r="N105" s="364">
        <f t="shared" si="30"/>
        <v>0</v>
      </c>
      <c r="O105" s="364">
        <f t="shared" si="31"/>
        <v>0</v>
      </c>
      <c r="P105" s="364">
        <f t="shared" si="32"/>
        <v>0</v>
      </c>
      <c r="Q105" s="364">
        <f t="shared" si="33"/>
        <v>0</v>
      </c>
      <c r="R105" s="364">
        <f t="shared" si="34"/>
        <v>0</v>
      </c>
      <c r="S105" s="364">
        <f t="shared" si="35"/>
        <v>0</v>
      </c>
      <c r="T105" s="364">
        <f t="shared" si="36"/>
        <v>0</v>
      </c>
      <c r="U105" s="364">
        <f t="shared" si="37"/>
        <v>0</v>
      </c>
      <c r="V105" s="364">
        <f t="shared" si="38"/>
        <v>0</v>
      </c>
    </row>
    <row r="106" spans="1:22" ht="17" thickBot="1">
      <c r="A106" s="977"/>
      <c r="B106" s="978"/>
      <c r="C106" s="978"/>
      <c r="D106" s="978"/>
      <c r="E106" s="978"/>
      <c r="F106" s="974"/>
      <c r="G106" s="973"/>
      <c r="H106" s="974"/>
      <c r="I106" s="362"/>
      <c r="J106" s="385"/>
      <c r="K106" s="364">
        <f t="shared" si="27"/>
        <v>0</v>
      </c>
      <c r="L106" s="364">
        <f t="shared" si="28"/>
        <v>0</v>
      </c>
      <c r="M106" s="364">
        <f t="shared" si="29"/>
        <v>0</v>
      </c>
      <c r="N106" s="364">
        <f t="shared" si="30"/>
        <v>0</v>
      </c>
      <c r="O106" s="364">
        <f t="shared" si="31"/>
        <v>0</v>
      </c>
      <c r="P106" s="364">
        <f t="shared" si="32"/>
        <v>0</v>
      </c>
      <c r="Q106" s="364">
        <f t="shared" si="33"/>
        <v>0</v>
      </c>
      <c r="R106" s="364">
        <f t="shared" si="34"/>
        <v>0</v>
      </c>
      <c r="S106" s="364">
        <f t="shared" si="35"/>
        <v>0</v>
      </c>
      <c r="T106" s="364">
        <f t="shared" si="36"/>
        <v>0</v>
      </c>
      <c r="U106" s="364">
        <f t="shared" si="37"/>
        <v>0</v>
      </c>
      <c r="V106" s="364">
        <f t="shared" si="38"/>
        <v>0</v>
      </c>
    </row>
    <row r="107" spans="1:22" ht="16" customHeight="1" thickBot="1">
      <c r="A107" s="354" t="s">
        <v>237</v>
      </c>
      <c r="B107" s="355"/>
      <c r="C107" s="355"/>
      <c r="D107" s="355"/>
      <c r="E107" s="355"/>
      <c r="F107" s="355"/>
      <c r="G107" s="355"/>
      <c r="H107" s="356"/>
      <c r="I107" s="263">
        <f>SUM(I62:I106)</f>
        <v>10</v>
      </c>
      <c r="J107" s="38"/>
      <c r="K107" s="364">
        <f>SUM(K62:K106)</f>
        <v>0</v>
      </c>
      <c r="L107" s="364">
        <f>SUM(L62:L106)</f>
        <v>0</v>
      </c>
      <c r="M107" s="364">
        <f t="shared" ref="M107:V107" si="39">SUM(M62:M106)</f>
        <v>0</v>
      </c>
      <c r="N107" s="364">
        <f t="shared" si="39"/>
        <v>0</v>
      </c>
      <c r="O107" s="364">
        <f t="shared" si="39"/>
        <v>10</v>
      </c>
      <c r="P107" s="364">
        <f t="shared" si="39"/>
        <v>0</v>
      </c>
      <c r="Q107" s="364">
        <f t="shared" si="39"/>
        <v>0</v>
      </c>
      <c r="R107" s="364">
        <f t="shared" si="39"/>
        <v>0</v>
      </c>
      <c r="S107" s="364">
        <f t="shared" si="39"/>
        <v>0</v>
      </c>
      <c r="T107" s="364">
        <f t="shared" si="39"/>
        <v>0</v>
      </c>
      <c r="U107" s="364">
        <f t="shared" si="39"/>
        <v>0</v>
      </c>
      <c r="V107" s="364">
        <f t="shared" si="39"/>
        <v>0</v>
      </c>
    </row>
    <row r="108" spans="1:22" ht="16" customHeight="1">
      <c r="A108" s="837"/>
      <c r="B108" s="837"/>
      <c r="C108" s="986" t="s">
        <v>511</v>
      </c>
      <c r="D108" s="986"/>
      <c r="E108" s="986"/>
      <c r="F108" s="986"/>
      <c r="G108" s="986"/>
      <c r="H108" s="986"/>
      <c r="I108" s="986"/>
      <c r="J108" s="38"/>
      <c r="K108" s="38"/>
      <c r="L108" s="38"/>
      <c r="M108" s="38"/>
      <c r="N108" s="38"/>
      <c r="O108" s="38"/>
      <c r="P108" s="38"/>
      <c r="Q108" s="38"/>
      <c r="R108" s="38"/>
      <c r="S108" s="38"/>
      <c r="T108" s="38"/>
      <c r="U108" s="38"/>
      <c r="V108" s="38"/>
    </row>
    <row r="109" spans="1:22" ht="16" customHeight="1">
      <c r="A109" s="837"/>
      <c r="B109" s="837"/>
      <c r="C109" s="967"/>
      <c r="D109" s="967"/>
      <c r="E109" s="967"/>
      <c r="F109" s="967"/>
      <c r="G109" s="967"/>
      <c r="H109" s="967"/>
      <c r="I109" s="967"/>
      <c r="J109" s="38"/>
      <c r="K109" s="38"/>
      <c r="L109" s="38"/>
      <c r="M109" s="38"/>
      <c r="N109" s="38"/>
      <c r="O109" s="38"/>
      <c r="P109" s="38"/>
      <c r="Q109" s="38"/>
      <c r="R109" s="38"/>
      <c r="S109" s="38"/>
      <c r="T109" s="38"/>
      <c r="U109" s="38"/>
      <c r="V109" s="38"/>
    </row>
    <row r="110" spans="1:22" ht="16" customHeight="1">
      <c r="A110" s="837"/>
      <c r="B110" s="837"/>
      <c r="C110" s="967"/>
      <c r="D110" s="967"/>
      <c r="E110" s="967"/>
      <c r="F110" s="967"/>
      <c r="G110" s="967"/>
      <c r="H110" s="967"/>
      <c r="I110" s="967"/>
    </row>
    <row r="111" spans="1:22" ht="16" customHeight="1">
      <c r="A111" s="837"/>
      <c r="B111" s="837"/>
      <c r="C111" s="967"/>
      <c r="D111" s="967"/>
      <c r="E111" s="967"/>
      <c r="F111" s="967"/>
      <c r="G111" s="967"/>
      <c r="H111" s="967"/>
      <c r="I111" s="967"/>
    </row>
    <row r="112" spans="1:22" ht="19" customHeight="1">
      <c r="A112" s="837"/>
      <c r="B112" s="837"/>
      <c r="C112" s="967"/>
      <c r="D112" s="967"/>
      <c r="E112" s="967"/>
      <c r="F112" s="967"/>
      <c r="G112" s="967"/>
      <c r="H112" s="967"/>
      <c r="I112" s="967"/>
    </row>
  </sheetData>
  <sheetProtection sheet="1"/>
  <mergeCells count="196">
    <mergeCell ref="A9:B9"/>
    <mergeCell ref="C9:D9"/>
    <mergeCell ref="E9:F9"/>
    <mergeCell ref="G9:H9"/>
    <mergeCell ref="A5:H5"/>
    <mergeCell ref="A6:B6"/>
    <mergeCell ref="C6:D6"/>
    <mergeCell ref="E6:F6"/>
    <mergeCell ref="G6:H6"/>
    <mergeCell ref="A7:B7"/>
    <mergeCell ref="C7:D7"/>
    <mergeCell ref="E7:F7"/>
    <mergeCell ref="G7:H7"/>
    <mergeCell ref="A8:B8"/>
    <mergeCell ref="C8:D8"/>
    <mergeCell ref="E8:F8"/>
    <mergeCell ref="G8:H8"/>
    <mergeCell ref="AQ13:BC13"/>
    <mergeCell ref="AQ14:AR14"/>
    <mergeCell ref="AT14:AU14"/>
    <mergeCell ref="AV14:AW14"/>
    <mergeCell ref="AX14:AY14"/>
    <mergeCell ref="AZ14:BA14"/>
    <mergeCell ref="BB14:BC14"/>
    <mergeCell ref="AT15:AU15"/>
    <mergeCell ref="AV15:AW15"/>
    <mergeCell ref="AX15:AY15"/>
    <mergeCell ref="AZ15:BA15"/>
    <mergeCell ref="BB15:BC15"/>
    <mergeCell ref="R15:S15"/>
    <mergeCell ref="T15:U15"/>
    <mergeCell ref="V15:W15"/>
    <mergeCell ref="X15:Y15"/>
    <mergeCell ref="AC10:AO10"/>
    <mergeCell ref="AC11:AG12"/>
    <mergeCell ref="AH11:AK11"/>
    <mergeCell ref="AL11:AO11"/>
    <mergeCell ref="AH12:AK12"/>
    <mergeCell ref="AL12:AO12"/>
    <mergeCell ref="AC13:AO13"/>
    <mergeCell ref="AC14:AD14"/>
    <mergeCell ref="AF14:AG14"/>
    <mergeCell ref="AH14:AI14"/>
    <mergeCell ref="AJ14:AK14"/>
    <mergeCell ref="AL14:AM14"/>
    <mergeCell ref="AN14:AO14"/>
    <mergeCell ref="AF15:AG15"/>
    <mergeCell ref="AH15:AI15"/>
    <mergeCell ref="AJ15:AK15"/>
    <mergeCell ref="AL15:AM15"/>
    <mergeCell ref="AN15:AO15"/>
    <mergeCell ref="O10:AA10"/>
    <mergeCell ref="A10:M10"/>
    <mergeCell ref="J11:M11"/>
    <mergeCell ref="F11:I11"/>
    <mergeCell ref="F12:I12"/>
    <mergeCell ref="A11:E12"/>
    <mergeCell ref="A13:M13"/>
    <mergeCell ref="J12:M12"/>
    <mergeCell ref="D14:E14"/>
    <mergeCell ref="Z14:AA14"/>
    <mergeCell ref="F14:G14"/>
    <mergeCell ref="A14:B14"/>
    <mergeCell ref="G91:H91"/>
    <mergeCell ref="G92:H92"/>
    <mergeCell ref="G93:H93"/>
    <mergeCell ref="G94:H94"/>
    <mergeCell ref="G76:H76"/>
    <mergeCell ref="G77:H77"/>
    <mergeCell ref="G78:H78"/>
    <mergeCell ref="G79:H79"/>
    <mergeCell ref="G80:H80"/>
    <mergeCell ref="G81:H81"/>
    <mergeCell ref="G82:H82"/>
    <mergeCell ref="G83:H83"/>
    <mergeCell ref="G84:H84"/>
    <mergeCell ref="H15:I15"/>
    <mergeCell ref="J15:K15"/>
    <mergeCell ref="L15:M15"/>
    <mergeCell ref="H14:I14"/>
    <mergeCell ref="J14:K14"/>
    <mergeCell ref="L14:M14"/>
    <mergeCell ref="A105:F105"/>
    <mergeCell ref="G105:H105"/>
    <mergeCell ref="A102:F102"/>
    <mergeCell ref="G102:H102"/>
    <mergeCell ref="A103:F103"/>
    <mergeCell ref="G103:H103"/>
    <mergeCell ref="A104:F104"/>
    <mergeCell ref="G104:H104"/>
    <mergeCell ref="G95:H95"/>
    <mergeCell ref="G96:H96"/>
    <mergeCell ref="A73:F73"/>
    <mergeCell ref="G73:H73"/>
    <mergeCell ref="A101:F101"/>
    <mergeCell ref="G101:H101"/>
    <mergeCell ref="A76:F76"/>
    <mergeCell ref="A77:F77"/>
    <mergeCell ref="A78:F78"/>
    <mergeCell ref="A88:F88"/>
    <mergeCell ref="A94:F94"/>
    <mergeCell ref="A95:F95"/>
    <mergeCell ref="A96:F96"/>
    <mergeCell ref="G85:H85"/>
    <mergeCell ref="G86:H86"/>
    <mergeCell ref="G87:H87"/>
    <mergeCell ref="G88:H88"/>
    <mergeCell ref="G89:H89"/>
    <mergeCell ref="A69:F69"/>
    <mergeCell ref="A79:F79"/>
    <mergeCell ref="A80:F80"/>
    <mergeCell ref="A81:F81"/>
    <mergeCell ref="A82:F82"/>
    <mergeCell ref="A83:F83"/>
    <mergeCell ref="A84:F84"/>
    <mergeCell ref="A85:F85"/>
    <mergeCell ref="A86:F86"/>
    <mergeCell ref="A87:F87"/>
    <mergeCell ref="A89:F89"/>
    <mergeCell ref="A90:F90"/>
    <mergeCell ref="A91:F91"/>
    <mergeCell ref="A92:F92"/>
    <mergeCell ref="A93:F93"/>
    <mergeCell ref="G90:H90"/>
    <mergeCell ref="A62:F62"/>
    <mergeCell ref="G61:H61"/>
    <mergeCell ref="G62:H62"/>
    <mergeCell ref="A59:I59"/>
    <mergeCell ref="A61:F61"/>
    <mergeCell ref="AQ10:BC10"/>
    <mergeCell ref="AQ11:AU12"/>
    <mergeCell ref="AV11:AY11"/>
    <mergeCell ref="AZ11:BC11"/>
    <mergeCell ref="AV12:AY12"/>
    <mergeCell ref="AZ12:BC12"/>
    <mergeCell ref="O11:S12"/>
    <mergeCell ref="T11:W11"/>
    <mergeCell ref="X11:AA11"/>
    <mergeCell ref="T12:W12"/>
    <mergeCell ref="X12:AA12"/>
    <mergeCell ref="O13:AA13"/>
    <mergeCell ref="O14:P14"/>
    <mergeCell ref="R14:S14"/>
    <mergeCell ref="T14:U14"/>
    <mergeCell ref="V14:W14"/>
    <mergeCell ref="X14:Y14"/>
    <mergeCell ref="D15:E15"/>
    <mergeCell ref="F15:G15"/>
    <mergeCell ref="A2:B2"/>
    <mergeCell ref="A3:B3"/>
    <mergeCell ref="A65:F65"/>
    <mergeCell ref="A66:F66"/>
    <mergeCell ref="A67:F67"/>
    <mergeCell ref="G67:H67"/>
    <mergeCell ref="A60:I60"/>
    <mergeCell ref="Z15:AA15"/>
    <mergeCell ref="C108:I112"/>
    <mergeCell ref="A74:F74"/>
    <mergeCell ref="G74:H74"/>
    <mergeCell ref="A75:F75"/>
    <mergeCell ref="A100:F100"/>
    <mergeCell ref="G100:H100"/>
    <mergeCell ref="G68:H68"/>
    <mergeCell ref="G69:H69"/>
    <mergeCell ref="G75:H75"/>
    <mergeCell ref="A97:F97"/>
    <mergeCell ref="G97:H97"/>
    <mergeCell ref="A98:F98"/>
    <mergeCell ref="G98:H98"/>
    <mergeCell ref="A99:F99"/>
    <mergeCell ref="G99:H99"/>
    <mergeCell ref="A68:F68"/>
    <mergeCell ref="C1:S1"/>
    <mergeCell ref="E2:S2"/>
    <mergeCell ref="E3:S3"/>
    <mergeCell ref="A108:B112"/>
    <mergeCell ref="A48:D48"/>
    <mergeCell ref="A47:D47"/>
    <mergeCell ref="G63:H63"/>
    <mergeCell ref="G64:H64"/>
    <mergeCell ref="G65:H65"/>
    <mergeCell ref="G66:H66"/>
    <mergeCell ref="A46:D46"/>
    <mergeCell ref="A70:F70"/>
    <mergeCell ref="A71:F71"/>
    <mergeCell ref="A72:F72"/>
    <mergeCell ref="G70:H70"/>
    <mergeCell ref="G71:H71"/>
    <mergeCell ref="G72:H72"/>
    <mergeCell ref="A63:F63"/>
    <mergeCell ref="A64:F64"/>
    <mergeCell ref="A106:F106"/>
    <mergeCell ref="G106:H106"/>
    <mergeCell ref="C4:S4"/>
    <mergeCell ref="C2:D2"/>
    <mergeCell ref="C3:D3"/>
  </mergeCells>
  <phoneticPr fontId="5" type="noConversion"/>
  <conditionalFormatting sqref="D16:D45">
    <cfRule type="expression" dxfId="975" priority="1" stopIfTrue="1">
      <formula>OR($A16&gt;0,)</formula>
    </cfRule>
  </conditionalFormatting>
  <conditionalFormatting sqref="E16:E45">
    <cfRule type="expression" dxfId="974" priority="570">
      <formula>AND($A16&gt;0,$D16="E")</formula>
    </cfRule>
    <cfRule type="expression" dxfId="973" priority="569">
      <formula>AND($A16&gt;0,$D16="L")</formula>
    </cfRule>
  </conditionalFormatting>
  <conditionalFormatting sqref="F16:F45 L16:L45">
    <cfRule type="expression" dxfId="972" priority="2" stopIfTrue="1">
      <formula>OR($A16&gt;0,)</formula>
    </cfRule>
  </conditionalFormatting>
  <conditionalFormatting sqref="G16:G45">
    <cfRule type="expression" dxfId="971" priority="572">
      <formula>AND($A16&gt;0,$F16="E")</formula>
    </cfRule>
    <cfRule type="expression" dxfId="970" priority="571" stopIfTrue="1">
      <formula>AND($A16&gt;0,$F16="L")</formula>
    </cfRule>
  </conditionalFormatting>
  <conditionalFormatting sqref="G97:I106">
    <cfRule type="expression" dxfId="969" priority="110">
      <formula>OR($B97&gt;0,)</formula>
    </cfRule>
  </conditionalFormatting>
  <conditionalFormatting sqref="H16:H45 J16:J45 G62:I106">
    <cfRule type="expression" dxfId="968" priority="109">
      <formula>OR($A16&gt;0,)</formula>
    </cfRule>
  </conditionalFormatting>
  <conditionalFormatting sqref="I16:I45">
    <cfRule type="expression" dxfId="967" priority="574" stopIfTrue="1">
      <formula>AND($A16&gt;0,$H16="E")</formula>
    </cfRule>
    <cfRule type="expression" dxfId="966" priority="573" stopIfTrue="1">
      <formula>AND($A16&gt;0,$H16="L")</formula>
    </cfRule>
  </conditionalFormatting>
  <conditionalFormatting sqref="K16:K45">
    <cfRule type="expression" dxfId="965" priority="576" stopIfTrue="1">
      <formula>AND($A16&gt;0,$J16="E")</formula>
    </cfRule>
    <cfRule type="expression" dxfId="964" priority="575">
      <formula>AND($A16&gt;0,$J16="L")</formula>
    </cfRule>
  </conditionalFormatting>
  <conditionalFormatting sqref="M16:M45">
    <cfRule type="expression" dxfId="963" priority="578">
      <formula>AND($A16&gt;0,$L16="E")</formula>
    </cfRule>
    <cfRule type="expression" dxfId="962" priority="577">
      <formula>AND($A16&gt;0,$L16="L")</formula>
    </cfRule>
  </conditionalFormatting>
  <conditionalFormatting sqref="R16:R45 V16:V45 X16:X45 Z16:Z45">
    <cfRule type="expression" dxfId="961" priority="62">
      <formula>OR($O16&gt;0,)</formula>
    </cfRule>
  </conditionalFormatting>
  <conditionalFormatting sqref="S16:S45">
    <cfRule type="expression" dxfId="960" priority="64" stopIfTrue="1">
      <formula>AND($O16&gt;0,$R16="E")</formula>
    </cfRule>
    <cfRule type="expression" dxfId="959" priority="53" stopIfTrue="1">
      <formula>AND($O16&gt;0,$R16="L")</formula>
    </cfRule>
  </conditionalFormatting>
  <conditionalFormatting sqref="T16:T45">
    <cfRule type="expression" dxfId="958" priority="60" stopIfTrue="1">
      <formula>OR($O16&gt;0,)</formula>
    </cfRule>
  </conditionalFormatting>
  <conditionalFormatting sqref="U16:U45">
    <cfRule type="expression" dxfId="957" priority="52" stopIfTrue="1">
      <formula>AND($O16&gt;0,$T16="E")</formula>
    </cfRule>
    <cfRule type="expression" dxfId="956" priority="51">
      <formula>AND($O16&gt;0,$T16="L")</formula>
    </cfRule>
  </conditionalFormatting>
  <conditionalFormatting sqref="W16:W45">
    <cfRule type="expression" dxfId="955" priority="49">
      <formula>AND($O16&gt;0,$V16="L")</formula>
    </cfRule>
    <cfRule type="expression" dxfId="954" priority="50">
      <formula>AND($O16&gt;0,$V16="E")</formula>
    </cfRule>
  </conditionalFormatting>
  <conditionalFormatting sqref="Y16:Y45">
    <cfRule type="expression" dxfId="953" priority="48">
      <formula>AND($O16&gt;0,$X16="E")</formula>
    </cfRule>
    <cfRule type="expression" dxfId="952" priority="47" stopIfTrue="1">
      <formula>AND($O16&gt;0,$X16="L")</formula>
    </cfRule>
  </conditionalFormatting>
  <conditionalFormatting sqref="AA16:AA45">
    <cfRule type="expression" dxfId="951" priority="46" stopIfTrue="1">
      <formula>AND($O16&gt;0,$Z16="E")</formula>
    </cfRule>
    <cfRule type="expression" dxfId="950" priority="45" stopIfTrue="1">
      <formula>AND($O16&gt;0,$Z16="L")</formula>
    </cfRule>
  </conditionalFormatting>
  <conditionalFormatting sqref="AF16:AF45 AH16:AH45 AJ16:AJ45 AL16:AL45 AN16:AN45">
    <cfRule type="expression" dxfId="949" priority="42">
      <formula>OR($AC16&gt;0,)</formula>
    </cfRule>
  </conditionalFormatting>
  <conditionalFormatting sqref="AG16:AG45">
    <cfRule type="expression" dxfId="948" priority="44" stopIfTrue="1">
      <formula>AND($AC16&gt;0,$AF16="E")</formula>
    </cfRule>
    <cfRule type="expression" dxfId="947" priority="33" stopIfTrue="1">
      <formula>AND($AC16&gt;0,$AF16="L")</formula>
    </cfRule>
  </conditionalFormatting>
  <conditionalFormatting sqref="AI16:AI45">
    <cfRule type="expression" dxfId="946" priority="32" stopIfTrue="1">
      <formula>AND($AC16&gt;0,$AH16="E")</formula>
    </cfRule>
    <cfRule type="expression" dxfId="945" priority="31">
      <formula>AND($AC16&gt;0,$AH16="L")</formula>
    </cfRule>
  </conditionalFormatting>
  <conditionalFormatting sqref="AK16:AK45">
    <cfRule type="expression" dxfId="944" priority="29">
      <formula>AND($AC16&gt;0,$AJ16="L")</formula>
    </cfRule>
    <cfRule type="expression" dxfId="943" priority="30">
      <formula>AND($AC16&gt;0,$AJ16="E")</formula>
    </cfRule>
  </conditionalFormatting>
  <conditionalFormatting sqref="AM16:AM45">
    <cfRule type="expression" dxfId="942" priority="28">
      <formula>AND($AC16&gt;0,$AL16="E")</formula>
    </cfRule>
    <cfRule type="expression" dxfId="941" priority="27" stopIfTrue="1">
      <formula>AND($AC16&gt;0,$AL16="L")</formula>
    </cfRule>
  </conditionalFormatting>
  <conditionalFormatting sqref="AO16:AO45">
    <cfRule type="expression" dxfId="940" priority="25" stopIfTrue="1">
      <formula>AND($AC16&gt;0,$AN16="L")</formula>
    </cfRule>
    <cfRule type="expression" dxfId="939" priority="26" stopIfTrue="1">
      <formula>AND($AC16&gt;0,$AN16="E")</formula>
    </cfRule>
  </conditionalFormatting>
  <conditionalFormatting sqref="AT16:AT45">
    <cfRule type="expression" dxfId="938" priority="22" stopIfTrue="1">
      <formula>OR($AQ16&gt;0,)</formula>
    </cfRule>
  </conditionalFormatting>
  <conditionalFormatting sqref="AU16:AU45">
    <cfRule type="expression" dxfId="937" priority="24" stopIfTrue="1">
      <formula>AND($AQ16&gt;0,$AT16="E")</formula>
    </cfRule>
    <cfRule type="expression" dxfId="936" priority="13" stopIfTrue="1">
      <formula>AND($AQ16&gt;0,$AT16="L")</formula>
    </cfRule>
  </conditionalFormatting>
  <conditionalFormatting sqref="AV16:AV45 AX16:AX45 AZ16:AZ45 BB16:BB45">
    <cfRule type="expression" dxfId="935" priority="20">
      <formula>OR($AQ16&gt;0,)</formula>
    </cfRule>
  </conditionalFormatting>
  <conditionalFormatting sqref="AW16:AW45">
    <cfRule type="expression" dxfId="934" priority="12" stopIfTrue="1">
      <formula>AND($AQ16&gt;0,$AV16="E")</formula>
    </cfRule>
    <cfRule type="expression" dxfId="933" priority="11">
      <formula>AND($AQ16&gt;0,$AV16="L")</formula>
    </cfRule>
  </conditionalFormatting>
  <conditionalFormatting sqref="AY16:AY45">
    <cfRule type="expression" dxfId="932" priority="10">
      <formula>AND($AQ16&gt;0,$AX16="E")</formula>
    </cfRule>
    <cfRule type="expression" dxfId="931" priority="9">
      <formula>AND($AQ16&gt;0,$AX16="L")</formula>
    </cfRule>
  </conditionalFormatting>
  <conditionalFormatting sqref="BA16:BA45">
    <cfRule type="expression" dxfId="930" priority="561" stopIfTrue="1">
      <formula>AND($AQ16&gt;0,$AZ16="L")</formula>
    </cfRule>
    <cfRule type="expression" dxfId="929" priority="562">
      <formula>AND($AQ16&gt;0,$AZ16="E")</formula>
    </cfRule>
  </conditionalFormatting>
  <conditionalFormatting sqref="BC16:BC45">
    <cfRule type="expression" dxfId="928" priority="563" stopIfTrue="1">
      <formula>AND($AQ16&gt;0,$BB16="L")</formula>
    </cfRule>
    <cfRule type="expression" dxfId="927" priority="564" stopIfTrue="1">
      <formula>AND($AQ16&gt;0,$BB16="E")</formula>
    </cfRule>
  </conditionalFormatting>
  <dataValidations count="2">
    <dataValidation type="list" allowBlank="1" showInputMessage="1" showErrorMessage="1" sqref="G62:H106" xr:uid="{B959E193-F64B-2646-AE0E-B939BAAB1791}">
      <formula1>$K$59:$V$59</formula1>
    </dataValidation>
    <dataValidation type="list" allowBlank="1" showInputMessage="1" showErrorMessage="1" sqref="AV16:AV45 D16:D45 AZ16:AZ45 F16:F45 J16:J45 BB16:BB45 T16:T45 R16:R45 L16:L45 V16:V45 AJ16:AJ45 AH16:AH45 AF16:AF45 X16:X45 AL16:AL45 AX16:AX45 AT16:AT45 AN16:AN45 Z16:Z45 H16:H45" xr:uid="{BB49B1B2-8215-E744-AB0B-F29E1E132C33}">
      <formula1>$N$16:$N$17</formula1>
    </dataValidation>
  </dataValidations>
  <hyperlinks>
    <hyperlink ref="G6:H6" location="Opgørelse!B12" display="Opgørelse" xr:uid="{B14CA504-4AE2-BE4F-880D-4FD1F04B6D91}"/>
    <hyperlink ref="E6:F6" location="Arbejdstidsoversigt!A19" display="Arbejdstids-oversigt" xr:uid="{4B073AA9-3064-9842-B53B-EC7FD1EF73A8}"/>
    <hyperlink ref="A6:B6" location="Stamoplysninger!E18" display="Stamoplysninger" xr:uid="{C6BE539D-9883-7144-834C-437FFEE92F0F}"/>
    <hyperlink ref="A7:B7" location="August!A12" display="August" xr:uid="{DCD47D3A-6EF8-E34A-B80E-C09810F901F2}"/>
    <hyperlink ref="C7:D7" location="September!A8" display="September" xr:uid="{C70CD987-5729-CC41-9515-6CFF16C59CD5}"/>
    <hyperlink ref="E7:F7" location="Oktober!A8" display="Oktober" xr:uid="{AED39765-4E93-D146-8C49-1983FD63961A}"/>
    <hyperlink ref="G7:H7" location="November!A8" display="November" xr:uid="{7A7E75FF-DB3C-3041-843C-70B9749715CA}"/>
    <hyperlink ref="A8:B8" location="December!A8" display="December" xr:uid="{2E02C0C5-6BCB-EC47-BFCD-98D09FBA2101}"/>
    <hyperlink ref="C8:D8" location="Januar!A8" display="Januar" xr:uid="{4C21BC17-B92A-064F-9507-3D1D23FE2048}"/>
    <hyperlink ref="E8:F8" location="Februar!A8" display="Februar" xr:uid="{BB10312C-5365-1848-81F7-365D41E6E774}"/>
    <hyperlink ref="A9:B9" location="April!A8" display="April" xr:uid="{5F2B3CF8-5D54-DD40-8DBE-5DEA23289A2D}"/>
    <hyperlink ref="C9:D9" location="Maj!A8" display="Maj" xr:uid="{1334E327-4DAF-D841-85DA-E3EDDA0DE5AB}"/>
    <hyperlink ref="E9:F9" location="Juni!A8" display="Juni" xr:uid="{7353E6AA-9DD2-1248-8BD6-105BEF0FDE74}"/>
    <hyperlink ref="G9:H9" location="Juli!A8" display="Juli" xr:uid="{877D0867-8148-4F43-9872-153A4A7B79F8}"/>
    <hyperlink ref="G8:H8" location="Marts!A8" display="Marts" xr:uid="{97CE0E6F-3F2D-A04B-857B-57E28B300AE1}"/>
    <hyperlink ref="C6:D6" location="Opgaver!A8" display="Opgaver" xr:uid="{FE7276F4-F02C-4141-88C3-41874AA1A013}"/>
  </hyperlinks>
  <pageMargins left="0.7" right="0.7" top="0.75" bottom="0.75" header="0.3" footer="0.3"/>
  <pageSetup paperSize="9" scale="43" fitToWidth="4" orientation="portrait" horizontalDpi="0" verticalDpi="0"/>
  <colBreaks count="3" manualBreakCount="3">
    <brk id="14" min="9" max="95" man="1"/>
    <brk id="28" min="9" max="95" man="1"/>
    <brk id="42" min="9" max="95" man="1"/>
  </colBreaks>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8F902-9C08-0940-9528-77BF3E593890}">
  <sheetPr>
    <tabColor theme="4" tint="-0.249977111117893"/>
    <pageSetUpPr fitToPage="1"/>
  </sheetPr>
  <dimension ref="A1:GS144"/>
  <sheetViews>
    <sheetView topLeftCell="B20" zoomScale="140" zoomScaleNormal="100" workbookViewId="0">
      <selection activeCell="E31" sqref="E31:G31"/>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11" width="10.83203125" hidden="1" customWidth="1"/>
    <col min="112" max="112" width="28" hidden="1" customWidth="1"/>
    <col min="113" max="117" width="10.83203125" hidden="1" customWidth="1"/>
    <col min="118" max="118" width="31.1640625" hidden="1" customWidth="1"/>
    <col min="119" max="201" width="10.83203125" hidden="1" customWidth="1"/>
    <col min="202" max="227" width="10.83203125" customWidth="1"/>
  </cols>
  <sheetData>
    <row r="1" spans="1:198" ht="16" customHeight="1">
      <c r="A1" s="345" t="e">
        <f>#REF!</f>
        <v>#REF!</v>
      </c>
      <c r="B1" s="87"/>
      <c r="C1" s="87"/>
      <c r="D1" s="87"/>
      <c r="E1" s="87"/>
      <c r="F1" s="87"/>
      <c r="G1" s="87"/>
      <c r="H1" s="273"/>
      <c r="I1" s="272"/>
      <c r="J1" s="87"/>
      <c r="K1" s="225"/>
      <c r="L1" s="225"/>
      <c r="M1" s="225"/>
      <c r="N1" s="225"/>
      <c r="O1" s="225"/>
      <c r="P1" s="87"/>
      <c r="Q1" s="87"/>
      <c r="R1" s="87"/>
      <c r="S1" s="87"/>
      <c r="T1" s="87"/>
      <c r="U1" s="87"/>
      <c r="V1" s="87"/>
      <c r="W1" s="87"/>
      <c r="Y1" s="240"/>
      <c r="Z1" s="87"/>
      <c r="AB1" s="87"/>
      <c r="AC1" s="87"/>
      <c r="AH1" s="87"/>
      <c r="AI1" s="87"/>
      <c r="CX1" s="242"/>
      <c r="CZ1"/>
    </row>
    <row r="2" spans="1:198" ht="128" customHeight="1">
      <c r="A2" s="1069">
        <v>8</v>
      </c>
      <c r="B2" s="1069"/>
      <c r="C2" s="1069"/>
      <c r="D2" s="1069"/>
      <c r="E2" s="967" t="s">
        <v>713</v>
      </c>
      <c r="F2" s="967"/>
      <c r="G2" s="967"/>
      <c r="H2" s="967"/>
      <c r="I2" s="967"/>
      <c r="J2" s="967"/>
      <c r="K2" s="967"/>
      <c r="L2" s="967"/>
      <c r="M2" s="967"/>
      <c r="N2" s="967"/>
      <c r="O2" s="967"/>
      <c r="P2" s="87"/>
      <c r="Q2" s="87"/>
      <c r="R2" s="87"/>
      <c r="S2" s="87"/>
      <c r="T2" s="87"/>
      <c r="U2" s="87"/>
      <c r="V2" s="87"/>
      <c r="W2" s="120" t="s">
        <v>31</v>
      </c>
      <c r="X2" s="87"/>
      <c r="Y2" s="240"/>
      <c r="Z2" s="87"/>
      <c r="AB2" s="87"/>
      <c r="AC2" s="87"/>
      <c r="AH2" s="87"/>
      <c r="AI2" s="87"/>
      <c r="CX2" s="242"/>
      <c r="CZ2"/>
    </row>
    <row r="3" spans="1:198" ht="87" customHeight="1">
      <c r="A3" s="1069"/>
      <c r="B3" s="1069"/>
      <c r="C3" s="1069"/>
      <c r="D3" s="1069"/>
      <c r="E3" s="967" t="s">
        <v>611</v>
      </c>
      <c r="F3" s="967"/>
      <c r="G3" s="967"/>
      <c r="H3" s="967"/>
      <c r="I3" s="967"/>
      <c r="J3" s="967"/>
      <c r="K3" s="967"/>
      <c r="L3" s="967"/>
      <c r="M3" s="967"/>
      <c r="N3" s="967"/>
      <c r="O3" s="967"/>
      <c r="P3" s="87"/>
      <c r="Q3" s="87"/>
      <c r="R3" s="87"/>
      <c r="S3" s="87"/>
      <c r="T3" s="87"/>
      <c r="U3" s="87"/>
      <c r="V3" s="87"/>
      <c r="W3" s="120"/>
      <c r="X3" s="120"/>
      <c r="Y3" s="240"/>
      <c r="Z3" s="87"/>
      <c r="AB3" s="87"/>
      <c r="AC3" s="87"/>
      <c r="AH3" s="87"/>
      <c r="AI3" s="87"/>
      <c r="CX3" s="242"/>
      <c r="CZ3"/>
    </row>
    <row r="4" spans="1:198" ht="24" customHeight="1" thickBot="1">
      <c r="A4" s="864" t="s">
        <v>689</v>
      </c>
      <c r="B4" s="864"/>
      <c r="C4" s="864"/>
      <c r="D4" s="864"/>
      <c r="E4" s="864"/>
      <c r="F4" s="864"/>
      <c r="G4" s="864"/>
      <c r="H4" s="864"/>
      <c r="I4" s="723"/>
      <c r="J4" s="723"/>
      <c r="K4" s="723"/>
      <c r="L4" s="723"/>
      <c r="M4" s="723"/>
      <c r="N4" s="723"/>
      <c r="O4" s="723"/>
      <c r="P4" s="723"/>
      <c r="Q4" s="723"/>
      <c r="R4" s="723"/>
      <c r="S4" s="723"/>
      <c r="T4" s="723"/>
      <c r="Y4"/>
      <c r="Z4"/>
      <c r="AP4" s="38"/>
      <c r="CY4"/>
      <c r="CZ4"/>
    </row>
    <row r="5" spans="1:198" ht="50" customHeight="1" thickBot="1">
      <c r="A5" s="1226" t="s">
        <v>691</v>
      </c>
      <c r="B5" s="1227"/>
      <c r="C5" s="867" t="s">
        <v>495</v>
      </c>
      <c r="D5" s="868"/>
      <c r="E5" s="869" t="s">
        <v>688</v>
      </c>
      <c r="F5" s="870"/>
      <c r="G5" s="965" t="s">
        <v>367</v>
      </c>
      <c r="H5" s="966"/>
      <c r="I5" s="871" t="s">
        <v>687</v>
      </c>
      <c r="J5" s="1018"/>
      <c r="K5" s="628"/>
      <c r="Y5"/>
      <c r="Z5"/>
      <c r="CY5"/>
      <c r="CZ5"/>
    </row>
    <row r="6" spans="1:198" ht="50" customHeight="1" thickBot="1">
      <c r="A6" s="873" t="s">
        <v>231</v>
      </c>
      <c r="B6" s="873"/>
      <c r="C6" s="1228" t="s">
        <v>233</v>
      </c>
      <c r="D6" s="1228"/>
      <c r="E6" s="873" t="s">
        <v>234</v>
      </c>
      <c r="F6" s="873"/>
      <c r="G6" s="873" t="s">
        <v>235</v>
      </c>
      <c r="H6" s="873"/>
      <c r="Y6"/>
      <c r="Z6"/>
      <c r="CY6"/>
      <c r="CZ6"/>
    </row>
    <row r="7" spans="1:198" ht="50" customHeight="1" thickBot="1">
      <c r="A7" s="873" t="s">
        <v>279</v>
      </c>
      <c r="B7" s="873"/>
      <c r="C7" s="873" t="s">
        <v>280</v>
      </c>
      <c r="D7" s="873"/>
      <c r="E7" s="873" t="s">
        <v>281</v>
      </c>
      <c r="F7" s="873"/>
      <c r="G7" s="873" t="s">
        <v>282</v>
      </c>
      <c r="H7" s="873"/>
      <c r="Y7"/>
      <c r="Z7"/>
      <c r="CY7"/>
      <c r="CZ7"/>
    </row>
    <row r="8" spans="1:198" ht="50" customHeight="1" thickBot="1">
      <c r="A8" s="873" t="s">
        <v>283</v>
      </c>
      <c r="B8" s="873"/>
      <c r="C8" s="873" t="s">
        <v>284</v>
      </c>
      <c r="D8" s="873"/>
      <c r="E8" s="873" t="s">
        <v>285</v>
      </c>
      <c r="F8" s="873"/>
      <c r="G8" s="873" t="s">
        <v>286</v>
      </c>
      <c r="H8" s="873"/>
      <c r="Y8"/>
      <c r="Z8"/>
      <c r="CY8"/>
      <c r="CZ8"/>
    </row>
    <row r="9" spans="1:198" ht="17" thickBot="1">
      <c r="A9" s="1070" t="s">
        <v>306</v>
      </c>
      <c r="B9" s="1071"/>
      <c r="C9" s="1071"/>
      <c r="D9" s="1071"/>
      <c r="E9" s="1071"/>
      <c r="F9" s="1071"/>
      <c r="G9" s="1071"/>
      <c r="H9" s="1071"/>
      <c r="I9" s="1071"/>
      <c r="J9" s="1071"/>
      <c r="K9" s="1071"/>
      <c r="L9" s="1071"/>
      <c r="M9" s="1071"/>
      <c r="N9" s="1071"/>
      <c r="O9" s="1071"/>
      <c r="P9" s="1071"/>
      <c r="Q9" s="1071"/>
      <c r="R9" s="1071"/>
      <c r="S9" s="1071"/>
      <c r="T9" s="1071"/>
      <c r="U9" s="1071"/>
      <c r="V9" s="1071"/>
      <c r="W9" s="1071"/>
      <c r="X9" s="1072"/>
      <c r="Y9"/>
      <c r="Z9" s="87"/>
      <c r="AA9" s="87"/>
      <c r="AE9" s="87"/>
      <c r="AF9" s="87"/>
      <c r="AG9" s="87"/>
      <c r="CV9" s="242"/>
      <c r="CW9" s="242"/>
      <c r="CY9"/>
      <c r="CZ9"/>
      <c r="FK9" s="1179" t="s">
        <v>584</v>
      </c>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1"/>
    </row>
    <row r="10" spans="1:198" ht="254" thickBot="1">
      <c r="A10" s="1066" t="s">
        <v>421</v>
      </c>
      <c r="B10" s="1067"/>
      <c r="C10" s="1067"/>
      <c r="D10" s="1067"/>
      <c r="E10" s="1068" t="s">
        <v>307</v>
      </c>
      <c r="F10" s="1068"/>
      <c r="G10" s="1068"/>
      <c r="H10" s="274" t="s">
        <v>404</v>
      </c>
      <c r="I10" s="425"/>
      <c r="J10" s="425"/>
      <c r="K10" s="1078" t="s">
        <v>496</v>
      </c>
      <c r="L10" s="1078"/>
      <c r="M10" s="471" t="s">
        <v>444</v>
      </c>
      <c r="N10" s="471" t="s">
        <v>422</v>
      </c>
      <c r="O10" s="471" t="s">
        <v>423</v>
      </c>
      <c r="P10" s="472" t="s">
        <v>445</v>
      </c>
      <c r="Q10" s="472" t="s">
        <v>305</v>
      </c>
      <c r="R10" s="472" t="s">
        <v>424</v>
      </c>
      <c r="S10" s="473" t="s">
        <v>451</v>
      </c>
      <c r="T10" s="473" t="s">
        <v>425</v>
      </c>
      <c r="U10" s="473" t="s">
        <v>426</v>
      </c>
      <c r="V10" s="474" t="s">
        <v>446</v>
      </c>
      <c r="W10" s="474" t="s">
        <v>393</v>
      </c>
      <c r="X10" s="475" t="s">
        <v>392</v>
      </c>
      <c r="Y10" s="240"/>
      <c r="Z10" s="87"/>
      <c r="AB10" s="87"/>
      <c r="AC10" s="87"/>
      <c r="AH10" s="87"/>
      <c r="AI10" s="87"/>
      <c r="CX10" s="242"/>
      <c r="CZ10"/>
      <c r="FK10" s="884" t="s">
        <v>582</v>
      </c>
      <c r="FL10" s="884"/>
      <c r="FM10" s="884"/>
      <c r="FN10" s="884"/>
      <c r="FO10" s="884" t="s">
        <v>582</v>
      </c>
      <c r="FP10" s="884"/>
      <c r="FQ10" s="884"/>
      <c r="FR10" s="884"/>
      <c r="FS10" t="s">
        <v>575</v>
      </c>
      <c r="FU10" s="837" t="s">
        <v>581</v>
      </c>
      <c r="FV10" s="837"/>
      <c r="FW10" s="837"/>
      <c r="FX10" s="837"/>
    </row>
    <row r="11" spans="1:198" ht="26" customHeight="1" thickBot="1">
      <c r="A11" s="1194" t="str">
        <f>""&amp;A13&amp;" måneds kalender for: "&amp;Stamoplysninger!E13&amp;". Måneden vedr. normperioden: "&amp;Stamoplysninger!E16&amp;" - "&amp;Stamoplysninger!G16&amp;"."</f>
        <v>August måneds kalender for: Beate Simonsen. Måneden vedr. normperioden:  - .</v>
      </c>
      <c r="B11" s="1195"/>
      <c r="C11" s="1195"/>
      <c r="D11" s="1195"/>
      <c r="E11" s="1195"/>
      <c r="F11" s="1195"/>
      <c r="G11" s="1195"/>
      <c r="H11" s="1195"/>
      <c r="I11" s="1074"/>
      <c r="J11" s="1074"/>
      <c r="K11" s="1195"/>
      <c r="L11" s="1195"/>
      <c r="M11" s="1195"/>
      <c r="N11" s="1195"/>
      <c r="O11" s="1195"/>
      <c r="P11" s="1195"/>
      <c r="Q11" s="1195"/>
      <c r="R11" s="1196"/>
      <c r="S11" s="1073" t="s">
        <v>302</v>
      </c>
      <c r="T11" s="1074"/>
      <c r="U11" s="1074"/>
      <c r="V11" s="1074"/>
      <c r="W11" s="1074"/>
      <c r="X11" s="1075"/>
      <c r="Y11" s="240"/>
      <c r="Z11" s="87"/>
      <c r="AB11" s="87"/>
      <c r="AC11" s="87"/>
      <c r="AH11" s="87"/>
      <c r="AI11" s="87"/>
      <c r="CX11" s="242"/>
      <c r="CZ11"/>
      <c r="DV11" t="s">
        <v>665</v>
      </c>
      <c r="ED11" t="s">
        <v>665</v>
      </c>
      <c r="FC11" s="1208" t="s">
        <v>654</v>
      </c>
      <c r="FD11" s="1208"/>
      <c r="FE11" s="1208"/>
      <c r="FF11" s="1208"/>
      <c r="FG11" s="1208" t="s">
        <v>654</v>
      </c>
      <c r="FH11" s="1208"/>
      <c r="FI11" s="1208"/>
      <c r="FJ11" s="1208"/>
      <c r="FK11" s="1182" t="s">
        <v>569</v>
      </c>
      <c r="FL11" s="1182"/>
      <c r="FM11" s="1182"/>
      <c r="FN11" s="1182"/>
      <c r="FO11" s="1182"/>
      <c r="FP11" s="1182"/>
      <c r="FQ11" s="1182"/>
      <c r="FR11" s="1182"/>
      <c r="FS11" s="1182"/>
      <c r="FT11" s="1182"/>
      <c r="FU11" s="1182"/>
      <c r="FV11" s="1182"/>
      <c r="FW11" s="1182"/>
      <c r="FX11" s="1182"/>
      <c r="GA11" t="s">
        <v>583</v>
      </c>
      <c r="GB11" t="s">
        <v>576</v>
      </c>
      <c r="GD11" t="s">
        <v>577</v>
      </c>
      <c r="GF11" t="s">
        <v>578</v>
      </c>
      <c r="GH11" s="511" t="s">
        <v>579</v>
      </c>
    </row>
    <row r="12" spans="1:198" ht="47" customHeight="1">
      <c r="A12" s="320">
        <v>2026</v>
      </c>
      <c r="B12" s="236"/>
      <c r="C12" s="237"/>
      <c r="D12" s="238"/>
      <c r="E12" s="1199" t="s">
        <v>455</v>
      </c>
      <c r="F12" s="1200"/>
      <c r="G12" s="1201"/>
      <c r="H12" s="317" t="s">
        <v>674</v>
      </c>
      <c r="I12" s="1031" t="s">
        <v>452</v>
      </c>
      <c r="J12" s="1032" t="s">
        <v>470</v>
      </c>
      <c r="K12" s="1197" t="s">
        <v>299</v>
      </c>
      <c r="L12" s="1198"/>
      <c r="M12" s="318" t="s">
        <v>300</v>
      </c>
      <c r="N12" s="1047" t="s">
        <v>435</v>
      </c>
      <c r="O12" s="1047" t="s">
        <v>304</v>
      </c>
      <c r="P12" s="1047" t="s">
        <v>443</v>
      </c>
      <c r="Q12" s="1047" t="s">
        <v>381</v>
      </c>
      <c r="R12" s="1215" t="s">
        <v>497</v>
      </c>
      <c r="S12" s="1223" t="s">
        <v>301</v>
      </c>
      <c r="T12" s="1224"/>
      <c r="U12" s="1224"/>
      <c r="V12" s="1224"/>
      <c r="W12" s="1224"/>
      <c r="X12" s="1225"/>
      <c r="Y12" s="209"/>
      <c r="Z12" s="209"/>
      <c r="AA12" s="1049" t="s">
        <v>258</v>
      </c>
      <c r="AB12" s="1049"/>
      <c r="AC12" s="1049"/>
      <c r="AD12" s="1049"/>
      <c r="AE12" s="1049"/>
      <c r="AF12" s="206"/>
      <c r="AG12" s="1049" t="s">
        <v>219</v>
      </c>
      <c r="AH12" s="1049"/>
      <c r="AI12" s="1049"/>
      <c r="AJ12" s="1049"/>
      <c r="AK12" s="1049"/>
      <c r="AL12" s="1049" t="s">
        <v>220</v>
      </c>
      <c r="AM12" s="1049"/>
      <c r="AN12" s="1049"/>
      <c r="AO12" s="1049"/>
      <c r="AP12" s="1049"/>
      <c r="AQ12" s="1049" t="s">
        <v>221</v>
      </c>
      <c r="AR12" s="1049"/>
      <c r="AS12" s="1049"/>
      <c r="AT12" s="1049"/>
      <c r="AU12" s="1049"/>
      <c r="AV12" s="1049" t="s">
        <v>222</v>
      </c>
      <c r="AW12" s="1049"/>
      <c r="AX12" s="1049"/>
      <c r="AY12" s="1049"/>
      <c r="AZ12" s="1049"/>
      <c r="BA12" s="293"/>
      <c r="BB12" s="206"/>
      <c r="BC12" s="1049" t="s">
        <v>261</v>
      </c>
      <c r="BD12" s="1049"/>
      <c r="BE12" s="1049"/>
      <c r="BF12" s="1049"/>
      <c r="BG12" s="1049" t="s">
        <v>224</v>
      </c>
      <c r="BH12" s="1049"/>
      <c r="BI12" s="1049"/>
      <c r="BJ12" s="1049"/>
      <c r="BK12" s="1049"/>
      <c r="BL12" s="1049" t="s">
        <v>225</v>
      </c>
      <c r="BM12" s="1049"/>
      <c r="BN12" s="1049"/>
      <c r="BO12" s="1049"/>
      <c r="BP12" s="1049"/>
      <c r="BQ12" s="1049" t="s">
        <v>226</v>
      </c>
      <c r="BR12" s="1049"/>
      <c r="BS12" s="1049"/>
      <c r="BT12" s="1049"/>
      <c r="BU12" s="1049"/>
      <c r="BV12" s="1049" t="s">
        <v>227</v>
      </c>
      <c r="BW12" s="1049"/>
      <c r="BX12" s="1049"/>
      <c r="BY12" s="1049"/>
      <c r="BZ12" s="1049"/>
      <c r="CD12" s="1049" t="s">
        <v>262</v>
      </c>
      <c r="CE12" s="1049"/>
      <c r="CF12" s="1049"/>
      <c r="CG12" s="1049"/>
      <c r="CH12" s="1049"/>
      <c r="CI12" s="1049" t="s">
        <v>264</v>
      </c>
      <c r="CJ12" s="1049"/>
      <c r="CK12" s="1049"/>
      <c r="CL12" s="1049"/>
      <c r="CM12" s="1049"/>
      <c r="CN12" s="1049" t="s">
        <v>263</v>
      </c>
      <c r="CO12" s="1049"/>
      <c r="CP12" s="1049"/>
      <c r="CQ12" s="1049"/>
      <c r="CR12" s="1049"/>
      <c r="CS12" s="1049" t="s">
        <v>265</v>
      </c>
      <c r="CT12" s="1049"/>
      <c r="CU12" s="1049"/>
      <c r="CV12" s="1049"/>
      <c r="CW12" s="1049"/>
      <c r="CX12" s="242"/>
      <c r="CZ12"/>
      <c r="DA12" s="837" t="s">
        <v>209</v>
      </c>
      <c r="DB12" s="837"/>
      <c r="DC12" s="837"/>
      <c r="DD12" s="837"/>
      <c r="DE12" s="837"/>
      <c r="DO12" s="1217" t="s">
        <v>315</v>
      </c>
      <c r="DP12" s="1218"/>
      <c r="DQ12" s="1218"/>
      <c r="DR12" s="1218"/>
      <c r="DS12" s="1218"/>
      <c r="DT12" s="1218"/>
      <c r="DU12" s="1218"/>
      <c r="DV12" s="1219"/>
      <c r="DW12" s="1220" t="s">
        <v>370</v>
      </c>
      <c r="DX12" s="1221"/>
      <c r="DY12" s="1221"/>
      <c r="DZ12" s="1221"/>
      <c r="EA12" s="1221"/>
      <c r="EB12" s="1221"/>
      <c r="EC12" s="1221"/>
      <c r="ED12" s="1222"/>
      <c r="EE12" s="1212" t="s">
        <v>316</v>
      </c>
      <c r="EF12" s="1213"/>
      <c r="EG12" s="1213"/>
      <c r="EH12" s="1214"/>
      <c r="EI12" s="1209" t="s">
        <v>655</v>
      </c>
      <c r="EJ12" s="1210"/>
      <c r="EK12" s="1210"/>
      <c r="EL12" s="1211"/>
      <c r="EM12" s="1212" t="s">
        <v>319</v>
      </c>
      <c r="EN12" s="1213"/>
      <c r="EO12" s="1213"/>
      <c r="EP12" s="1214"/>
      <c r="EQ12" s="1212" t="s">
        <v>319</v>
      </c>
      <c r="ER12" s="1213"/>
      <c r="ES12" s="1213"/>
      <c r="ET12" s="1214"/>
      <c r="EU12" s="1042" t="s">
        <v>373</v>
      </c>
      <c r="EV12" s="1043"/>
      <c r="EW12" s="1043"/>
      <c r="EX12" s="1044"/>
      <c r="EY12" s="1042" t="s">
        <v>374</v>
      </c>
      <c r="EZ12" s="1043"/>
      <c r="FA12" s="1043"/>
      <c r="FB12" s="1044"/>
      <c r="FC12" s="1042" t="s">
        <v>375</v>
      </c>
      <c r="FD12" s="1043"/>
      <c r="FE12" s="1043"/>
      <c r="FF12" s="1044"/>
      <c r="FG12" s="1042" t="s">
        <v>376</v>
      </c>
      <c r="FH12" s="1043"/>
      <c r="FI12" s="1043"/>
      <c r="FJ12" s="1044"/>
      <c r="FK12" s="1172" t="s">
        <v>658</v>
      </c>
      <c r="FL12" s="1173"/>
      <c r="FM12" s="1173"/>
      <c r="FN12" s="1174"/>
      <c r="FO12" s="1027" t="s">
        <v>659</v>
      </c>
      <c r="FP12" s="1028"/>
      <c r="FQ12" s="1028"/>
      <c r="FR12" s="1029"/>
      <c r="FS12" s="1183" t="s">
        <v>375</v>
      </c>
      <c r="FT12" s="1183"/>
      <c r="FU12" s="1172" t="s">
        <v>580</v>
      </c>
      <c r="FV12" s="1173"/>
      <c r="FW12" s="1173"/>
      <c r="FX12" s="1184"/>
      <c r="FY12" s="1185" t="s">
        <v>571</v>
      </c>
      <c r="FZ12" s="1186"/>
      <c r="GA12" t="s">
        <v>573</v>
      </c>
      <c r="GB12" s="1183" t="s">
        <v>373</v>
      </c>
      <c r="GC12" s="1183"/>
      <c r="GD12" s="1183" t="s">
        <v>374</v>
      </c>
      <c r="GE12" s="1183"/>
      <c r="GF12" s="1183" t="s">
        <v>376</v>
      </c>
      <c r="GG12" s="1183"/>
      <c r="GH12" s="1183" t="s">
        <v>372</v>
      </c>
      <c r="GI12" s="1183"/>
      <c r="GP12" s="109" t="s">
        <v>663</v>
      </c>
    </row>
    <row r="13" spans="1:198" ht="178" customHeight="1">
      <c r="A13" s="1187" t="s">
        <v>231</v>
      </c>
      <c r="B13" s="1188"/>
      <c r="C13" s="1188"/>
      <c r="D13" s="1189"/>
      <c r="E13" s="1202"/>
      <c r="F13" s="1203"/>
      <c r="G13" s="1204"/>
      <c r="H13" s="1193" t="s">
        <v>668</v>
      </c>
      <c r="I13" s="1031"/>
      <c r="J13" s="1032"/>
      <c r="K13" s="319" t="s">
        <v>498</v>
      </c>
      <c r="L13" s="319" t="s">
        <v>499</v>
      </c>
      <c r="M13" s="319" t="s">
        <v>500</v>
      </c>
      <c r="N13" s="1048"/>
      <c r="O13" s="1048"/>
      <c r="P13" s="1048"/>
      <c r="Q13" s="1048"/>
      <c r="R13" s="1216"/>
      <c r="S13" s="477" t="s">
        <v>669</v>
      </c>
      <c r="T13" s="318" t="s">
        <v>303</v>
      </c>
      <c r="U13" s="318" t="s">
        <v>672</v>
      </c>
      <c r="V13" s="430" t="s">
        <v>428</v>
      </c>
      <c r="W13" s="430" t="s">
        <v>427</v>
      </c>
      <c r="X13" s="431" t="s">
        <v>673</v>
      </c>
      <c r="Y13" s="209" t="s">
        <v>276</v>
      </c>
      <c r="Z13" s="209" t="s">
        <v>277</v>
      </c>
      <c r="AA13" s="294" t="s">
        <v>208</v>
      </c>
      <c r="AB13" t="s">
        <v>134</v>
      </c>
      <c r="AC13" t="s">
        <v>137</v>
      </c>
      <c r="AD13" t="s">
        <v>136</v>
      </c>
      <c r="AE13" t="s">
        <v>135</v>
      </c>
      <c r="AF13" t="s">
        <v>406</v>
      </c>
      <c r="AG13" t="s">
        <v>34</v>
      </c>
      <c r="AH13" t="s">
        <v>35</v>
      </c>
      <c r="AI13" t="s">
        <v>36</v>
      </c>
      <c r="AJ13" t="s">
        <v>37</v>
      </c>
      <c r="AK13" t="s">
        <v>38</v>
      </c>
      <c r="AL13" t="s">
        <v>34</v>
      </c>
      <c r="AM13" t="s">
        <v>35</v>
      </c>
      <c r="AN13" t="s">
        <v>36</v>
      </c>
      <c r="AO13" t="s">
        <v>37</v>
      </c>
      <c r="AP13" t="s">
        <v>38</v>
      </c>
      <c r="AQ13" t="s">
        <v>34</v>
      </c>
      <c r="AR13" t="s">
        <v>35</v>
      </c>
      <c r="AS13" t="s">
        <v>36</v>
      </c>
      <c r="AT13" t="s">
        <v>37</v>
      </c>
      <c r="AU13" t="s">
        <v>38</v>
      </c>
      <c r="AV13" t="s">
        <v>34</v>
      </c>
      <c r="AW13" t="s">
        <v>35</v>
      </c>
      <c r="AX13" t="s">
        <v>36</v>
      </c>
      <c r="AY13" t="s">
        <v>37</v>
      </c>
      <c r="AZ13" t="s">
        <v>38</v>
      </c>
      <c r="BA13" t="s">
        <v>223</v>
      </c>
      <c r="BB13" s="223" t="s">
        <v>210</v>
      </c>
      <c r="BC13" t="s">
        <v>260</v>
      </c>
      <c r="BD13" t="s">
        <v>259</v>
      </c>
      <c r="BE13" t="s">
        <v>245</v>
      </c>
      <c r="BF13" t="s">
        <v>246</v>
      </c>
      <c r="BG13" t="s">
        <v>34</v>
      </c>
      <c r="BH13" t="s">
        <v>35</v>
      </c>
      <c r="BI13" t="s">
        <v>36</v>
      </c>
      <c r="BJ13" t="s">
        <v>37</v>
      </c>
      <c r="BK13" t="s">
        <v>38</v>
      </c>
      <c r="BL13" t="s">
        <v>34</v>
      </c>
      <c r="BM13" t="s">
        <v>35</v>
      </c>
      <c r="BN13" t="s">
        <v>36</v>
      </c>
      <c r="BO13" t="s">
        <v>37</v>
      </c>
      <c r="BP13" t="s">
        <v>38</v>
      </c>
      <c r="BQ13" t="s">
        <v>34</v>
      </c>
      <c r="BR13" t="s">
        <v>35</v>
      </c>
      <c r="BS13" t="s">
        <v>36</v>
      </c>
      <c r="BT13" t="s">
        <v>37</v>
      </c>
      <c r="BU13" t="s">
        <v>38</v>
      </c>
      <c r="BV13" t="s">
        <v>34</v>
      </c>
      <c r="BW13" t="s">
        <v>35</v>
      </c>
      <c r="BX13" t="s">
        <v>36</v>
      </c>
      <c r="BY13" t="s">
        <v>37</v>
      </c>
      <c r="BZ13" t="s">
        <v>38</v>
      </c>
      <c r="CA13" s="109" t="s">
        <v>228</v>
      </c>
      <c r="CB13" s="228" t="s">
        <v>248</v>
      </c>
      <c r="CC13" s="294" t="s">
        <v>249</v>
      </c>
      <c r="CD13" t="s">
        <v>34</v>
      </c>
      <c r="CE13" t="s">
        <v>35</v>
      </c>
      <c r="CF13" t="s">
        <v>36</v>
      </c>
      <c r="CG13" t="s">
        <v>37</v>
      </c>
      <c r="CH13" t="s">
        <v>38</v>
      </c>
      <c r="CI13" t="s">
        <v>34</v>
      </c>
      <c r="CJ13" t="s">
        <v>35</v>
      </c>
      <c r="CK13" t="s">
        <v>36</v>
      </c>
      <c r="CL13" t="s">
        <v>37</v>
      </c>
      <c r="CM13" t="s">
        <v>38</v>
      </c>
      <c r="CN13" t="s">
        <v>34</v>
      </c>
      <c r="CO13" t="s">
        <v>35</v>
      </c>
      <c r="CP13" t="s">
        <v>36</v>
      </c>
      <c r="CQ13" t="s">
        <v>37</v>
      </c>
      <c r="CR13" t="s">
        <v>38</v>
      </c>
      <c r="CS13" t="s">
        <v>34</v>
      </c>
      <c r="CT13" t="s">
        <v>35</v>
      </c>
      <c r="CU13" t="s">
        <v>36</v>
      </c>
      <c r="CV13" t="s">
        <v>37</v>
      </c>
      <c r="CW13" t="s">
        <v>38</v>
      </c>
      <c r="CX13" s="242" t="s">
        <v>274</v>
      </c>
      <c r="CY13" s="242" t="s">
        <v>266</v>
      </c>
      <c r="CZ13" s="242" t="s">
        <v>267</v>
      </c>
      <c r="DA13" s="242" t="s">
        <v>268</v>
      </c>
      <c r="DB13" s="242" t="s">
        <v>269</v>
      </c>
      <c r="DC13" s="242" t="s">
        <v>270</v>
      </c>
      <c r="DD13" s="242" t="s">
        <v>271</v>
      </c>
      <c r="DE13" s="242" t="s">
        <v>272</v>
      </c>
      <c r="DF13" s="242" t="s">
        <v>273</v>
      </c>
      <c r="DG13" s="242"/>
      <c r="DO13" s="626" t="s">
        <v>642</v>
      </c>
      <c r="DP13" s="294" t="s">
        <v>643</v>
      </c>
      <c r="DQ13" s="677" t="s">
        <v>644</v>
      </c>
      <c r="DR13" s="677" t="s">
        <v>645</v>
      </c>
      <c r="DS13" s="627" t="s">
        <v>670</v>
      </c>
      <c r="DT13" s="627" t="str">
        <f>DP13</f>
        <v>Ulempetillæg på weekenddage - kræver der er sat kryds i weekendarbejde. KOLONNE I. Minus ved lejrskole.</v>
      </c>
      <c r="DU13" s="679" t="s">
        <v>600</v>
      </c>
      <c r="DV13" s="678" t="str">
        <f>DR13</f>
        <v>Ulempetillæg ændringer på weekenddage. Kræver der er sat kryds i ændring i timetal og at det er en weekeend. KOLONNE I OG S. Minus lejrskole</v>
      </c>
      <c r="DW13" s="680" t="s">
        <v>646</v>
      </c>
      <c r="DX13" s="677" t="s">
        <v>647</v>
      </c>
      <c r="DY13" s="677" t="s">
        <v>648</v>
      </c>
      <c r="DZ13" s="677" t="s">
        <v>649</v>
      </c>
      <c r="EA13" s="627" t="s">
        <v>599</v>
      </c>
      <c r="EB13" s="679" t="str">
        <f>DX13</f>
        <v>Ulempetillæg på weekenddage til afspadsering. Kræver der er sat kryds i weekendarb. KOLONNE I. Minus ved lejrskole.</v>
      </c>
      <c r="EC13" s="679" t="s">
        <v>600</v>
      </c>
      <c r="ED13" s="678" t="str">
        <f>DZ13</f>
        <v>Ulempetillæg ændringer på weekenddage. Kræver der er sat kryds i ændring i timetal og at det er en weekeend. KOLONNE I OG S. Minus lejrskole</v>
      </c>
      <c r="EE13" s="632" t="s">
        <v>650</v>
      </c>
      <c r="EF13" s="630" t="s">
        <v>601</v>
      </c>
      <c r="EG13" s="631" t="s">
        <v>604</v>
      </c>
      <c r="EH13" s="633" t="s">
        <v>603</v>
      </c>
      <c r="EI13" s="715" t="s">
        <v>656</v>
      </c>
      <c r="EJ13" s="719" t="s">
        <v>660</v>
      </c>
      <c r="EK13" s="631" t="s">
        <v>604</v>
      </c>
      <c r="EL13" s="633" t="s">
        <v>603</v>
      </c>
      <c r="EM13" s="632" t="s">
        <v>650</v>
      </c>
      <c r="EN13" s="630" t="s">
        <v>653</v>
      </c>
      <c r="EO13" s="631" t="s">
        <v>604</v>
      </c>
      <c r="EP13" s="633" t="s">
        <v>603</v>
      </c>
      <c r="EQ13" s="715" t="s">
        <v>657</v>
      </c>
      <c r="ER13" s="719" t="s">
        <v>661</v>
      </c>
      <c r="ES13" s="631" t="s">
        <v>604</v>
      </c>
      <c r="ET13" s="633" t="s">
        <v>603</v>
      </c>
      <c r="EU13" s="632" t="s">
        <v>651</v>
      </c>
      <c r="EV13" s="630" t="s">
        <v>652</v>
      </c>
      <c r="EW13" s="631" t="s">
        <v>602</v>
      </c>
      <c r="EX13" s="633" t="s">
        <v>606</v>
      </c>
      <c r="EY13" s="632" t="s">
        <v>651</v>
      </c>
      <c r="EZ13" s="630" t="s">
        <v>652</v>
      </c>
      <c r="FA13" s="631" t="s">
        <v>602</v>
      </c>
      <c r="FB13" s="633" t="s">
        <v>606</v>
      </c>
      <c r="FC13" s="632" t="s">
        <v>607</v>
      </c>
      <c r="FD13" s="630" t="s">
        <v>605</v>
      </c>
      <c r="FE13" s="631" t="s">
        <v>602</v>
      </c>
      <c r="FF13" s="633" t="s">
        <v>606</v>
      </c>
      <c r="FG13" s="632" t="str">
        <f>FC13</f>
        <v>Weekendtimer på weekenddage</v>
      </c>
      <c r="FH13" s="630" t="s">
        <v>605</v>
      </c>
      <c r="FI13" s="631" t="s">
        <v>602</v>
      </c>
      <c r="FJ13" s="633" t="s">
        <v>606</v>
      </c>
      <c r="FK13" s="658" t="s">
        <v>568</v>
      </c>
      <c r="FL13" s="630" t="s">
        <v>550</v>
      </c>
      <c r="FM13" s="658" t="s">
        <v>568</v>
      </c>
      <c r="FN13" s="633" t="s">
        <v>550</v>
      </c>
      <c r="FO13" s="715" t="s">
        <v>568</v>
      </c>
      <c r="FP13" s="630" t="s">
        <v>550</v>
      </c>
      <c r="FQ13" s="658" t="s">
        <v>568</v>
      </c>
      <c r="FR13" s="633" t="s">
        <v>550</v>
      </c>
      <c r="FS13" s="659" t="s">
        <v>563</v>
      </c>
      <c r="FT13" s="660" t="s">
        <v>564</v>
      </c>
      <c r="FU13" s="658" t="s">
        <v>549</v>
      </c>
      <c r="FV13" s="630" t="s">
        <v>550</v>
      </c>
      <c r="FW13" s="662" t="s">
        <v>549</v>
      </c>
      <c r="FX13" s="663" t="s">
        <v>550</v>
      </c>
      <c r="FY13" s="667" t="s">
        <v>570</v>
      </c>
      <c r="FZ13" s="660" t="s">
        <v>570</v>
      </c>
      <c r="GA13" s="294" t="s">
        <v>572</v>
      </c>
      <c r="GB13" s="659" t="s">
        <v>574</v>
      </c>
      <c r="GC13" s="659" t="s">
        <v>574</v>
      </c>
      <c r="GD13" s="659" t="s">
        <v>574</v>
      </c>
      <c r="GE13" s="659" t="s">
        <v>574</v>
      </c>
      <c r="GF13" s="659" t="s">
        <v>565</v>
      </c>
      <c r="GG13" s="660" t="s">
        <v>566</v>
      </c>
      <c r="GH13" s="659" t="s">
        <v>565</v>
      </c>
      <c r="GI13" s="660" t="s">
        <v>566</v>
      </c>
      <c r="GJ13" s="712" t="s">
        <v>635</v>
      </c>
      <c r="GK13" s="712" t="s">
        <v>636</v>
      </c>
      <c r="GL13" s="712" t="s">
        <v>637</v>
      </c>
      <c r="GM13" s="712" t="s">
        <v>638</v>
      </c>
      <c r="GN13" s="712" t="s">
        <v>640</v>
      </c>
      <c r="GO13" s="712" t="s">
        <v>639</v>
      </c>
      <c r="GP13" s="722" t="s">
        <v>662</v>
      </c>
    </row>
    <row r="14" spans="1:198" ht="20" customHeight="1">
      <c r="A14" s="1190"/>
      <c r="B14" s="1191"/>
      <c r="C14" s="1191"/>
      <c r="D14" s="1192"/>
      <c r="E14" s="1205"/>
      <c r="F14" s="1206"/>
      <c r="G14" s="1207"/>
      <c r="H14" s="1048"/>
      <c r="I14" s="1031"/>
      <c r="J14" s="1032"/>
      <c r="K14" s="1076" t="s">
        <v>320</v>
      </c>
      <c r="L14" s="1058"/>
      <c r="M14" s="1058"/>
      <c r="N14" s="1058"/>
      <c r="O14" s="1058"/>
      <c r="P14" s="1058"/>
      <c r="Q14" s="1058"/>
      <c r="R14" s="1077"/>
      <c r="S14" s="1057" t="s">
        <v>377</v>
      </c>
      <c r="T14" s="1058"/>
      <c r="U14" s="1059"/>
      <c r="V14" s="1076" t="s">
        <v>378</v>
      </c>
      <c r="W14" s="1058"/>
      <c r="X14" s="1077"/>
      <c r="Y14" s="209"/>
      <c r="Z14" s="209"/>
      <c r="AA14" s="294"/>
      <c r="BB14" s="223"/>
      <c r="CA14" s="109"/>
      <c r="CB14" s="228"/>
      <c r="CC14" s="294"/>
      <c r="CX14" s="242"/>
      <c r="DA14" s="242"/>
      <c r="DB14" s="242"/>
      <c r="DC14" s="242"/>
      <c r="DD14" s="242"/>
      <c r="DE14" s="242"/>
      <c r="DF14" s="242"/>
      <c r="DG14" s="242"/>
      <c r="DH14" t="s">
        <v>476</v>
      </c>
      <c r="DI14" t="s">
        <v>477</v>
      </c>
      <c r="DJ14" t="s">
        <v>478</v>
      </c>
      <c r="DO14" s="628"/>
      <c r="DP14" s="714" t="s">
        <v>641</v>
      </c>
      <c r="DS14" s="1176" t="s">
        <v>160</v>
      </c>
      <c r="DT14" s="1176"/>
      <c r="DU14" s="1176"/>
      <c r="DV14" s="1177"/>
      <c r="EA14" s="1178" t="s">
        <v>160</v>
      </c>
      <c r="EB14" s="1178"/>
      <c r="EC14" s="1178"/>
      <c r="ED14" s="629"/>
      <c r="EE14" s="277"/>
      <c r="EF14" s="245"/>
      <c r="EG14" s="1045" t="s">
        <v>160</v>
      </c>
      <c r="EH14" s="1046"/>
      <c r="EI14" s="277"/>
      <c r="EJ14" s="245"/>
      <c r="EK14" s="1045" t="s">
        <v>160</v>
      </c>
      <c r="EL14" s="1046"/>
      <c r="EM14" s="277"/>
      <c r="EN14" s="245"/>
      <c r="EO14" s="1045" t="s">
        <v>160</v>
      </c>
      <c r="EP14" s="1046"/>
      <c r="EQ14" s="277"/>
      <c r="ER14" s="245"/>
      <c r="ES14" s="1045" t="s">
        <v>160</v>
      </c>
      <c r="ET14" s="1046"/>
      <c r="EU14" s="277"/>
      <c r="EV14" s="245"/>
      <c r="EW14" s="1045" t="s">
        <v>160</v>
      </c>
      <c r="EX14" s="1046"/>
      <c r="EY14" s="277"/>
      <c r="EZ14" s="245"/>
      <c r="FA14" s="1045" t="s">
        <v>160</v>
      </c>
      <c r="FB14" s="1046"/>
      <c r="FC14" s="277"/>
      <c r="FD14" s="245"/>
      <c r="FE14" s="1045" t="s">
        <v>160</v>
      </c>
      <c r="FF14" s="1046"/>
      <c r="FG14" s="277"/>
      <c r="FH14" s="245"/>
      <c r="FI14" s="1045" t="s">
        <v>160</v>
      </c>
      <c r="FJ14" s="1046"/>
      <c r="FK14" s="277"/>
      <c r="FL14" s="245"/>
      <c r="FM14" s="1045" t="s">
        <v>160</v>
      </c>
      <c r="FN14" s="1046"/>
      <c r="FO14" s="277"/>
      <c r="FP14" s="245"/>
      <c r="FQ14" s="1045" t="s">
        <v>160</v>
      </c>
      <c r="FR14" s="1046"/>
      <c r="FT14" s="622" t="s">
        <v>158</v>
      </c>
      <c r="FU14" s="277"/>
      <c r="FV14" s="245"/>
      <c r="FW14" s="1045" t="s">
        <v>160</v>
      </c>
      <c r="FX14" s="1175"/>
      <c r="FY14" s="277"/>
      <c r="FZ14" s="668" t="s">
        <v>158</v>
      </c>
      <c r="GC14" s="622" t="s">
        <v>158</v>
      </c>
      <c r="GE14" s="622" t="s">
        <v>158</v>
      </c>
      <c r="GG14" s="622" t="s">
        <v>158</v>
      </c>
      <c r="GI14" s="622" t="s">
        <v>158</v>
      </c>
    </row>
    <row r="15" spans="1:198">
      <c r="A15" s="239">
        <f>IF(ISNUMBER(A13),A13+1,1)</f>
        <v>1</v>
      </c>
      <c r="B15" s="125" t="str">
        <f t="shared" ref="B15:B45" si="0">CHOOSE(MOD(WEEKDAY(DATE(A$12,A$2,A15)),7)+1,"lø","sø","ma","ti","on","to","fr",)</f>
        <v>lø</v>
      </c>
      <c r="C15" s="126" t="s">
        <v>118</v>
      </c>
      <c r="D15" s="127" t="str">
        <f t="shared" ref="D15:D45" si="1">IF(B15="ma",(DATE(A$12,A$2,A15)-DATE(A$12,1,1)+7)/7,"")</f>
        <v/>
      </c>
      <c r="E15" s="1060"/>
      <c r="F15" s="1061"/>
      <c r="G15" s="1062"/>
      <c r="H15" s="292"/>
      <c r="I15" s="746" t="str">
        <f>IF(GO15=1,"X","")</f>
        <v/>
      </c>
      <c r="J15" s="746" t="str">
        <f t="shared" ref="J15:J40" si="2">IF(C15="Lejrskole","X","")</f>
        <v/>
      </c>
      <c r="K15" s="368"/>
      <c r="L15" s="368"/>
      <c r="M15" s="368"/>
      <c r="N15" s="311">
        <f>BA15</f>
        <v>0</v>
      </c>
      <c r="O15" s="311">
        <f>CA15</f>
        <v>0</v>
      </c>
      <c r="P15" s="311">
        <f>IF(Stamoplysninger!$H$34="JA",August!DG15,CX15)</f>
        <v>0</v>
      </c>
      <c r="Q15" s="311">
        <f>IF(OR(OR(C15="Lejrskole",C15="Ekskursion",C15="Pæd.dag")),0,N15-O15-P15)</f>
        <v>0</v>
      </c>
      <c r="R15" s="619"/>
      <c r="S15" s="315"/>
      <c r="T15" s="316"/>
      <c r="U15" s="316"/>
      <c r="V15" s="422"/>
      <c r="W15" s="400"/>
      <c r="X15" s="619"/>
      <c r="Y15">
        <f>IF($S$15="x",V15-N15,0)</f>
        <v>0</v>
      </c>
      <c r="Z15">
        <f t="shared" ref="Z15:Z45" si="3">IF(T15="x",W15-O15,0)</f>
        <v>0</v>
      </c>
      <c r="AA15" s="1">
        <f t="shared" ref="AA15:AA45" si="4">IF(C15="emnedag",K15,0)</f>
        <v>0</v>
      </c>
      <c r="AB15" s="1">
        <f t="shared" ref="AB15:AB45" si="5">IF(C15="fagdag",K15,0)</f>
        <v>0</v>
      </c>
      <c r="AC15" s="1">
        <f t="shared" ref="AC15:AC45" si="6">IF(C15="Pæd.dag",K15,0)</f>
        <v>0</v>
      </c>
      <c r="AD15" s="1">
        <f t="shared" ref="AD15:AD45" si="7">IF(C15="Ekskursion",K15,0)</f>
        <v>0</v>
      </c>
      <c r="AE15" s="1">
        <f t="shared" ref="AE15:AE45" si="8">IF(C15="Lejrskole",K15,0)</f>
        <v>0</v>
      </c>
      <c r="AF15" s="1">
        <f>IF(C15="Orlov",Stamoplysninger!$E$20*7.4,0)</f>
        <v>0</v>
      </c>
      <c r="AG15" t="str">
        <f>IF(AND(C15="Skema 1",B15="ma"),Arbejdstidsoversigt!$E$77,"")</f>
        <v/>
      </c>
      <c r="AH15" t="str">
        <f>IF(AND(C15="Skema 1",B15="ti"),Arbejdstidsoversigt!$E$78,"")</f>
        <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5" si="9">SUM(AA15:AZ15)</f>
        <v>0</v>
      </c>
      <c r="BB15" s="224">
        <f t="shared" ref="BB15:BB45" si="10">SUM(AG15:AK15)*24</f>
        <v>0</v>
      </c>
      <c r="BC15" s="1">
        <f>IF($C$15="Lejrskole",$L$15,0)</f>
        <v>0</v>
      </c>
      <c r="BD15" s="1">
        <f t="shared" ref="BD15:BD45" si="11">IF(C15="Ekskursion",L15,0)</f>
        <v>0</v>
      </c>
      <c r="BE15" s="1">
        <f t="shared" ref="BE15:BE45" si="12">IF(C15="fagdag",L15,0)</f>
        <v>0</v>
      </c>
      <c r="BF15" s="1">
        <f t="shared" ref="BF15:BF45" si="13">IF(C15="emnedag",L15,0)</f>
        <v>0</v>
      </c>
      <c r="BG15" s="207" t="str">
        <f>IF(AND(C15="Skema 1",B15="ma"),Skemaoplysninger!$E$46,"")</f>
        <v/>
      </c>
      <c r="BH15" s="207" t="str">
        <f>IF(AND(C15="Skema 1",B15="ti"),Skemaoplysninger!$G$46,"")</f>
        <v/>
      </c>
      <c r="BI15" s="207" t="str">
        <f>IF(AND(C15="Skema 1",B15="on"),Skemaoplysninger!$I$46,"")</f>
        <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SUM(BG15:BZ15)*24+SUM(BC15:BF15)</f>
        <v>0</v>
      </c>
      <c r="CB15" s="1">
        <f t="shared" ref="CB15:CB45" si="14">IF(C15="fagdag",M15,0)</f>
        <v>0</v>
      </c>
      <c r="CC15" s="1">
        <f t="shared" ref="CC15:CC45" si="15">IF(C15="emnedag",M15,0)</f>
        <v>0</v>
      </c>
      <c r="CD15" s="207" t="str">
        <f>IF(AND(C15="Skema 1",B15="ma"),Skemaoplysninger!$E$47,"")</f>
        <v/>
      </c>
      <c r="CE15" s="207" t="str">
        <f>IF(AND(C15="Skema 1",B15="ti"),Skemaoplysninger!$G$47,"")</f>
        <v/>
      </c>
      <c r="CF15" s="207" t="str">
        <f>IF(AND(C15="Skema 1",B15="on"),Skemaoplysninger!$I$47,"")</f>
        <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SUM(CY15:DF15)</f>
        <v>0</v>
      </c>
      <c r="DH15" t="str">
        <f>IF(AND(E15&gt;0,H15&gt;0),""&amp;E15&amp;" og "&amp;H15&amp;"","")</f>
        <v/>
      </c>
      <c r="DI15">
        <f>IF(H15="",E15,"")</f>
        <v>0</v>
      </c>
      <c r="DJ15">
        <f>IF(E15="",H15,"")</f>
        <v>0</v>
      </c>
      <c r="DK15" t="str">
        <f t="shared" ref="DK15:DL46" si="16">IF(DH15=0,"",DH15)</f>
        <v/>
      </c>
      <c r="DL15" t="str">
        <f>IF(DI15=0,"",DI15)</f>
        <v/>
      </c>
      <c r="DM15" t="str">
        <f>IF(DJ15=0,"",DJ15)</f>
        <v/>
      </c>
      <c r="DN15" t="str">
        <f>DK15&amp;""&amp;DL15&amp;""&amp;DM15</f>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716">
        <f>IF(AND(AND(Stamoplysninger!$B$31="Weekendtimer og weekendtillæg afspadseres.",$I$15="X",$C$15="ikke relevant")),$K$15*1.5,0)</f>
        <v>0</v>
      </c>
      <c r="EL15" s="717">
        <f>IF(AND(AND(AND(Stamoplysninger!$B$31="Weekendtimer og weekendtillæg afspadseres.",$I$15="X",$C$15="ikke relevant",$S$15="X"))),($V$15*1.5),0)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716">
        <f>IF(AND(AND(Stamoplysninger!$B$31="Weekendtimer og weekendtillæg udbetales.",M15="X",G15="ikke relevant")),O15*1.5,0)</f>
        <v>0</v>
      </c>
      <c r="ET15" s="717">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720">
        <f>IF(AND(AND(Stamoplysninger!$B$31="Weekendtimer og weekendtillæg afspadseres.",I15="X",J15="")),K15,0)</f>
        <v>0</v>
      </c>
      <c r="FL15" s="716">
        <f>IF(AND(Stamoplysninger!$B$31="Weekendtimer og weekendtillæg afspadseres.",I15="X"),(K15+V15)/2,0)</f>
        <v>0</v>
      </c>
      <c r="FM15" s="650">
        <f>IF(AND(AND(Stamoplysninger!$B$31="Weekendtimer og weekendtillæg afspadseres.",I15="X",C15="ikke relevant")),K15,0)</f>
        <v>0</v>
      </c>
      <c r="FN15" s="717">
        <f>IF(AND(AND(Stamoplysninger!$B$31="Weekendtimer og weekendtillæg afspadseres.",I15="X",C15="ikke relevant")),(K15+V15)/2,0)</f>
        <v>0</v>
      </c>
      <c r="FO15" s="720">
        <f>IF(AND(AND(Stamoplysninger!$B$31="Weekendtimer og weekendtillæg afspadseres.",I15="X",J15="X")),K15,0)</f>
        <v>0</v>
      </c>
      <c r="FP15" s="716">
        <f>IF(AND(Stamoplysninger!$B$31="Weekendtimer og weekendtillæg afspadseres.",M15="X"),(O15+Z15)/2,0)</f>
        <v>0</v>
      </c>
      <c r="FQ15" s="716">
        <f>IF(AND(AND(Stamoplysninger!$B$31="Weekendtimer og weekendtillæg afspadseres.",M15="X",G15="ikke relevant")),O15,0)</f>
        <v>0</v>
      </c>
      <c r="FR15" s="717">
        <f>IF(AND(AND(Stamoplysninger!$B$31="Weekendtimer og weekendtillæg afspadseres.",M15="X",G15="ikke relevant")),(O15+Z15)/2,0)</f>
        <v>0</v>
      </c>
      <c r="FS15" s="720">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720">
        <f>IF(AND(Stamoplysninger!$B$31="Weekendtimer og weekendtillæg udbetales.",I15="X"),K15,0)</f>
        <v>0</v>
      </c>
      <c r="FV15" s="716">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ref="FY15:FY45" si="17">IF(AND(I15="X",S15="X"),V15,0)</f>
        <v>0</v>
      </c>
      <c r="FZ15" s="634">
        <f t="shared" ref="FZ15:FZ45" si="18">IF(AND(AND(C15="ikke relevant",I15="X",S15="X")),V15,0)</f>
        <v>0</v>
      </c>
      <c r="GA15">
        <f t="shared" ref="GA15:GA45" si="19">IF(AND(C15="weekend",I15="X"),K15,0)</f>
        <v>0</v>
      </c>
      <c r="GB15" s="720">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720">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720">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720">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IF($C$15="fagdag","X",0)</f>
        <v>0</v>
      </c>
      <c r="GK15">
        <f t="shared" ref="GK15:GK45" si="20">IF(C15="emnedag","X",0)</f>
        <v>0</v>
      </c>
      <c r="GL15">
        <f t="shared" ref="GL15:GL45" si="21">IF(C15="ekskursion","X",0)</f>
        <v>0</v>
      </c>
      <c r="GM15">
        <f t="shared" ref="GM15:GM45" si="22">IF(C15="pæd.dag","X",0)</f>
        <v>0</v>
      </c>
      <c r="GN15" s="713">
        <f t="shared" ref="GN15:GN45" si="23">IF(C15="lejrskole","X",0)</f>
        <v>0</v>
      </c>
      <c r="GO15">
        <f>COUNTIF(GJ15:GN15,"X")</f>
        <v>0</v>
      </c>
      <c r="GP15" s="647">
        <f>IF(AND(I15="X",S15="X"),V15,0)</f>
        <v>0</v>
      </c>
    </row>
    <row r="16" spans="1:198">
      <c r="A16" s="239">
        <f t="shared" ref="A16:A44" si="24">IF(ISNUMBER(A15),A15+1,1)</f>
        <v>2</v>
      </c>
      <c r="B16" s="125" t="str">
        <f t="shared" si="0"/>
        <v>sø</v>
      </c>
      <c r="C16" s="126" t="s">
        <v>118</v>
      </c>
      <c r="D16" s="127" t="str">
        <f t="shared" si="1"/>
        <v/>
      </c>
      <c r="E16" s="1060"/>
      <c r="F16" s="1061"/>
      <c r="G16" s="1062"/>
      <c r="H16" s="292"/>
      <c r="I16" s="746" t="str">
        <f>IF(GO16=1,"X","")</f>
        <v/>
      </c>
      <c r="J16" s="746" t="str">
        <f t="shared" si="2"/>
        <v/>
      </c>
      <c r="K16" s="368"/>
      <c r="L16" s="368"/>
      <c r="M16" s="368"/>
      <c r="N16" s="311">
        <f t="shared" ref="N16:N45" si="25">BA16</f>
        <v>0</v>
      </c>
      <c r="O16" s="311">
        <f t="shared" ref="O16:O45" si="26">CA16</f>
        <v>0</v>
      </c>
      <c r="P16" s="311">
        <f>IF(Stamoplysninger!$H$34="JA",August!DG16,CX16)</f>
        <v>0</v>
      </c>
      <c r="Q16" s="311">
        <f t="shared" ref="Q16:Q45" si="27">IF(OR(OR(C16="Lejrskole",C16="Ekskursion",C16="Pæd.dag")),0,N16-O16-P16)</f>
        <v>0</v>
      </c>
      <c r="R16" s="619"/>
      <c r="S16" s="315"/>
      <c r="T16" s="316"/>
      <c r="U16" s="316"/>
      <c r="V16" s="422"/>
      <c r="W16" s="400"/>
      <c r="X16" s="619"/>
      <c r="Y16">
        <f t="shared" ref="Y16:Y45" si="28">IF(S16="x",V16-N16,0)</f>
        <v>0</v>
      </c>
      <c r="Z16">
        <f t="shared" si="3"/>
        <v>0</v>
      </c>
      <c r="AA16" s="1">
        <f t="shared" si="4"/>
        <v>0</v>
      </c>
      <c r="AB16" s="1">
        <f t="shared" si="5"/>
        <v>0</v>
      </c>
      <c r="AC16" s="1">
        <f t="shared" si="6"/>
        <v>0</v>
      </c>
      <c r="AD16" s="1">
        <f t="shared" si="7"/>
        <v>0</v>
      </c>
      <c r="AE16" s="1">
        <f t="shared" si="8"/>
        <v>0</v>
      </c>
      <c r="AF16" s="1">
        <f>IF(C16="Orlov",Stamoplysninger!$E$20*7.4,0)</f>
        <v>0</v>
      </c>
      <c r="AG16" t="str">
        <f>IF(AND(C16="Skema 1",B16="ma"),Arbejdstidsoversigt!$E$77,"")</f>
        <v/>
      </c>
      <c r="AH16" t="str">
        <f>IF(AND(C16="Skema 1",B16="ti"),Arbejdstidsoversigt!$E$78,"")</f>
        <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9"/>
        <v>0</v>
      </c>
      <c r="BB16" s="224">
        <f t="shared" si="10"/>
        <v>0</v>
      </c>
      <c r="BC16" s="1">
        <f t="shared" ref="BC16:BC45" si="29">IF(C16="Lejrskole",L16,0)</f>
        <v>0</v>
      </c>
      <c r="BD16" s="1">
        <f t="shared" si="11"/>
        <v>0</v>
      </c>
      <c r="BE16" s="1">
        <f t="shared" si="12"/>
        <v>0</v>
      </c>
      <c r="BF16" s="1">
        <f t="shared" si="13"/>
        <v>0</v>
      </c>
      <c r="BG16" s="207" t="str">
        <f>IF(AND(C16="Skema 1",B16="ma"),Skemaoplysninger!$E$46,"")</f>
        <v/>
      </c>
      <c r="BH16" s="207" t="str">
        <f>IF(AND(C16="Skema 1",B16="ti"),Skemaoplysninger!$G$46,"")</f>
        <v/>
      </c>
      <c r="BI16" s="207" t="str">
        <f>IF(AND(C16="Skema 1",B16="on"),Skemaoplysninger!$I$46,"")</f>
        <v/>
      </c>
      <c r="BJ16" s="207" t="str">
        <f>IF(AND(C16="Skema 1",B16="to"),Skemaoplysninger!$K$46,"")</f>
        <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ref="CA16:CA45" si="30">SUM(BG16:BZ16)*24+SUM(BC16:BF16)</f>
        <v>0</v>
      </c>
      <c r="CB16" s="1">
        <f t="shared" si="14"/>
        <v>0</v>
      </c>
      <c r="CC16" s="1">
        <f t="shared" si="15"/>
        <v>0</v>
      </c>
      <c r="CD16" s="207" t="str">
        <f>IF(AND(C16="Skema 1",B16="ma"),Skemaoplysninger!$E$47,"")</f>
        <v/>
      </c>
      <c r="CE16" s="207" t="str">
        <f>IF(AND(C16="Skema 1",B16="ti"),Skemaoplysninger!$G$47,"")</f>
        <v/>
      </c>
      <c r="CF16" s="207" t="str">
        <f>IF(AND(C16="Skema 1",B16="on"),Skemaoplysninger!$I$47,"")</f>
        <v/>
      </c>
      <c r="CG16" s="207" t="str">
        <f>IF(AND(C16="Skema 1",B16="to"),Skemaoplysninger!$K$47,"")</f>
        <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ref="DG16:DG45" si="31">SUM(CY16:DF16)</f>
        <v>0</v>
      </c>
      <c r="DH16" t="str">
        <f t="shared" ref="DH16:DH45" si="32">IF(AND(E16&gt;0,H16&gt;0),""&amp;E16&amp;" og "&amp;H16&amp;"","")</f>
        <v/>
      </c>
      <c r="DI16">
        <f t="shared" ref="DI16:DI45" si="33">IF(H16="",E16,"")</f>
        <v>0</v>
      </c>
      <c r="DJ16">
        <f t="shared" ref="DJ16:DJ45" si="34">IF(E16="",H16,"")</f>
        <v>0</v>
      </c>
      <c r="DK16" t="str">
        <f t="shared" si="16"/>
        <v/>
      </c>
      <c r="DL16" t="str">
        <f t="shared" si="16"/>
        <v/>
      </c>
      <c r="DM16" t="str">
        <f t="shared" ref="DM16:DM46" si="35">IF(DJ16=0,"",DJ16)</f>
        <v/>
      </c>
      <c r="DN16" t="str">
        <f t="shared" ref="DN16:DN45" si="36">DK16&amp;""&amp;DL16&amp;""&amp;DM16</f>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7"/>
        <v>0</v>
      </c>
      <c r="FZ16" s="634">
        <f t="shared" si="18"/>
        <v>0</v>
      </c>
      <c r="GA16">
        <f t="shared" si="19"/>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ref="GJ16:GJ45" si="37">IF(C16="fagdag","X",0)</f>
        <v>0</v>
      </c>
      <c r="GK16">
        <f t="shared" si="20"/>
        <v>0</v>
      </c>
      <c r="GL16">
        <f t="shared" si="21"/>
        <v>0</v>
      </c>
      <c r="GM16">
        <f t="shared" si="22"/>
        <v>0</v>
      </c>
      <c r="GN16" s="713">
        <f t="shared" si="23"/>
        <v>0</v>
      </c>
      <c r="GO16">
        <f t="shared" ref="GO16:GO45" si="38">COUNTIF(GJ16:GN16,"X")</f>
        <v>0</v>
      </c>
      <c r="GP16" s="647">
        <f t="shared" ref="GP16:GP45" si="39">IF(AND(I16="X",S16="X"),V16,0)</f>
        <v>0</v>
      </c>
    </row>
    <row r="17" spans="1:198">
      <c r="A17" s="239">
        <f t="shared" si="24"/>
        <v>3</v>
      </c>
      <c r="B17" s="125" t="str">
        <f t="shared" si="0"/>
        <v>ma</v>
      </c>
      <c r="C17" s="126" t="s">
        <v>207</v>
      </c>
      <c r="D17" s="127">
        <f t="shared" si="1"/>
        <v>31.571428571428573</v>
      </c>
      <c r="E17" s="1060" t="s">
        <v>112</v>
      </c>
      <c r="F17" s="1061"/>
      <c r="G17" s="1062"/>
      <c r="H17" s="292"/>
      <c r="I17" s="745"/>
      <c r="J17" s="746" t="str">
        <f t="shared" si="2"/>
        <v/>
      </c>
      <c r="K17" s="368"/>
      <c r="L17" s="368"/>
      <c r="M17" s="368"/>
      <c r="N17" s="311">
        <f t="shared" si="25"/>
        <v>0</v>
      </c>
      <c r="O17" s="311">
        <f t="shared" si="26"/>
        <v>0</v>
      </c>
      <c r="P17" s="311">
        <f>IF(Stamoplysninger!$H$34="JA",August!DG17,CX17)</f>
        <v>0</v>
      </c>
      <c r="Q17" s="311">
        <f t="shared" si="27"/>
        <v>0</v>
      </c>
      <c r="R17" s="619"/>
      <c r="S17" s="315"/>
      <c r="T17" s="316"/>
      <c r="U17" s="316"/>
      <c r="V17" s="422"/>
      <c r="W17" s="400"/>
      <c r="X17" s="619"/>
      <c r="Y17">
        <f t="shared" si="28"/>
        <v>0</v>
      </c>
      <c r="Z17">
        <f t="shared" si="3"/>
        <v>0</v>
      </c>
      <c r="AA17" s="1">
        <f t="shared" si="4"/>
        <v>0</v>
      </c>
      <c r="AB17" s="1">
        <f t="shared" si="5"/>
        <v>0</v>
      </c>
      <c r="AC17" s="1">
        <f t="shared" si="6"/>
        <v>0</v>
      </c>
      <c r="AD17" s="1">
        <f t="shared" si="7"/>
        <v>0</v>
      </c>
      <c r="AE17" s="1">
        <f t="shared" si="8"/>
        <v>0</v>
      </c>
      <c r="AF17" s="1">
        <f>IF(C17="Orlov",Stamoplysninger!$E$20*7.4,0)</f>
        <v>0</v>
      </c>
      <c r="AG17" t="str">
        <f>IF(AND(C17="Skema 1",B17="ma"),Arbejdstidsoversigt!$E$77,"")</f>
        <v/>
      </c>
      <c r="AH17" t="str">
        <f>IF(AND(C17="Skema 1",B17="ti"),Arbejdstidsoversigt!$E$78,"")</f>
        <v/>
      </c>
      <c r="AI17" t="str">
        <f>IF(AND(C17="Skema 1",B17="on"),Arbejdstidsoversigt!$E$79,"")</f>
        <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9"/>
        <v>0</v>
      </c>
      <c r="BB17" s="224">
        <f t="shared" si="10"/>
        <v>0</v>
      </c>
      <c r="BC17" s="1">
        <f t="shared" si="29"/>
        <v>0</v>
      </c>
      <c r="BD17" s="1">
        <f t="shared" si="11"/>
        <v>0</v>
      </c>
      <c r="BE17" s="1">
        <f t="shared" si="12"/>
        <v>0</v>
      </c>
      <c r="BF17" s="1">
        <f t="shared" si="13"/>
        <v>0</v>
      </c>
      <c r="BG17" s="207" t="str">
        <f>IF(AND(C17="Skema 1",B17="ma"),Skemaoplysninger!$E$46,"")</f>
        <v/>
      </c>
      <c r="BH17" s="207" t="str">
        <f>IF(AND(C17="Skema 1",B17="ti"),Skemaoplysninger!$G$46,"")</f>
        <v/>
      </c>
      <c r="BI17" s="207" t="str">
        <f>IF(AND(C17="Skema 1",B17="on"),Skemaoplysninger!$I$46,"")</f>
        <v/>
      </c>
      <c r="BJ17" s="207" t="str">
        <f>IF(AND(C17="Skema 1",B17="to"),Skemaoplysninger!$K$46,"")</f>
        <v/>
      </c>
      <c r="BK17" s="207" t="str">
        <f>IF(AND(C17="Skema 1",B17="fr"),Skemaoplysninger!$M$46,"")</f>
        <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0</v>
      </c>
      <c r="CB17" s="1">
        <f t="shared" si="14"/>
        <v>0</v>
      </c>
      <c r="CC17" s="1">
        <f t="shared" si="15"/>
        <v>0</v>
      </c>
      <c r="CD17" s="207" t="str">
        <f>IF(AND(C17="Skema 1",B17="ma"),Skemaoplysninger!$E$47,"")</f>
        <v/>
      </c>
      <c r="CE17" s="207" t="str">
        <f>IF(AND(C17="Skema 1",B17="ti"),Skemaoplysninger!$G$47,"")</f>
        <v/>
      </c>
      <c r="CF17" s="207" t="str">
        <f>IF(AND(C17="Skema 1",B17="on"),Skemaoplysninger!$I$47,"")</f>
        <v/>
      </c>
      <c r="CG17" s="207" t="str">
        <f>IF(AND(C17="Skema 1",B17="to"),Skemaoplysninger!$K$47,"")</f>
        <v/>
      </c>
      <c r="CH17" s="207" t="str">
        <f>IF(AND(C17="Skema 1",B17="fr"),Skemaoplysninger!$M$47,"")</f>
        <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t="str">
        <f t="shared" si="33"/>
        <v>Sommerferie</v>
      </c>
      <c r="DJ17" t="str">
        <f t="shared" si="34"/>
        <v/>
      </c>
      <c r="DK17" t="str">
        <f t="shared" si="16"/>
        <v/>
      </c>
      <c r="DL17" t="str">
        <f t="shared" si="16"/>
        <v>Sommerferie</v>
      </c>
      <c r="DM17" t="str">
        <f t="shared" si="35"/>
        <v/>
      </c>
      <c r="DN17" t="str">
        <f t="shared" si="36"/>
        <v>Sommerferie</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7"/>
        <v>0</v>
      </c>
      <c r="FZ17" s="634">
        <f t="shared" si="18"/>
        <v>0</v>
      </c>
      <c r="GA17">
        <f t="shared" si="19"/>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7"/>
        <v>0</v>
      </c>
      <c r="GK17">
        <f t="shared" si="20"/>
        <v>0</v>
      </c>
      <c r="GL17">
        <f t="shared" si="21"/>
        <v>0</v>
      </c>
      <c r="GM17">
        <f t="shared" si="22"/>
        <v>0</v>
      </c>
      <c r="GN17" s="713">
        <f t="shared" si="23"/>
        <v>0</v>
      </c>
      <c r="GO17">
        <f t="shared" si="38"/>
        <v>0</v>
      </c>
      <c r="GP17" s="647">
        <f t="shared" si="39"/>
        <v>0</v>
      </c>
    </row>
    <row r="18" spans="1:198">
      <c r="A18" s="239">
        <f t="shared" si="24"/>
        <v>4</v>
      </c>
      <c r="B18" s="125" t="str">
        <f t="shared" si="0"/>
        <v>ti</v>
      </c>
      <c r="C18" s="126" t="s">
        <v>207</v>
      </c>
      <c r="D18" s="127" t="str">
        <f t="shared" si="1"/>
        <v/>
      </c>
      <c r="E18" s="1060" t="s">
        <v>112</v>
      </c>
      <c r="F18" s="1061"/>
      <c r="G18" s="1062"/>
      <c r="H18" s="292"/>
      <c r="I18" s="745"/>
      <c r="J18" s="746" t="str">
        <f t="shared" si="2"/>
        <v/>
      </c>
      <c r="K18" s="368"/>
      <c r="L18" s="368"/>
      <c r="M18" s="368"/>
      <c r="N18" s="311">
        <f t="shared" si="25"/>
        <v>0</v>
      </c>
      <c r="O18" s="311">
        <f t="shared" si="26"/>
        <v>0</v>
      </c>
      <c r="P18" s="311">
        <f>IF(Stamoplysninger!$H$34="JA",August!DG18,CX18)</f>
        <v>0</v>
      </c>
      <c r="Q18" s="311">
        <f t="shared" si="27"/>
        <v>0</v>
      </c>
      <c r="R18" s="619"/>
      <c r="S18" s="315"/>
      <c r="T18" s="316"/>
      <c r="U18" s="316"/>
      <c r="V18" s="422"/>
      <c r="W18" s="400"/>
      <c r="X18" s="619"/>
      <c r="Y18">
        <f t="shared" si="28"/>
        <v>0</v>
      </c>
      <c r="Z18">
        <f t="shared" si="3"/>
        <v>0</v>
      </c>
      <c r="AA18" s="1">
        <f t="shared" si="4"/>
        <v>0</v>
      </c>
      <c r="AB18" s="1">
        <f t="shared" si="5"/>
        <v>0</v>
      </c>
      <c r="AC18" s="1">
        <f t="shared" si="6"/>
        <v>0</v>
      </c>
      <c r="AD18" s="1">
        <f t="shared" si="7"/>
        <v>0</v>
      </c>
      <c r="AE18" s="1">
        <f t="shared" si="8"/>
        <v>0</v>
      </c>
      <c r="AF18" s="1">
        <f>IF(C18="Orlov",Stamoplysninger!$E$20*7.4,0)</f>
        <v>0</v>
      </c>
      <c r="AG18" t="str">
        <f>IF(AND(C18="Skema 1",B18="ma"),Arbejdstidsoversigt!$E$77,"")</f>
        <v/>
      </c>
      <c r="AH18" t="str">
        <f>IF(AND(C18="Skema 1",B18="ti"),Arbejdstidsoversigt!$E$78,"")</f>
        <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9"/>
        <v>0</v>
      </c>
      <c r="BB18" s="224">
        <f t="shared" si="10"/>
        <v>0</v>
      </c>
      <c r="BC18" s="1">
        <f t="shared" si="29"/>
        <v>0</v>
      </c>
      <c r="BD18" s="1">
        <f t="shared" si="11"/>
        <v>0</v>
      </c>
      <c r="BE18" s="1">
        <f t="shared" si="12"/>
        <v>0</v>
      </c>
      <c r="BF18" s="1">
        <f t="shared" si="13"/>
        <v>0</v>
      </c>
      <c r="BG18" s="207" t="str">
        <f>IF(AND(C18="Skema 1",B18="ma"),Skemaoplysninger!$E$46,"")</f>
        <v/>
      </c>
      <c r="BH18" s="207" t="str">
        <f>IF(AND(C18="Skema 1",B18="ti"),Skemaoplysninger!$G$46,"")</f>
        <v/>
      </c>
      <c r="BI18" s="207" t="str">
        <f>IF(AND(C18="Skema 1",B18="on"),Skemaoplysninger!$I$46,"")</f>
        <v/>
      </c>
      <c r="BJ18" s="207" t="str">
        <f>IF(AND(C18="Skema 1",B18="to"),Skemaoplysninger!$K$46,"")</f>
        <v/>
      </c>
      <c r="BK18" s="207" t="str">
        <f>IF(AND(C18="Skema 1",B18="fr"),Skemaoplysninger!$M$46,"")</f>
        <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0</v>
      </c>
      <c r="CB18" s="1">
        <f t="shared" si="14"/>
        <v>0</v>
      </c>
      <c r="CC18" s="1">
        <f t="shared" si="15"/>
        <v>0</v>
      </c>
      <c r="CD18" s="207" t="str">
        <f>IF(AND(C18="Skema 1",B18="ma"),Skemaoplysninger!$E$47,"")</f>
        <v/>
      </c>
      <c r="CE18" s="207" t="str">
        <f>IF(AND(C18="Skema 1",B18="ti"),Skemaoplysninger!$G$47,"")</f>
        <v/>
      </c>
      <c r="CF18" s="207" t="str">
        <f>IF(AND(C18="Skema 1",B18="on"),Skemaoplysninger!$I$47,"")</f>
        <v/>
      </c>
      <c r="CG18" s="207" t="str">
        <f>IF(AND(C18="Skema 1",B18="to"),Skemaoplysninger!$K$47,"")</f>
        <v/>
      </c>
      <c r="CH18" s="207" t="str">
        <f>IF(AND(C18="Skema 1",B18="fr"),Skemaoplysninger!$M$47,"")</f>
        <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t="str">
        <f t="shared" si="33"/>
        <v>Sommerferie</v>
      </c>
      <c r="DJ18" t="str">
        <f>IF(E18="",H18,"")</f>
        <v/>
      </c>
      <c r="DK18" t="str">
        <f t="shared" si="16"/>
        <v/>
      </c>
      <c r="DL18" t="str">
        <f t="shared" si="16"/>
        <v>Sommerferie</v>
      </c>
      <c r="DM18" t="str">
        <f t="shared" si="35"/>
        <v/>
      </c>
      <c r="DN18" t="str">
        <f t="shared" si="36"/>
        <v>Sommerferie</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7"/>
        <v>0</v>
      </c>
      <c r="FZ18" s="634">
        <f t="shared" si="18"/>
        <v>0</v>
      </c>
      <c r="GA18">
        <f t="shared" si="19"/>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7"/>
        <v>0</v>
      </c>
      <c r="GK18">
        <f t="shared" si="20"/>
        <v>0</v>
      </c>
      <c r="GL18">
        <f t="shared" si="21"/>
        <v>0</v>
      </c>
      <c r="GM18">
        <f t="shared" si="22"/>
        <v>0</v>
      </c>
      <c r="GN18" s="713">
        <f t="shared" si="23"/>
        <v>0</v>
      </c>
      <c r="GO18">
        <f t="shared" si="38"/>
        <v>0</v>
      </c>
      <c r="GP18" s="647">
        <f t="shared" si="39"/>
        <v>0</v>
      </c>
    </row>
    <row r="19" spans="1:198">
      <c r="A19" s="239">
        <f t="shared" si="24"/>
        <v>5</v>
      </c>
      <c r="B19" s="125" t="str">
        <f t="shared" si="0"/>
        <v>on</v>
      </c>
      <c r="C19" s="126" t="s">
        <v>126</v>
      </c>
      <c r="D19" s="127" t="str">
        <f t="shared" si="1"/>
        <v/>
      </c>
      <c r="E19" s="1060"/>
      <c r="F19" s="1061"/>
      <c r="G19" s="1062"/>
      <c r="H19" s="292"/>
      <c r="I19" s="745"/>
      <c r="J19" s="746" t="str">
        <f t="shared" si="2"/>
        <v/>
      </c>
      <c r="K19" s="368"/>
      <c r="L19" s="368"/>
      <c r="M19" s="368"/>
      <c r="N19" s="311">
        <f t="shared" si="25"/>
        <v>0</v>
      </c>
      <c r="O19" s="311">
        <f t="shared" si="26"/>
        <v>0</v>
      </c>
      <c r="P19" s="311">
        <f>IF(Stamoplysninger!$H$34="JA",August!DG19,CX19)</f>
        <v>0</v>
      </c>
      <c r="Q19" s="311">
        <f t="shared" si="27"/>
        <v>0</v>
      </c>
      <c r="R19" s="619"/>
      <c r="S19" s="315"/>
      <c r="T19" s="316"/>
      <c r="U19" s="316"/>
      <c r="V19" s="422"/>
      <c r="W19" s="400"/>
      <c r="X19" s="619"/>
      <c r="Y19">
        <f t="shared" si="28"/>
        <v>0</v>
      </c>
      <c r="Z19">
        <f t="shared" si="3"/>
        <v>0</v>
      </c>
      <c r="AA19" s="1">
        <f t="shared" si="4"/>
        <v>0</v>
      </c>
      <c r="AB19" s="1">
        <f t="shared" si="5"/>
        <v>0</v>
      </c>
      <c r="AC19" s="1">
        <f t="shared" si="6"/>
        <v>0</v>
      </c>
      <c r="AD19" s="1">
        <f t="shared" si="7"/>
        <v>0</v>
      </c>
      <c r="AE19" s="1">
        <f t="shared" si="8"/>
        <v>0</v>
      </c>
      <c r="AF19" s="1">
        <f>IF(C19="Orlov",Stamoplysninger!$E$20*7.4,0)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9"/>
        <v>0</v>
      </c>
      <c r="BB19" s="224">
        <f t="shared" si="10"/>
        <v>0</v>
      </c>
      <c r="BC19" s="1">
        <f t="shared" si="29"/>
        <v>0</v>
      </c>
      <c r="BD19" s="1">
        <f t="shared" si="11"/>
        <v>0</v>
      </c>
      <c r="BE19" s="1">
        <f t="shared" si="12"/>
        <v>0</v>
      </c>
      <c r="BF19" s="1">
        <f t="shared" si="13"/>
        <v>0</v>
      </c>
      <c r="BG19" s="207" t="str">
        <f>IF(AND(C19="Skema 1",B19="ma"),Skemaoplysninger!$E$46,"")</f>
        <v/>
      </c>
      <c r="BH19" s="207" t="str">
        <f>IF(AND(C19="Skema 1",B19="ti"),Skemaoplysninger!$G$46,"")</f>
        <v/>
      </c>
      <c r="BI19" s="207" t="str">
        <f>IF(AND(C19="Skema 1",B19="on"),Skemaoplysninger!$I$46,"")</f>
        <v/>
      </c>
      <c r="BJ19" s="207" t="str">
        <f>IF(AND(C19="Skema 1",B19="to"),Skemaoplysninger!$K$46,"")</f>
        <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0</v>
      </c>
      <c r="CB19" s="1">
        <f t="shared" si="14"/>
        <v>0</v>
      </c>
      <c r="CC19" s="1">
        <f t="shared" si="15"/>
        <v>0</v>
      </c>
      <c r="CD19" s="207" t="str">
        <f>IF(AND(C19="Skema 1",B19="ma"),Skemaoplysninger!$E$47,"")</f>
        <v/>
      </c>
      <c r="CE19" s="207" t="str">
        <f>IF(AND(C19="Skema 1",B19="ti"),Skemaoplysninger!$G$47,"")</f>
        <v/>
      </c>
      <c r="CF19" s="207" t="str">
        <f>IF(AND(C19="Skema 1",B19="on"),Skemaoplysninger!$I$47,"")</f>
        <v/>
      </c>
      <c r="CG19" s="207" t="str">
        <f>IF(AND(C19="Skema 1",B19="to"),Skemaoplysninger!$K$47,"")</f>
        <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6"/>
        <v/>
      </c>
      <c r="DL19" t="str">
        <f t="shared" si="16"/>
        <v/>
      </c>
      <c r="DM19" t="str">
        <f t="shared" si="35"/>
        <v/>
      </c>
      <c r="DN19" t="str">
        <f t="shared" si="36"/>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7"/>
        <v>0</v>
      </c>
      <c r="FZ19" s="634">
        <f t="shared" si="18"/>
        <v>0</v>
      </c>
      <c r="GA19">
        <f t="shared" si="19"/>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7"/>
        <v>0</v>
      </c>
      <c r="GK19">
        <f t="shared" si="20"/>
        <v>0</v>
      </c>
      <c r="GL19">
        <f t="shared" si="21"/>
        <v>0</v>
      </c>
      <c r="GM19">
        <f t="shared" si="22"/>
        <v>0</v>
      </c>
      <c r="GN19" s="713">
        <f t="shared" si="23"/>
        <v>0</v>
      </c>
      <c r="GO19">
        <f t="shared" si="38"/>
        <v>0</v>
      </c>
      <c r="GP19" s="647">
        <f t="shared" si="39"/>
        <v>0</v>
      </c>
    </row>
    <row r="20" spans="1:198" ht="16" customHeight="1">
      <c r="A20" s="239">
        <f t="shared" si="24"/>
        <v>6</v>
      </c>
      <c r="B20" s="125" t="str">
        <f t="shared" si="0"/>
        <v>to</v>
      </c>
      <c r="C20" s="126" t="s">
        <v>137</v>
      </c>
      <c r="D20" s="127" t="str">
        <f t="shared" si="1"/>
        <v/>
      </c>
      <c r="E20" s="1060" t="s">
        <v>779</v>
      </c>
      <c r="F20" s="1061"/>
      <c r="G20" s="1062"/>
      <c r="H20" s="292"/>
      <c r="I20" s="745"/>
      <c r="J20" s="746" t="str">
        <f t="shared" si="2"/>
        <v/>
      </c>
      <c r="K20" s="368">
        <v>6</v>
      </c>
      <c r="L20" s="368"/>
      <c r="M20" s="368"/>
      <c r="N20" s="311">
        <f t="shared" si="25"/>
        <v>6</v>
      </c>
      <c r="O20" s="311">
        <f t="shared" si="26"/>
        <v>0</v>
      </c>
      <c r="P20" s="311">
        <f>IF(Stamoplysninger!$H$34="JA",August!DG20,CX20)</f>
        <v>0</v>
      </c>
      <c r="Q20" s="311">
        <f t="shared" si="27"/>
        <v>0</v>
      </c>
      <c r="R20" s="619"/>
      <c r="S20" s="315"/>
      <c r="T20" s="316"/>
      <c r="U20" s="316"/>
      <c r="V20" s="422"/>
      <c r="W20" s="400"/>
      <c r="X20" s="619"/>
      <c r="Y20">
        <f t="shared" si="28"/>
        <v>0</v>
      </c>
      <c r="Z20">
        <f t="shared" si="3"/>
        <v>0</v>
      </c>
      <c r="AA20" s="1">
        <f t="shared" si="4"/>
        <v>0</v>
      </c>
      <c r="AB20" s="1">
        <f t="shared" si="5"/>
        <v>0</v>
      </c>
      <c r="AC20" s="1">
        <f t="shared" si="6"/>
        <v>6</v>
      </c>
      <c r="AD20" s="1">
        <f t="shared" si="7"/>
        <v>0</v>
      </c>
      <c r="AE20" s="1">
        <f t="shared" si="8"/>
        <v>0</v>
      </c>
      <c r="AF20" s="1">
        <f>IF(C20="Orlov",Stamoplysninger!$E$20*7.4,0)</f>
        <v>0</v>
      </c>
      <c r="AG20" t="str">
        <f>IF(AND(C20="Skema 1",B20="ma"),Arbejdstidsoversigt!$E$77,"")</f>
        <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9"/>
        <v>6</v>
      </c>
      <c r="BB20" s="224">
        <f t="shared" si="10"/>
        <v>0</v>
      </c>
      <c r="BC20" s="1">
        <f t="shared" si="29"/>
        <v>0</v>
      </c>
      <c r="BD20" s="1">
        <f t="shared" si="11"/>
        <v>0</v>
      </c>
      <c r="BE20" s="1">
        <f t="shared" si="12"/>
        <v>0</v>
      </c>
      <c r="BF20" s="1">
        <f t="shared" si="13"/>
        <v>0</v>
      </c>
      <c r="BG20" s="207" t="str">
        <f>IF(AND(C20="Skema 1",B20="ma"),Skemaoplysninger!$E$46,"")</f>
        <v/>
      </c>
      <c r="BH20" s="207" t="str">
        <f>IF(AND(C20="Skema 1",B20="ti"),Skemaoplysninger!$G$46,"")</f>
        <v/>
      </c>
      <c r="BI20" s="207" t="str">
        <f>IF(AND(C20="Skema 1",B20="on"),Skemaoplysninger!$I$46,"")</f>
        <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0</v>
      </c>
      <c r="CB20" s="1">
        <f t="shared" si="14"/>
        <v>0</v>
      </c>
      <c r="CC20" s="1">
        <f t="shared" si="15"/>
        <v>0</v>
      </c>
      <c r="CD20" s="207" t="str">
        <f>IF(AND(C20="Skema 1",B20="ma"),Skemaoplysninger!$E$47,"")</f>
        <v/>
      </c>
      <c r="CE20" s="207" t="str">
        <f>IF(AND(C20="Skema 1",B20="ti"),Skemaoplysninger!$G$47,"")</f>
        <v/>
      </c>
      <c r="CF20" s="207" t="str">
        <f>IF(AND(C20="Skema 1",B20="on"),Skemaoplysninger!$I$47,"")</f>
        <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t="str">
        <f t="shared" si="33"/>
        <v>Forbereder os til det kommende skoleår 9-15</v>
      </c>
      <c r="DJ20" t="str">
        <f t="shared" si="34"/>
        <v/>
      </c>
      <c r="DK20" t="str">
        <f t="shared" si="16"/>
        <v/>
      </c>
      <c r="DL20" t="str">
        <f t="shared" si="16"/>
        <v>Forbereder os til det kommende skoleår 9-15</v>
      </c>
      <c r="DM20" t="str">
        <f t="shared" si="35"/>
        <v/>
      </c>
      <c r="DN20" t="str">
        <f t="shared" si="36"/>
        <v>Forbereder os til det kommende skoleår 9-15</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7"/>
        <v>0</v>
      </c>
      <c r="FZ20" s="634">
        <f t="shared" si="18"/>
        <v>0</v>
      </c>
      <c r="GA20">
        <f t="shared" si="19"/>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7"/>
        <v>0</v>
      </c>
      <c r="GK20">
        <f t="shared" si="20"/>
        <v>0</v>
      </c>
      <c r="GL20">
        <f t="shared" si="21"/>
        <v>0</v>
      </c>
      <c r="GM20" t="str">
        <f t="shared" si="22"/>
        <v>X</v>
      </c>
      <c r="GN20" s="713">
        <f t="shared" si="23"/>
        <v>0</v>
      </c>
      <c r="GO20">
        <f t="shared" si="38"/>
        <v>1</v>
      </c>
      <c r="GP20" s="647">
        <f t="shared" si="39"/>
        <v>0</v>
      </c>
    </row>
    <row r="21" spans="1:198" ht="16" customHeight="1">
      <c r="A21" s="239">
        <f t="shared" si="24"/>
        <v>7</v>
      </c>
      <c r="B21" s="125" t="str">
        <f t="shared" si="0"/>
        <v>fr</v>
      </c>
      <c r="C21" s="126" t="s">
        <v>137</v>
      </c>
      <c r="D21" s="127" t="str">
        <f t="shared" si="1"/>
        <v/>
      </c>
      <c r="E21" s="1060" t="s">
        <v>779</v>
      </c>
      <c r="F21" s="1061"/>
      <c r="G21" s="1062"/>
      <c r="H21" s="292"/>
      <c r="I21" s="745"/>
      <c r="J21" s="746" t="str">
        <f t="shared" si="2"/>
        <v/>
      </c>
      <c r="K21" s="368">
        <v>6</v>
      </c>
      <c r="L21" s="368"/>
      <c r="M21" s="368"/>
      <c r="N21" s="311">
        <f t="shared" si="25"/>
        <v>6</v>
      </c>
      <c r="O21" s="311">
        <f t="shared" si="26"/>
        <v>0</v>
      </c>
      <c r="P21" s="311">
        <f>IF(Stamoplysninger!$H$34="JA",August!DG21,CX21)</f>
        <v>0</v>
      </c>
      <c r="Q21" s="311">
        <f t="shared" si="27"/>
        <v>0</v>
      </c>
      <c r="R21" s="619"/>
      <c r="S21" s="315"/>
      <c r="T21" s="316"/>
      <c r="U21" s="316"/>
      <c r="V21" s="422"/>
      <c r="W21" s="400"/>
      <c r="X21" s="619"/>
      <c r="Y21">
        <f t="shared" si="28"/>
        <v>0</v>
      </c>
      <c r="Z21">
        <f t="shared" si="3"/>
        <v>0</v>
      </c>
      <c r="AA21" s="1">
        <f t="shared" si="4"/>
        <v>0</v>
      </c>
      <c r="AB21" s="1">
        <f t="shared" si="5"/>
        <v>0</v>
      </c>
      <c r="AC21" s="1">
        <f t="shared" si="6"/>
        <v>6</v>
      </c>
      <c r="AD21" s="1">
        <f t="shared" si="7"/>
        <v>0</v>
      </c>
      <c r="AE21" s="1">
        <f t="shared" si="8"/>
        <v>0</v>
      </c>
      <c r="AF21" s="1">
        <f>IF(C21="Orlov",Stamoplysninger!$E$20*7.4,0)</f>
        <v>0</v>
      </c>
      <c r="AG21" t="str">
        <f>IF(AND(C21="Skema 1",B21="ma"),Arbejdstidsoversigt!$E$77,"")</f>
        <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9"/>
        <v>6</v>
      </c>
      <c r="BB21" s="224">
        <f t="shared" si="10"/>
        <v>0</v>
      </c>
      <c r="BC21" s="1">
        <f t="shared" si="29"/>
        <v>0</v>
      </c>
      <c r="BD21" s="1">
        <f t="shared" si="11"/>
        <v>0</v>
      </c>
      <c r="BE21" s="1">
        <f t="shared" si="12"/>
        <v>0</v>
      </c>
      <c r="BF21" s="1">
        <f t="shared" si="13"/>
        <v>0</v>
      </c>
      <c r="BG21" s="207" t="str">
        <f>IF(AND(C21="Skema 1",B21="ma"),Skemaoplysninger!$E$46,"")</f>
        <v/>
      </c>
      <c r="BH21" s="207" t="str">
        <f>IF(AND(C21="Skema 1",B21="ti"),Skemaoplysninger!$G$46,"")</f>
        <v/>
      </c>
      <c r="BI21" s="207" t="str">
        <f>IF(AND(C21="Skema 1",B21="on"),Skemaoplysninger!$I$46,"")</f>
        <v/>
      </c>
      <c r="BJ21" s="207" t="str">
        <f>IF(AND(C21="Skema 1",B21="to"),Skemaoplysninger!$K$46,"")</f>
        <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0</v>
      </c>
      <c r="CB21" s="1">
        <f t="shared" si="14"/>
        <v>0</v>
      </c>
      <c r="CC21" s="1">
        <f t="shared" si="15"/>
        <v>0</v>
      </c>
      <c r="CD21" s="207" t="str">
        <f>IF(AND(C21="Skema 1",B21="ma"),Skemaoplysninger!$E$47,"")</f>
        <v/>
      </c>
      <c r="CE21" s="207" t="str">
        <f>IF(AND(C21="Skema 1",B21="ti"),Skemaoplysninger!$G$47,"")</f>
        <v/>
      </c>
      <c r="CF21" s="207" t="str">
        <f>IF(AND(C21="Skema 1",B21="on"),Skemaoplysninger!$I$47,"")</f>
        <v/>
      </c>
      <c r="CG21" s="207" t="str">
        <f>IF(AND(C21="Skema 1",B21="to"),Skemaoplysninger!$K$47,"")</f>
        <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t="str">
        <f t="shared" si="33"/>
        <v>Forbereder os til det kommende skoleår 9-15</v>
      </c>
      <c r="DJ21" t="str">
        <f t="shared" si="34"/>
        <v/>
      </c>
      <c r="DK21" t="str">
        <f t="shared" si="16"/>
        <v/>
      </c>
      <c r="DL21" t="str">
        <f t="shared" si="16"/>
        <v>Forbereder os til det kommende skoleår 9-15</v>
      </c>
      <c r="DM21" t="str">
        <f t="shared" si="35"/>
        <v/>
      </c>
      <c r="DN21" t="str">
        <f t="shared" si="36"/>
        <v>Forbereder os til det kommende skoleår 9-15</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7"/>
        <v>0</v>
      </c>
      <c r="FZ21" s="634">
        <f t="shared" si="18"/>
        <v>0</v>
      </c>
      <c r="GA21">
        <f t="shared" si="19"/>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7"/>
        <v>0</v>
      </c>
      <c r="GK21">
        <f t="shared" si="20"/>
        <v>0</v>
      </c>
      <c r="GL21">
        <f t="shared" si="21"/>
        <v>0</v>
      </c>
      <c r="GM21" t="str">
        <f t="shared" si="22"/>
        <v>X</v>
      </c>
      <c r="GN21" s="713">
        <f t="shared" si="23"/>
        <v>0</v>
      </c>
      <c r="GO21">
        <f t="shared" si="38"/>
        <v>1</v>
      </c>
      <c r="GP21" s="647">
        <f t="shared" si="39"/>
        <v>0</v>
      </c>
    </row>
    <row r="22" spans="1:198">
      <c r="A22" s="239">
        <f t="shared" si="24"/>
        <v>8</v>
      </c>
      <c r="B22" s="125" t="str">
        <f t="shared" si="0"/>
        <v>lø</v>
      </c>
      <c r="C22" s="126" t="s">
        <v>118</v>
      </c>
      <c r="D22" s="127" t="str">
        <f t="shared" si="1"/>
        <v/>
      </c>
      <c r="E22" s="1060"/>
      <c r="F22" s="1061"/>
      <c r="G22" s="1062"/>
      <c r="H22" s="292"/>
      <c r="I22" s="746" t="str">
        <f>IF(GO22=1,"X","")</f>
        <v/>
      </c>
      <c r="J22" s="746" t="str">
        <f t="shared" si="2"/>
        <v/>
      </c>
      <c r="K22" s="368"/>
      <c r="L22" s="368"/>
      <c r="M22" s="368"/>
      <c r="N22" s="311">
        <f t="shared" si="25"/>
        <v>0</v>
      </c>
      <c r="O22" s="311">
        <f t="shared" si="26"/>
        <v>0</v>
      </c>
      <c r="P22" s="311">
        <f>IF(Stamoplysninger!$H$34="JA",August!DG22,CX22)</f>
        <v>0</v>
      </c>
      <c r="Q22" s="311">
        <f t="shared" si="27"/>
        <v>0</v>
      </c>
      <c r="R22" s="619"/>
      <c r="S22" s="315"/>
      <c r="T22" s="316"/>
      <c r="U22" s="316"/>
      <c r="V22" s="422"/>
      <c r="W22" s="400"/>
      <c r="X22" s="619"/>
      <c r="Y22">
        <f t="shared" si="28"/>
        <v>0</v>
      </c>
      <c r="Z22">
        <f t="shared" si="3"/>
        <v>0</v>
      </c>
      <c r="AA22" s="1">
        <f t="shared" si="4"/>
        <v>0</v>
      </c>
      <c r="AB22" s="1">
        <f t="shared" si="5"/>
        <v>0</v>
      </c>
      <c r="AC22" s="1">
        <f t="shared" si="6"/>
        <v>0</v>
      </c>
      <c r="AD22" s="1">
        <f t="shared" si="7"/>
        <v>0</v>
      </c>
      <c r="AE22" s="1">
        <f t="shared" si="8"/>
        <v>0</v>
      </c>
      <c r="AF22" s="1">
        <f>IF(C22="Orlov",Stamoplysninger!$E$20*7.4,0)</f>
        <v>0</v>
      </c>
      <c r="AG22" t="str">
        <f>IF(AND(C22="Skema 1",B22="ma"),Arbejdstidsoversigt!$E$77,"")</f>
        <v/>
      </c>
      <c r="AH22" t="str">
        <f>IF(AND(C22="Skema 1",B22="ti"),Arbejdstidsoversigt!$E$78,"")</f>
        <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9"/>
        <v>0</v>
      </c>
      <c r="BB22" s="224">
        <f t="shared" si="10"/>
        <v>0</v>
      </c>
      <c r="BC22" s="1">
        <f t="shared" si="29"/>
        <v>0</v>
      </c>
      <c r="BD22" s="1">
        <f t="shared" si="11"/>
        <v>0</v>
      </c>
      <c r="BE22" s="1">
        <f t="shared" si="12"/>
        <v>0</v>
      </c>
      <c r="BF22" s="1">
        <f t="shared" si="13"/>
        <v>0</v>
      </c>
      <c r="BG22" s="207" t="str">
        <f>IF(AND(C22="Skema 1",B22="ma"),Skemaoplysninger!$E$46,"")</f>
        <v/>
      </c>
      <c r="BH22" s="207" t="str">
        <f>IF(AND(C22="Skema 1",B22="ti"),Skemaoplysninger!$G$46,"")</f>
        <v/>
      </c>
      <c r="BI22" s="207" t="str">
        <f>IF(AND(C22="Skema 1",B22="on"),Skemaoplysninger!$I$46,"")</f>
        <v/>
      </c>
      <c r="BJ22" s="207" t="str">
        <f>IF(AND(C22="Skema 1",B22="to"),Skemaoplysninger!$K$46,"")</f>
        <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0</v>
      </c>
      <c r="CB22" s="1">
        <f t="shared" si="14"/>
        <v>0</v>
      </c>
      <c r="CC22" s="1">
        <f t="shared" si="15"/>
        <v>0</v>
      </c>
      <c r="CD22" s="207" t="str">
        <f>IF(AND(C22="Skema 1",B22="ma"),Skemaoplysninger!$E$47,"")</f>
        <v/>
      </c>
      <c r="CE22" s="207" t="str">
        <f>IF(AND(C22="Skema 1",B22="ti"),Skemaoplysninger!$G$47,"")</f>
        <v/>
      </c>
      <c r="CF22" s="207" t="str">
        <f>IF(AND(C22="Skema 1",B22="on"),Skemaoplysninger!$I$47,"")</f>
        <v/>
      </c>
      <c r="CG22" s="207" t="str">
        <f>IF(AND(C22="Skema 1",B22="to"),Skemaoplysninger!$K$47,"")</f>
        <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6"/>
        <v/>
      </c>
      <c r="DL22" t="str">
        <f t="shared" si="16"/>
        <v/>
      </c>
      <c r="DM22" t="str">
        <f t="shared" si="35"/>
        <v/>
      </c>
      <c r="DN22" t="str">
        <f t="shared" si="36"/>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7"/>
        <v>0</v>
      </c>
      <c r="FZ22" s="634">
        <f t="shared" si="18"/>
        <v>0</v>
      </c>
      <c r="GA22">
        <f t="shared" si="19"/>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7"/>
        <v>0</v>
      </c>
      <c r="GK22">
        <f t="shared" si="20"/>
        <v>0</v>
      </c>
      <c r="GL22">
        <f t="shared" si="21"/>
        <v>0</v>
      </c>
      <c r="GM22">
        <f t="shared" si="22"/>
        <v>0</v>
      </c>
      <c r="GN22" s="713">
        <f t="shared" si="23"/>
        <v>0</v>
      </c>
      <c r="GO22">
        <f t="shared" si="38"/>
        <v>0</v>
      </c>
      <c r="GP22" s="647">
        <f t="shared" si="39"/>
        <v>0</v>
      </c>
    </row>
    <row r="23" spans="1:198">
      <c r="A23" s="239">
        <f t="shared" si="24"/>
        <v>9</v>
      </c>
      <c r="B23" s="125" t="str">
        <f t="shared" si="0"/>
        <v>sø</v>
      </c>
      <c r="C23" s="126" t="s">
        <v>118</v>
      </c>
      <c r="D23" s="127" t="str">
        <f t="shared" si="1"/>
        <v/>
      </c>
      <c r="E23" s="1060"/>
      <c r="F23" s="1061"/>
      <c r="G23" s="1062"/>
      <c r="H23" s="292"/>
      <c r="I23" s="746" t="str">
        <f>IF(GO23=1,"X","")</f>
        <v/>
      </c>
      <c r="J23" s="746" t="str">
        <f t="shared" si="2"/>
        <v/>
      </c>
      <c r="K23" s="368"/>
      <c r="L23" s="368"/>
      <c r="M23" s="368"/>
      <c r="N23" s="311">
        <f t="shared" si="25"/>
        <v>0</v>
      </c>
      <c r="O23" s="311">
        <f t="shared" si="26"/>
        <v>0</v>
      </c>
      <c r="P23" s="311">
        <f>IF(Stamoplysninger!$H$34="JA",August!DG23,CX23)</f>
        <v>0</v>
      </c>
      <c r="Q23" s="311">
        <f t="shared" si="27"/>
        <v>0</v>
      </c>
      <c r="R23" s="619"/>
      <c r="S23" s="315"/>
      <c r="T23" s="316"/>
      <c r="U23" s="316"/>
      <c r="V23" s="422"/>
      <c r="W23" s="400"/>
      <c r="X23" s="619"/>
      <c r="Y23">
        <f t="shared" si="28"/>
        <v>0</v>
      </c>
      <c r="Z23">
        <f t="shared" si="3"/>
        <v>0</v>
      </c>
      <c r="AA23" s="1">
        <f t="shared" si="4"/>
        <v>0</v>
      </c>
      <c r="AB23" s="1">
        <f t="shared" si="5"/>
        <v>0</v>
      </c>
      <c r="AC23" s="1">
        <f t="shared" si="6"/>
        <v>0</v>
      </c>
      <c r="AD23" s="1">
        <f t="shared" si="7"/>
        <v>0</v>
      </c>
      <c r="AE23" s="1">
        <f t="shared" si="8"/>
        <v>0</v>
      </c>
      <c r="AF23" s="1">
        <f>IF(C23="Orlov",Stamoplysninger!$E$20*7.4,0)</f>
        <v>0</v>
      </c>
      <c r="AG23" t="str">
        <f>IF(AND(C23="Skema 1",B23="ma"),Arbejdstidsoversigt!$E$77,"")</f>
        <v/>
      </c>
      <c r="AH23" t="str">
        <f>IF(AND(C23="Skema 1",B23="ti"),Arbejdstidsoversigt!$E$78,"")</f>
        <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9"/>
        <v>0</v>
      </c>
      <c r="BB23" s="224">
        <f t="shared" si="10"/>
        <v>0</v>
      </c>
      <c r="BC23" s="1">
        <f t="shared" si="29"/>
        <v>0</v>
      </c>
      <c r="BD23" s="1">
        <f t="shared" si="11"/>
        <v>0</v>
      </c>
      <c r="BE23" s="1">
        <f t="shared" si="12"/>
        <v>0</v>
      </c>
      <c r="BF23" s="1">
        <f t="shared" si="13"/>
        <v>0</v>
      </c>
      <c r="BG23" s="207" t="str">
        <f>IF(AND(C23="Skema 1",B23="ma"),Skemaoplysninger!$E$46,"")</f>
        <v/>
      </c>
      <c r="BH23" s="207" t="str">
        <f>IF(AND(C23="Skema 1",B23="ti"),Skemaoplysninger!$G$46,"")</f>
        <v/>
      </c>
      <c r="BI23" s="207" t="str">
        <f>IF(AND(C23="Skema 1",B23="on"),Skemaoplysninger!$I$46,"")</f>
        <v/>
      </c>
      <c r="BJ23" s="207" t="str">
        <f>IF(AND(C23="Skema 1",B23="to"),Skemaoplysninger!$K$46,"")</f>
        <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0</v>
      </c>
      <c r="CB23" s="1">
        <f t="shared" si="14"/>
        <v>0</v>
      </c>
      <c r="CC23" s="1">
        <f t="shared" si="15"/>
        <v>0</v>
      </c>
      <c r="CD23" s="207" t="str">
        <f>IF(AND(C23="Skema 1",B23="ma"),Skemaoplysninger!$E$47,"")</f>
        <v/>
      </c>
      <c r="CE23" s="207" t="str">
        <f>IF(AND(C23="Skema 1",B23="ti"),Skemaoplysninger!$G$47,"")</f>
        <v/>
      </c>
      <c r="CF23" s="207" t="str">
        <f>IF(AND(C23="Skema 1",B23="on"),Skemaoplysninger!$I$47,"")</f>
        <v/>
      </c>
      <c r="CG23" s="207" t="str">
        <f>IF(AND(C23="Skema 1",B23="to"),Skemaoplysninger!$K$47,"")</f>
        <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6"/>
        <v/>
      </c>
      <c r="DL23" t="str">
        <f t="shared" si="16"/>
        <v/>
      </c>
      <c r="DM23" t="str">
        <f t="shared" si="35"/>
        <v/>
      </c>
      <c r="DN23" t="str">
        <f t="shared" si="36"/>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7"/>
        <v>0</v>
      </c>
      <c r="FZ23" s="634">
        <f t="shared" si="18"/>
        <v>0</v>
      </c>
      <c r="GA23">
        <f t="shared" si="19"/>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7"/>
        <v>0</v>
      </c>
      <c r="GK23">
        <f t="shared" si="20"/>
        <v>0</v>
      </c>
      <c r="GL23">
        <f t="shared" si="21"/>
        <v>0</v>
      </c>
      <c r="GM23">
        <f t="shared" si="22"/>
        <v>0</v>
      </c>
      <c r="GN23" s="713">
        <f t="shared" si="23"/>
        <v>0</v>
      </c>
      <c r="GO23">
        <f t="shared" si="38"/>
        <v>0</v>
      </c>
      <c r="GP23" s="647">
        <f t="shared" si="39"/>
        <v>0</v>
      </c>
    </row>
    <row r="24" spans="1:198">
      <c r="A24" s="239">
        <f t="shared" si="24"/>
        <v>10</v>
      </c>
      <c r="B24" s="125" t="str">
        <f t="shared" si="0"/>
        <v>ma</v>
      </c>
      <c r="C24" s="126" t="s">
        <v>208</v>
      </c>
      <c r="D24" s="127">
        <f t="shared" si="1"/>
        <v>32.571428571428569</v>
      </c>
      <c r="E24" s="1060" t="s">
        <v>780</v>
      </c>
      <c r="F24" s="1061"/>
      <c r="G24" s="1062"/>
      <c r="H24" s="292"/>
      <c r="I24" s="745"/>
      <c r="J24" s="746" t="str">
        <f t="shared" si="2"/>
        <v/>
      </c>
      <c r="K24" s="368">
        <v>7</v>
      </c>
      <c r="L24" s="368">
        <v>3</v>
      </c>
      <c r="M24" s="368">
        <v>1</v>
      </c>
      <c r="N24" s="311">
        <f t="shared" si="25"/>
        <v>7</v>
      </c>
      <c r="O24" s="311">
        <f t="shared" si="26"/>
        <v>3</v>
      </c>
      <c r="P24" s="311">
        <f>IF(Stamoplysninger!$H$34="JA",August!DG24,CX24)</f>
        <v>1</v>
      </c>
      <c r="Q24" s="311">
        <f t="shared" si="27"/>
        <v>3</v>
      </c>
      <c r="R24" s="619"/>
      <c r="S24" s="315"/>
      <c r="T24" s="316"/>
      <c r="U24" s="316"/>
      <c r="V24" s="422"/>
      <c r="W24" s="400"/>
      <c r="X24" s="619"/>
      <c r="Y24">
        <f t="shared" si="28"/>
        <v>0</v>
      </c>
      <c r="Z24">
        <f t="shared" si="3"/>
        <v>0</v>
      </c>
      <c r="AA24" s="1">
        <f t="shared" si="4"/>
        <v>7</v>
      </c>
      <c r="AB24" s="1">
        <f t="shared" si="5"/>
        <v>0</v>
      </c>
      <c r="AC24" s="1">
        <f t="shared" si="6"/>
        <v>0</v>
      </c>
      <c r="AD24" s="1">
        <f t="shared" si="7"/>
        <v>0</v>
      </c>
      <c r="AE24" s="1">
        <f t="shared" si="8"/>
        <v>0</v>
      </c>
      <c r="AF24" s="1">
        <f>IF(C24="Orlov",Stamoplysninger!$E$20*7.4,0)</f>
        <v>0</v>
      </c>
      <c r="AG24" t="str">
        <f>IF(AND(C24="Skema 1",B24="ma"),Arbejdstidsoversigt!$E$77,"")</f>
        <v/>
      </c>
      <c r="AH24" t="str">
        <f>IF(AND(C24="Skema 1",B24="ti"),Arbejdstidsoversigt!$E$78,"")</f>
        <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9"/>
        <v>7</v>
      </c>
      <c r="BB24" s="224">
        <f t="shared" si="10"/>
        <v>0</v>
      </c>
      <c r="BC24" s="1">
        <f t="shared" si="29"/>
        <v>0</v>
      </c>
      <c r="BD24" s="1">
        <f t="shared" si="11"/>
        <v>0</v>
      </c>
      <c r="BE24" s="1">
        <f t="shared" si="12"/>
        <v>0</v>
      </c>
      <c r="BF24" s="1">
        <f t="shared" si="13"/>
        <v>3</v>
      </c>
      <c r="BG24" s="207" t="str">
        <f>IF(AND(C24="Skema 1",B24="ma"),Skemaoplysninger!$E$46,"")</f>
        <v/>
      </c>
      <c r="BH24" s="207" t="str">
        <f>IF(AND(C24="Skema 1",B24="ti"),Skemaoplysninger!$G$46,"")</f>
        <v/>
      </c>
      <c r="BI24" s="207" t="str">
        <f>IF(AND(C24="Skema 1",B24="on"),Skemaoplysninger!$I$46,"")</f>
        <v/>
      </c>
      <c r="BJ24" s="207" t="str">
        <f>IF(AND(C24="Skema 1",B24="to"),Skemaoplysninger!$K$46,"")</f>
        <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3</v>
      </c>
      <c r="CB24" s="1">
        <f t="shared" si="14"/>
        <v>0</v>
      </c>
      <c r="CC24" s="1">
        <f t="shared" si="15"/>
        <v>1</v>
      </c>
      <c r="CD24" s="207" t="str">
        <f>IF(AND(C24="Skema 1",B24="ma"),Skemaoplysninger!$E$47,"")</f>
        <v/>
      </c>
      <c r="CE24" s="207" t="str">
        <f>IF(AND(C24="Skema 1",B24="ti"),Skemaoplysninger!$G$47,"")</f>
        <v/>
      </c>
      <c r="CF24" s="207" t="str">
        <f>IF(AND(C24="Skema 1",B24="on"),Skemaoplysninger!$I$47,"")</f>
        <v/>
      </c>
      <c r="CG24" s="207" t="str">
        <f>IF(AND(C24="Skema 1",B24="to"),Skemaoplysninger!$K$47,"")</f>
        <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1</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t="str">
        <f t="shared" si="33"/>
        <v>Første skoledag 8-15 (elever 9-13)</v>
      </c>
      <c r="DJ24" t="str">
        <f t="shared" si="34"/>
        <v/>
      </c>
      <c r="DK24" t="str">
        <f t="shared" si="16"/>
        <v/>
      </c>
      <c r="DL24" t="str">
        <f t="shared" si="16"/>
        <v>Første skoledag 8-15 (elever 9-13)</v>
      </c>
      <c r="DM24" t="str">
        <f t="shared" si="35"/>
        <v/>
      </c>
      <c r="DN24" t="str">
        <f t="shared" si="36"/>
        <v>Første skoledag 8-15 (elever 9-13)</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7"/>
        <v>0</v>
      </c>
      <c r="FZ24" s="634">
        <f t="shared" si="18"/>
        <v>0</v>
      </c>
      <c r="GA24">
        <f t="shared" si="19"/>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7"/>
        <v>0</v>
      </c>
      <c r="GK24" t="str">
        <f t="shared" si="20"/>
        <v>X</v>
      </c>
      <c r="GL24">
        <f t="shared" si="21"/>
        <v>0</v>
      </c>
      <c r="GM24">
        <f t="shared" si="22"/>
        <v>0</v>
      </c>
      <c r="GN24" s="713">
        <f t="shared" si="23"/>
        <v>0</v>
      </c>
      <c r="GO24">
        <f t="shared" si="38"/>
        <v>1</v>
      </c>
      <c r="GP24" s="647">
        <f t="shared" si="39"/>
        <v>0</v>
      </c>
    </row>
    <row r="25" spans="1:198">
      <c r="A25" s="239">
        <f t="shared" si="24"/>
        <v>11</v>
      </c>
      <c r="B25" s="125" t="str">
        <f t="shared" si="0"/>
        <v>ti</v>
      </c>
      <c r="C25" s="126" t="s">
        <v>203</v>
      </c>
      <c r="D25" s="127" t="str">
        <f t="shared" si="1"/>
        <v/>
      </c>
      <c r="E25" s="1060"/>
      <c r="F25" s="1061"/>
      <c r="G25" s="1062"/>
      <c r="H25" s="292"/>
      <c r="I25" s="745"/>
      <c r="J25" s="746" t="str">
        <f t="shared" si="2"/>
        <v/>
      </c>
      <c r="K25" s="368"/>
      <c r="L25" s="368"/>
      <c r="M25" s="368"/>
      <c r="N25" s="311">
        <f t="shared" si="25"/>
        <v>8.11</v>
      </c>
      <c r="O25" s="311">
        <f t="shared" si="26"/>
        <v>4.5</v>
      </c>
      <c r="P25" s="311">
        <f>IF(Stamoplysninger!$H$34="JA",August!DG25,CX25)</f>
        <v>1.9166666666666665</v>
      </c>
      <c r="Q25" s="311">
        <f t="shared" si="27"/>
        <v>1.6933333333333329</v>
      </c>
      <c r="R25" s="619"/>
      <c r="S25" s="315"/>
      <c r="T25" s="316"/>
      <c r="U25" s="316"/>
      <c r="V25" s="422"/>
      <c r="W25" s="400"/>
      <c r="X25" s="619"/>
      <c r="Y25">
        <f t="shared" si="28"/>
        <v>0</v>
      </c>
      <c r="Z25">
        <f t="shared" si="3"/>
        <v>0</v>
      </c>
      <c r="AA25" s="1">
        <f t="shared" si="4"/>
        <v>0</v>
      </c>
      <c r="AB25" s="1">
        <f t="shared" si="5"/>
        <v>0</v>
      </c>
      <c r="AC25" s="1">
        <f t="shared" si="6"/>
        <v>0</v>
      </c>
      <c r="AD25" s="1">
        <f t="shared" si="7"/>
        <v>0</v>
      </c>
      <c r="AE25" s="1">
        <f t="shared" si="8"/>
        <v>0</v>
      </c>
      <c r="AF25" s="1">
        <f>IF(C25="Orlov",Stamoplysninger!$E$20*7.4,0)</f>
        <v>0</v>
      </c>
      <c r="AG25" t="str">
        <f>IF(AND(C25="Skema 1",B25="ma"),Arbejdstidsoversigt!$E$77,"")</f>
        <v/>
      </c>
      <c r="AH25">
        <f>IF(AND(C25="Skema 1",B25="ti"),Arbejdstidsoversigt!$E$78,"")</f>
        <v>8.11</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9"/>
        <v>8.11</v>
      </c>
      <c r="BB25" s="224">
        <f t="shared" si="10"/>
        <v>194.64</v>
      </c>
      <c r="BC25" s="1">
        <f t="shared" si="29"/>
        <v>0</v>
      </c>
      <c r="BD25" s="1">
        <f t="shared" si="11"/>
        <v>0</v>
      </c>
      <c r="BE25" s="1">
        <f t="shared" si="12"/>
        <v>0</v>
      </c>
      <c r="BF25" s="1">
        <f t="shared" si="13"/>
        <v>0</v>
      </c>
      <c r="BG25" s="207" t="str">
        <f>IF(AND(C25="Skema 1",B25="ma"),Skemaoplysninger!$E$46,"")</f>
        <v/>
      </c>
      <c r="BH25" s="207">
        <f>IF(AND(C25="Skema 1",B25="ti"),Skemaoplysninger!$G$46,"")</f>
        <v>0.1875</v>
      </c>
      <c r="BI25" s="207" t="str">
        <f>IF(AND(C25="Skema 1",B25="on"),Skemaoplysninger!$I$46,"")</f>
        <v/>
      </c>
      <c r="BJ25" s="207" t="str">
        <f>IF(AND(C25="Skema 1",B25="to"),Skemaoplysninger!$K$46,"")</f>
        <v/>
      </c>
      <c r="BK25" s="207" t="str">
        <f>IF(AND(C25="Skema 1",B25="fr"),Skemaoplysninger!$M$46,"")</f>
        <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4.5</v>
      </c>
      <c r="CB25" s="1">
        <f t="shared" si="14"/>
        <v>0</v>
      </c>
      <c r="CC25" s="1">
        <f t="shared" si="15"/>
        <v>0</v>
      </c>
      <c r="CD25" s="207" t="str">
        <f>IF(AND(C25="Skema 1",B25="ma"),Skemaoplysninger!$E$47,"")</f>
        <v/>
      </c>
      <c r="CE25" s="207">
        <f>IF(AND(C25="Skema 1",B25="ti"),Skemaoplysninger!$G$47,"")</f>
        <v>7.9861111111111105E-2</v>
      </c>
      <c r="CF25" s="207" t="str">
        <f>IF(AND(C25="Skema 1",B25="on"),Skemaoplysninger!$I$47,"")</f>
        <v/>
      </c>
      <c r="CG25" s="207" t="str">
        <f>IF(AND(C25="Skema 1",B25="to"),Skemaoplysninger!$K$47,"")</f>
        <v/>
      </c>
      <c r="CH25" s="207" t="str">
        <f>IF(AND(C25="Skema 1",B25="fr"),Skemaoplysninger!$M$47,"")</f>
        <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1.9166666666666665</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6"/>
        <v/>
      </c>
      <c r="DL25" t="str">
        <f t="shared" si="16"/>
        <v/>
      </c>
      <c r="DM25" t="str">
        <f t="shared" si="35"/>
        <v/>
      </c>
      <c r="DN25" t="str">
        <f t="shared" si="36"/>
        <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7"/>
        <v>0</v>
      </c>
      <c r="FZ25" s="634">
        <f t="shared" si="18"/>
        <v>0</v>
      </c>
      <c r="GA25">
        <f t="shared" si="19"/>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7"/>
        <v>0</v>
      </c>
      <c r="GK25">
        <f t="shared" si="20"/>
        <v>0</v>
      </c>
      <c r="GL25">
        <f t="shared" si="21"/>
        <v>0</v>
      </c>
      <c r="GM25">
        <f t="shared" si="22"/>
        <v>0</v>
      </c>
      <c r="GN25" s="713">
        <f t="shared" si="23"/>
        <v>0</v>
      </c>
      <c r="GO25">
        <f t="shared" si="38"/>
        <v>0</v>
      </c>
      <c r="GP25" s="647">
        <f t="shared" si="39"/>
        <v>0</v>
      </c>
    </row>
    <row r="26" spans="1:198">
      <c r="A26" s="239">
        <f>IF(ISNUMBER(A25),A25+1,1)</f>
        <v>12</v>
      </c>
      <c r="B26" s="125" t="str">
        <f t="shared" si="0"/>
        <v>on</v>
      </c>
      <c r="C26" s="126" t="s">
        <v>203</v>
      </c>
      <c r="D26" s="127" t="str">
        <f t="shared" si="1"/>
        <v/>
      </c>
      <c r="E26" s="1060"/>
      <c r="F26" s="1061"/>
      <c r="G26" s="1062"/>
      <c r="H26" s="292"/>
      <c r="I26" s="745"/>
      <c r="J26" s="746" t="str">
        <f t="shared" si="2"/>
        <v/>
      </c>
      <c r="K26" s="368"/>
      <c r="L26" s="368"/>
      <c r="M26" s="368"/>
      <c r="N26" s="311">
        <f t="shared" si="25"/>
        <v>8.11</v>
      </c>
      <c r="O26" s="311">
        <f t="shared" si="26"/>
        <v>2.75</v>
      </c>
      <c r="P26" s="311">
        <f>IF(Stamoplysninger!$H$34="JA",August!DG26,CX26)</f>
        <v>1.25</v>
      </c>
      <c r="Q26" s="311">
        <f t="shared" si="27"/>
        <v>4.1099999999999994</v>
      </c>
      <c r="R26" s="619"/>
      <c r="S26" s="315"/>
      <c r="T26" s="316"/>
      <c r="U26" s="316"/>
      <c r="V26" s="422"/>
      <c r="W26" s="400"/>
      <c r="X26" s="619"/>
      <c r="Y26">
        <f t="shared" si="28"/>
        <v>0</v>
      </c>
      <c r="Z26">
        <f t="shared" si="3"/>
        <v>0</v>
      </c>
      <c r="AA26" s="1">
        <f t="shared" si="4"/>
        <v>0</v>
      </c>
      <c r="AB26" s="1">
        <f t="shared" si="5"/>
        <v>0</v>
      </c>
      <c r="AC26" s="1">
        <f t="shared" si="6"/>
        <v>0</v>
      </c>
      <c r="AD26" s="1">
        <f t="shared" si="7"/>
        <v>0</v>
      </c>
      <c r="AE26" s="1">
        <f t="shared" si="8"/>
        <v>0</v>
      </c>
      <c r="AF26" s="1">
        <f>IF(C26="Orlov",Stamoplysninger!$E$20*7.4,0)</f>
        <v>0</v>
      </c>
      <c r="AG26" t="str">
        <f>IF(AND(C26="Skema 1",B26="ma"),Arbejdstidsoversigt!$E$77,"")</f>
        <v/>
      </c>
      <c r="AH26" t="str">
        <f>IF(AND(C26="Skema 1",B26="ti"),Arbejdstidsoversigt!$E$78,"")</f>
        <v/>
      </c>
      <c r="AI26">
        <f>IF(AND(C26="Skema 1",B26="on"),Arbejdstidsoversigt!$E$79,"")</f>
        <v>8.11</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9"/>
        <v>8.11</v>
      </c>
      <c r="BB26" s="224">
        <f t="shared" si="10"/>
        <v>194.64</v>
      </c>
      <c r="BC26" s="1">
        <f t="shared" si="29"/>
        <v>0</v>
      </c>
      <c r="BD26" s="1">
        <f t="shared" si="11"/>
        <v>0</v>
      </c>
      <c r="BE26" s="1">
        <f t="shared" si="12"/>
        <v>0</v>
      </c>
      <c r="BF26" s="1">
        <f t="shared" si="13"/>
        <v>0</v>
      </c>
      <c r="BG26" s="207" t="str">
        <f>IF(AND(C26="Skema 1",B26="ma"),Skemaoplysninger!$E$46,"")</f>
        <v/>
      </c>
      <c r="BH26" s="207" t="str">
        <f>IF(AND(C26="Skema 1",B26="ti"),Skemaoplysninger!$G$46,"")</f>
        <v/>
      </c>
      <c r="BI26" s="207">
        <f>IF(AND(C26="Skema 1",B26="on"),Skemaoplysninger!$I$46,"")</f>
        <v>0.11458333333333333</v>
      </c>
      <c r="BJ26" s="207" t="str">
        <f>IF(AND(C26="Skema 1",B26="to"),Skemaoplysninger!$K$46,"")</f>
        <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2.75</v>
      </c>
      <c r="CB26" s="1">
        <f t="shared" si="14"/>
        <v>0</v>
      </c>
      <c r="CC26" s="1">
        <f t="shared" si="15"/>
        <v>0</v>
      </c>
      <c r="CD26" s="207" t="str">
        <f>IF(AND(C26="Skema 1",B26="ma"),Skemaoplysninger!$E$47,"")</f>
        <v/>
      </c>
      <c r="CE26" s="207" t="str">
        <f>IF(AND(C26="Skema 1",B26="ti"),Skemaoplysninger!$G$47,"")</f>
        <v/>
      </c>
      <c r="CF26" s="207">
        <f>IF(AND(C26="Skema 1",B26="on"),Skemaoplysninger!$I$47,"")</f>
        <v>5.2083333333333329E-2</v>
      </c>
      <c r="CG26" s="207" t="str">
        <f>IF(AND(C26="Skema 1",B26="to"),Skemaoplysninger!$K$47,"")</f>
        <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1.25</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6"/>
        <v/>
      </c>
      <c r="DL26" t="str">
        <f t="shared" si="16"/>
        <v/>
      </c>
      <c r="DM26" t="str">
        <f t="shared" si="35"/>
        <v/>
      </c>
      <c r="DN26" t="str">
        <f t="shared" si="36"/>
        <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7"/>
        <v>0</v>
      </c>
      <c r="FZ26" s="634">
        <f t="shared" si="18"/>
        <v>0</v>
      </c>
      <c r="GA26">
        <f t="shared" si="19"/>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7"/>
        <v>0</v>
      </c>
      <c r="GK26">
        <f t="shared" si="20"/>
        <v>0</v>
      </c>
      <c r="GL26">
        <f t="shared" si="21"/>
        <v>0</v>
      </c>
      <c r="GM26">
        <f t="shared" si="22"/>
        <v>0</v>
      </c>
      <c r="GN26" s="713">
        <f t="shared" si="23"/>
        <v>0</v>
      </c>
      <c r="GO26">
        <f t="shared" si="38"/>
        <v>0</v>
      </c>
      <c r="GP26" s="647">
        <f t="shared" si="39"/>
        <v>0</v>
      </c>
    </row>
    <row r="27" spans="1:198">
      <c r="A27" s="239">
        <f>IF(ISNUMBER(A26),A26+1,1)</f>
        <v>13</v>
      </c>
      <c r="B27" s="125" t="str">
        <f t="shared" si="0"/>
        <v>to</v>
      </c>
      <c r="C27" s="126" t="s">
        <v>203</v>
      </c>
      <c r="D27" s="127" t="str">
        <f t="shared" si="1"/>
        <v/>
      </c>
      <c r="E27" s="1123"/>
      <c r="F27" s="1124"/>
      <c r="G27" s="1125"/>
      <c r="H27" s="291"/>
      <c r="I27" s="745"/>
      <c r="J27" s="746" t="str">
        <f t="shared" si="2"/>
        <v/>
      </c>
      <c r="K27" s="368"/>
      <c r="L27" s="368"/>
      <c r="M27" s="368"/>
      <c r="N27" s="311">
        <f t="shared" si="25"/>
        <v>9</v>
      </c>
      <c r="O27" s="311">
        <f t="shared" si="26"/>
        <v>3.75</v>
      </c>
      <c r="P27" s="311">
        <f>IF(Stamoplysninger!$H$34="JA",August!DG27,CX27)</f>
        <v>1</v>
      </c>
      <c r="Q27" s="311">
        <f t="shared" si="27"/>
        <v>4.25</v>
      </c>
      <c r="R27" s="619"/>
      <c r="S27" s="315"/>
      <c r="T27" s="316"/>
      <c r="U27" s="316"/>
      <c r="V27" s="422"/>
      <c r="W27" s="400"/>
      <c r="X27" s="619"/>
      <c r="Y27">
        <f t="shared" si="28"/>
        <v>0</v>
      </c>
      <c r="Z27">
        <f t="shared" si="3"/>
        <v>0</v>
      </c>
      <c r="AA27" s="1">
        <f t="shared" si="4"/>
        <v>0</v>
      </c>
      <c r="AB27" s="1">
        <f t="shared" si="5"/>
        <v>0</v>
      </c>
      <c r="AC27" s="1">
        <f t="shared" si="6"/>
        <v>0</v>
      </c>
      <c r="AD27" s="1">
        <f t="shared" si="7"/>
        <v>0</v>
      </c>
      <c r="AE27" s="1">
        <f t="shared" si="8"/>
        <v>0</v>
      </c>
      <c r="AF27" s="1">
        <f>IF(C27="Orlov",Stamoplysninger!$E$20*7.4,0)</f>
        <v>0</v>
      </c>
      <c r="AG27" t="str">
        <f>IF(AND(C27="Skema 1",B27="ma"),Arbejdstidsoversigt!$E$77,"")</f>
        <v/>
      </c>
      <c r="AH27" t="str">
        <f>IF(AND(C27="Skema 1",B27="ti"),Arbejdstidsoversigt!$E$78,"")</f>
        <v/>
      </c>
      <c r="AI27" t="str">
        <f>IF(AND(C27="Skema 1",B27="on"),Arbejdstidsoversigt!$E$79,"")</f>
        <v/>
      </c>
      <c r="AJ27">
        <f>IF(AND(C27="Skema 1",B27="to"),Arbejdstidsoversigt!$E$80,"")</f>
        <v>9</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9"/>
        <v>9</v>
      </c>
      <c r="BB27" s="224">
        <f t="shared" si="10"/>
        <v>216</v>
      </c>
      <c r="BC27" s="1">
        <f t="shared" si="29"/>
        <v>0</v>
      </c>
      <c r="BD27" s="1">
        <f t="shared" si="11"/>
        <v>0</v>
      </c>
      <c r="BE27" s="1">
        <f t="shared" si="12"/>
        <v>0</v>
      </c>
      <c r="BF27" s="1">
        <f t="shared" si="13"/>
        <v>0</v>
      </c>
      <c r="BG27" s="207" t="str">
        <f>IF(AND(C27="Skema 1",B27="ma"),Skemaoplysninger!$E$46,"")</f>
        <v/>
      </c>
      <c r="BH27" s="207" t="str">
        <f>IF(AND(C27="Skema 1",B27="ti"),Skemaoplysninger!$G$46,"")</f>
        <v/>
      </c>
      <c r="BI27" s="207" t="str">
        <f>IF(AND(C27="Skema 1",B27="on"),Skemaoplysninger!$I$46,"")</f>
        <v/>
      </c>
      <c r="BJ27" s="207">
        <f>IF(AND(C27="Skema 1",B27="to"),Skemaoplysninger!$K$46,"")</f>
        <v>0.15625</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3.75</v>
      </c>
      <c r="CB27" s="1">
        <f t="shared" si="14"/>
        <v>0</v>
      </c>
      <c r="CC27" s="1">
        <f t="shared" si="15"/>
        <v>0</v>
      </c>
      <c r="CD27" s="207" t="str">
        <f>IF(AND(C27="Skema 1",B27="ma"),Skemaoplysninger!$E$47,"")</f>
        <v/>
      </c>
      <c r="CE27" s="207" t="str">
        <f>IF(AND(C27="Skema 1",B27="ti"),Skemaoplysninger!$G$47,"")</f>
        <v/>
      </c>
      <c r="CF27" s="207" t="str">
        <f>IF(AND(C27="Skema 1",B27="on"),Skemaoplysninger!$I$47,"")</f>
        <v/>
      </c>
      <c r="CG27" s="207">
        <f>IF(AND(C27="Skema 1",B27="to"),Skemaoplysninger!$K$47,"")</f>
        <v>4.1666666666666664E-2</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1</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f t="shared" si="33"/>
        <v>0</v>
      </c>
      <c r="DJ27">
        <f t="shared" si="34"/>
        <v>0</v>
      </c>
      <c r="DK27" t="str">
        <f t="shared" si="16"/>
        <v/>
      </c>
      <c r="DL27" t="str">
        <f t="shared" si="16"/>
        <v/>
      </c>
      <c r="DM27" t="str">
        <f t="shared" si="35"/>
        <v/>
      </c>
      <c r="DN27" t="str">
        <f t="shared" si="36"/>
        <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7"/>
        <v>0</v>
      </c>
      <c r="FZ27" s="634">
        <f t="shared" si="18"/>
        <v>0</v>
      </c>
      <c r="GA27">
        <f t="shared" si="19"/>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7"/>
        <v>0</v>
      </c>
      <c r="GK27">
        <f t="shared" si="20"/>
        <v>0</v>
      </c>
      <c r="GL27">
        <f t="shared" si="21"/>
        <v>0</v>
      </c>
      <c r="GM27">
        <f t="shared" si="22"/>
        <v>0</v>
      </c>
      <c r="GN27" s="713">
        <f t="shared" si="23"/>
        <v>0</v>
      </c>
      <c r="GO27">
        <f t="shared" si="38"/>
        <v>0</v>
      </c>
      <c r="GP27" s="647">
        <f t="shared" si="39"/>
        <v>0</v>
      </c>
    </row>
    <row r="28" spans="1:198">
      <c r="A28" s="239">
        <f t="shared" si="24"/>
        <v>14</v>
      </c>
      <c r="B28" s="125" t="str">
        <f t="shared" si="0"/>
        <v>fr</v>
      </c>
      <c r="C28" s="126" t="s">
        <v>203</v>
      </c>
      <c r="D28" s="127" t="str">
        <f t="shared" si="1"/>
        <v/>
      </c>
      <c r="E28" s="1123"/>
      <c r="F28" s="1124"/>
      <c r="G28" s="1125"/>
      <c r="H28" s="291"/>
      <c r="I28" s="745"/>
      <c r="J28" s="746" t="str">
        <f t="shared" si="2"/>
        <v/>
      </c>
      <c r="K28" s="368"/>
      <c r="L28" s="368"/>
      <c r="M28" s="368"/>
      <c r="N28" s="311">
        <f t="shared" si="25"/>
        <v>7.1</v>
      </c>
      <c r="O28" s="311">
        <f t="shared" si="26"/>
        <v>3.75</v>
      </c>
      <c r="P28" s="311">
        <f>IF(Stamoplysninger!$H$34="JA",August!DG28,CX28)</f>
        <v>1</v>
      </c>
      <c r="Q28" s="311">
        <f t="shared" si="27"/>
        <v>2.3499999999999996</v>
      </c>
      <c r="R28" s="619"/>
      <c r="S28" s="315"/>
      <c r="T28" s="316"/>
      <c r="U28" s="316"/>
      <c r="V28" s="422"/>
      <c r="W28" s="400"/>
      <c r="X28" s="619"/>
      <c r="Y28">
        <f t="shared" si="28"/>
        <v>0</v>
      </c>
      <c r="Z28">
        <f t="shared" si="3"/>
        <v>0</v>
      </c>
      <c r="AA28" s="1">
        <f t="shared" si="4"/>
        <v>0</v>
      </c>
      <c r="AB28" s="1">
        <f t="shared" si="5"/>
        <v>0</v>
      </c>
      <c r="AC28" s="1">
        <f t="shared" si="6"/>
        <v>0</v>
      </c>
      <c r="AD28" s="1">
        <f t="shared" si="7"/>
        <v>0</v>
      </c>
      <c r="AE28" s="1">
        <f t="shared" si="8"/>
        <v>0</v>
      </c>
      <c r="AF28" s="1">
        <f>IF(C28="Orlov",Stamoplysninger!$E$20*7.4,0)</f>
        <v>0</v>
      </c>
      <c r="AG28" t="str">
        <f>IF(AND(C28="Skema 1",B28="ma"),Arbejdstidsoversigt!$E$77,"")</f>
        <v/>
      </c>
      <c r="AH28" t="str">
        <f>IF(AND(C28="Skema 1",B28="ti"),Arbejdstidsoversigt!$E$78,"")</f>
        <v/>
      </c>
      <c r="AI28" t="str">
        <f>IF(AND(C28="Skema 1",B28="on"),Arbejdstidsoversigt!$E$79,"")</f>
        <v/>
      </c>
      <c r="AJ28" t="str">
        <f>IF(AND(C28="Skema 1",B28="to"),Arbejdstidsoversigt!$E$80,"")</f>
        <v/>
      </c>
      <c r="AK28">
        <f>IF(AND(C28="Skema 1",B28="fr"),Arbejdstidsoversigt!$E$81,"")</f>
        <v>7.1</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9"/>
        <v>7.1</v>
      </c>
      <c r="BB28" s="224">
        <f t="shared" si="10"/>
        <v>170.39999999999998</v>
      </c>
      <c r="BC28" s="1">
        <f t="shared" si="29"/>
        <v>0</v>
      </c>
      <c r="BD28" s="1">
        <f t="shared" si="11"/>
        <v>0</v>
      </c>
      <c r="BE28" s="1">
        <f t="shared" si="12"/>
        <v>0</v>
      </c>
      <c r="BF28" s="1">
        <f t="shared" si="13"/>
        <v>0</v>
      </c>
      <c r="BG28" s="207" t="str">
        <f>IF(AND(C28="Skema 1",B28="ma"),Skemaoplysninger!$E$46,"")</f>
        <v/>
      </c>
      <c r="BH28" s="207" t="str">
        <f>IF(AND(C28="Skema 1",B28="ti"),Skemaoplysninger!$G$46,"")</f>
        <v/>
      </c>
      <c r="BI28" s="207" t="str">
        <f>IF(AND(C28="Skema 1",B28="on"),Skemaoplysninger!$I$46,"")</f>
        <v/>
      </c>
      <c r="BJ28" s="207" t="str">
        <f>IF(AND(C28="Skema 1",B28="to"),Skemaoplysninger!$K$46,"")</f>
        <v/>
      </c>
      <c r="BK28" s="207">
        <f>IF(AND(C28="Skema 1",B28="fr"),Skemaoplysninger!$M$46,"")</f>
        <v>0.15625</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3.75</v>
      </c>
      <c r="CB28" s="1">
        <f t="shared" si="14"/>
        <v>0</v>
      </c>
      <c r="CC28" s="1">
        <f t="shared" si="15"/>
        <v>0</v>
      </c>
      <c r="CD28" s="207" t="str">
        <f>IF(AND(C28="Skema 1",B28="ma"),Skemaoplysninger!$E$47,"")</f>
        <v/>
      </c>
      <c r="CE28" s="207" t="str">
        <f>IF(AND(C28="Skema 1",B28="ti"),Skemaoplysninger!$G$47,"")</f>
        <v/>
      </c>
      <c r="CF28" s="207" t="str">
        <f>IF(AND(C28="Skema 1",B28="on"),Skemaoplysninger!$I$47,"")</f>
        <v/>
      </c>
      <c r="CG28" s="207" t="str">
        <f>IF(AND(C28="Skema 1",B28="to"),Skemaoplysninger!$K$47,"")</f>
        <v/>
      </c>
      <c r="CH28" s="207">
        <f>IF(AND(C28="Skema 1",B28="fr"),Skemaoplysninger!$M$47,"")</f>
        <v>4.1666666666666664E-2</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1</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6"/>
        <v/>
      </c>
      <c r="DL28" t="str">
        <f t="shared" si="16"/>
        <v/>
      </c>
      <c r="DM28" t="str">
        <f t="shared" si="35"/>
        <v/>
      </c>
      <c r="DN28" t="str">
        <f t="shared" si="36"/>
        <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7"/>
        <v>0</v>
      </c>
      <c r="FZ28" s="634">
        <f t="shared" si="18"/>
        <v>0</v>
      </c>
      <c r="GA28">
        <f t="shared" si="19"/>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7"/>
        <v>0</v>
      </c>
      <c r="GK28">
        <f t="shared" si="20"/>
        <v>0</v>
      </c>
      <c r="GL28">
        <f t="shared" si="21"/>
        <v>0</v>
      </c>
      <c r="GM28">
        <f t="shared" si="22"/>
        <v>0</v>
      </c>
      <c r="GN28" s="713">
        <f t="shared" si="23"/>
        <v>0</v>
      </c>
      <c r="GO28">
        <f t="shared" si="38"/>
        <v>0</v>
      </c>
      <c r="GP28" s="647">
        <f t="shared" si="39"/>
        <v>0</v>
      </c>
    </row>
    <row r="29" spans="1:198">
      <c r="A29" s="239">
        <f t="shared" si="24"/>
        <v>15</v>
      </c>
      <c r="B29" s="125" t="str">
        <f t="shared" si="0"/>
        <v>lø</v>
      </c>
      <c r="C29" s="126" t="s">
        <v>118</v>
      </c>
      <c r="D29" s="127" t="str">
        <f t="shared" si="1"/>
        <v/>
      </c>
      <c r="E29" s="1123"/>
      <c r="F29" s="1124"/>
      <c r="G29" s="1125"/>
      <c r="H29" s="291"/>
      <c r="I29" s="746" t="str">
        <f>IF(GO29=1,"X","")</f>
        <v/>
      </c>
      <c r="J29" s="746" t="str">
        <f t="shared" si="2"/>
        <v/>
      </c>
      <c r="K29" s="368"/>
      <c r="L29" s="368"/>
      <c r="M29" s="368"/>
      <c r="N29" s="311">
        <f t="shared" si="25"/>
        <v>0</v>
      </c>
      <c r="O29" s="311">
        <f t="shared" si="26"/>
        <v>0</v>
      </c>
      <c r="P29" s="311">
        <f>IF(Stamoplysninger!$H$34="JA",August!DG29,CX29)</f>
        <v>0</v>
      </c>
      <c r="Q29" s="311">
        <f t="shared" si="27"/>
        <v>0</v>
      </c>
      <c r="R29" s="619"/>
      <c r="S29" s="315"/>
      <c r="T29" s="316"/>
      <c r="U29" s="316"/>
      <c r="V29" s="422"/>
      <c r="W29" s="400"/>
      <c r="X29" s="619"/>
      <c r="Y29">
        <f t="shared" si="28"/>
        <v>0</v>
      </c>
      <c r="Z29">
        <f t="shared" si="3"/>
        <v>0</v>
      </c>
      <c r="AA29" s="1">
        <f t="shared" si="4"/>
        <v>0</v>
      </c>
      <c r="AB29" s="1">
        <f t="shared" si="5"/>
        <v>0</v>
      </c>
      <c r="AC29" s="1">
        <f t="shared" si="6"/>
        <v>0</v>
      </c>
      <c r="AD29" s="1">
        <f t="shared" si="7"/>
        <v>0</v>
      </c>
      <c r="AE29" s="1">
        <f t="shared" si="8"/>
        <v>0</v>
      </c>
      <c r="AF29" s="1">
        <f>IF(C29="Orlov",Stamoplysninger!$E$20*7.4,0)</f>
        <v>0</v>
      </c>
      <c r="AG29" t="str">
        <f>IF(AND(C29="Skema 1",B29="ma"),Arbejdstidsoversigt!$E$77,"")</f>
        <v/>
      </c>
      <c r="AH29" t="str">
        <f>IF(AND(C29="Skema 1",B29="ti"),Arbejdstidsoversigt!$E$78,"")</f>
        <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9"/>
        <v>0</v>
      </c>
      <c r="BB29" s="224">
        <f t="shared" si="10"/>
        <v>0</v>
      </c>
      <c r="BC29" s="1">
        <f t="shared" si="29"/>
        <v>0</v>
      </c>
      <c r="BD29" s="1">
        <f t="shared" si="11"/>
        <v>0</v>
      </c>
      <c r="BE29" s="1">
        <f t="shared" si="12"/>
        <v>0</v>
      </c>
      <c r="BF29" s="1">
        <f t="shared" si="13"/>
        <v>0</v>
      </c>
      <c r="BG29" s="207" t="str">
        <f>IF(AND(C29="Skema 1",B29="ma"),Skemaoplysninger!$E$46,"")</f>
        <v/>
      </c>
      <c r="BH29" s="207" t="str">
        <f>IF(AND(C29="Skema 1",B29="ti"),Skemaoplysninger!$G$46,"")</f>
        <v/>
      </c>
      <c r="BI29" s="207" t="str">
        <f>IF(AND(C29="Skema 1",B29="on"),Skemaoplysninger!$I$46,"")</f>
        <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0</v>
      </c>
      <c r="CB29" s="1">
        <f t="shared" si="14"/>
        <v>0</v>
      </c>
      <c r="CC29" s="1">
        <f t="shared" si="15"/>
        <v>0</v>
      </c>
      <c r="CD29" s="207" t="str">
        <f>IF(AND(C29="Skema 1",B29="ma"),Skemaoplysninger!$E$47,"")</f>
        <v/>
      </c>
      <c r="CE29" s="207" t="str">
        <f>IF(AND(C29="Skema 1",B29="ti"),Skemaoplysninger!$G$47,"")</f>
        <v/>
      </c>
      <c r="CF29" s="207" t="str">
        <f>IF(AND(C29="Skema 1",B29="on"),Skemaoplysninger!$I$47,"")</f>
        <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f t="shared" si="33"/>
        <v>0</v>
      </c>
      <c r="DJ29">
        <f t="shared" si="34"/>
        <v>0</v>
      </c>
      <c r="DK29" t="str">
        <f t="shared" si="16"/>
        <v/>
      </c>
      <c r="DL29" t="str">
        <f t="shared" si="16"/>
        <v/>
      </c>
      <c r="DM29" t="str">
        <f t="shared" si="35"/>
        <v/>
      </c>
      <c r="DN29" t="str">
        <f t="shared" si="36"/>
        <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7"/>
        <v>0</v>
      </c>
      <c r="FZ29" s="634">
        <f t="shared" si="18"/>
        <v>0</v>
      </c>
      <c r="GA29">
        <f t="shared" si="19"/>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7"/>
        <v>0</v>
      </c>
      <c r="GK29">
        <f t="shared" si="20"/>
        <v>0</v>
      </c>
      <c r="GL29">
        <f t="shared" si="21"/>
        <v>0</v>
      </c>
      <c r="GM29">
        <f t="shared" si="22"/>
        <v>0</v>
      </c>
      <c r="GN29" s="713">
        <f t="shared" si="23"/>
        <v>0</v>
      </c>
      <c r="GO29">
        <f t="shared" si="38"/>
        <v>0</v>
      </c>
      <c r="GP29" s="647">
        <f t="shared" si="39"/>
        <v>0</v>
      </c>
    </row>
    <row r="30" spans="1:198">
      <c r="A30" s="239">
        <f>IF(ISNUMBER(A29),A29+1,1)</f>
        <v>16</v>
      </c>
      <c r="B30" s="125" t="str">
        <f t="shared" si="0"/>
        <v>sø</v>
      </c>
      <c r="C30" s="126" t="s">
        <v>118</v>
      </c>
      <c r="D30" s="127" t="str">
        <f t="shared" si="1"/>
        <v/>
      </c>
      <c r="E30" s="1060"/>
      <c r="F30" s="1061"/>
      <c r="G30" s="1062"/>
      <c r="H30" s="292"/>
      <c r="I30" s="746" t="str">
        <f>IF(GO30=1,"X","")</f>
        <v/>
      </c>
      <c r="J30" s="746" t="str">
        <f t="shared" si="2"/>
        <v/>
      </c>
      <c r="K30" s="368"/>
      <c r="L30" s="368"/>
      <c r="M30" s="368"/>
      <c r="N30" s="311">
        <f t="shared" si="25"/>
        <v>0</v>
      </c>
      <c r="O30" s="311">
        <f t="shared" si="26"/>
        <v>0</v>
      </c>
      <c r="P30" s="311">
        <f>IF(Stamoplysninger!$H$34="JA",August!DG30,CX30)</f>
        <v>0</v>
      </c>
      <c r="Q30" s="311">
        <f t="shared" si="27"/>
        <v>0</v>
      </c>
      <c r="R30" s="619"/>
      <c r="S30" s="315"/>
      <c r="T30" s="316"/>
      <c r="U30" s="316"/>
      <c r="V30" s="422"/>
      <c r="W30" s="400"/>
      <c r="X30" s="619"/>
      <c r="Y30">
        <f t="shared" si="28"/>
        <v>0</v>
      </c>
      <c r="Z30">
        <f t="shared" si="3"/>
        <v>0</v>
      </c>
      <c r="AA30" s="1">
        <f t="shared" si="4"/>
        <v>0</v>
      </c>
      <c r="AB30" s="1">
        <f t="shared" si="5"/>
        <v>0</v>
      </c>
      <c r="AC30" s="1">
        <f t="shared" si="6"/>
        <v>0</v>
      </c>
      <c r="AD30" s="1">
        <f t="shared" si="7"/>
        <v>0</v>
      </c>
      <c r="AE30" s="1">
        <f t="shared" si="8"/>
        <v>0</v>
      </c>
      <c r="AF30" s="1">
        <f>IF(C30="Orlov",Stamoplysninger!$E$20*7.4,0)</f>
        <v>0</v>
      </c>
      <c r="AG30" t="str">
        <f>IF(AND(C30="Skema 1",B30="ma"),Arbejdstidsoversigt!$E$77,"")</f>
        <v/>
      </c>
      <c r="AH30" t="str">
        <f>IF(AND(C30="Skema 1",B30="ti"),Arbejdstidsoversigt!$E$78,"")</f>
        <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9"/>
        <v>0</v>
      </c>
      <c r="BB30" s="224">
        <f t="shared" si="10"/>
        <v>0</v>
      </c>
      <c r="BC30" s="1">
        <f t="shared" si="29"/>
        <v>0</v>
      </c>
      <c r="BD30" s="1">
        <f t="shared" si="11"/>
        <v>0</v>
      </c>
      <c r="BE30" s="1">
        <f t="shared" si="12"/>
        <v>0</v>
      </c>
      <c r="BF30" s="1">
        <f t="shared" si="13"/>
        <v>0</v>
      </c>
      <c r="BG30" s="207" t="str">
        <f>IF(AND(C30="Skema 1",B30="ma"),Skemaoplysninger!$E$46,"")</f>
        <v/>
      </c>
      <c r="BH30" s="207" t="str">
        <f>IF(AND(C30="Skema 1",B30="ti"),Skemaoplysninger!$G$46,"")</f>
        <v/>
      </c>
      <c r="BI30" s="207" t="str">
        <f>IF(AND(C30="Skema 1",B30="on"),Skemaoplysninger!$I$46,"")</f>
        <v/>
      </c>
      <c r="BJ30" s="207" t="str">
        <f>IF(AND(C30="Skema 1",B30="to"),Skemaoplysninger!$K$46,"")</f>
        <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0</v>
      </c>
      <c r="CB30" s="1">
        <f t="shared" si="14"/>
        <v>0</v>
      </c>
      <c r="CC30" s="1">
        <f t="shared" si="15"/>
        <v>0</v>
      </c>
      <c r="CD30" s="207" t="str">
        <f>IF(AND(C30="Skema 1",B30="ma"),Skemaoplysninger!$E$47,"")</f>
        <v/>
      </c>
      <c r="CE30" s="207" t="str">
        <f>IF(AND(C30="Skema 1",B30="ti"),Skemaoplysninger!$G$47,"")</f>
        <v/>
      </c>
      <c r="CF30" s="207" t="str">
        <f>IF(AND(C30="Skema 1",B30="on"),Skemaoplysninger!$I$47,"")</f>
        <v/>
      </c>
      <c r="CG30" s="207" t="str">
        <f>IF(AND(C30="Skema 1",B30="to"),Skemaoplysninger!$K$47,"")</f>
        <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6"/>
        <v/>
      </c>
      <c r="DL30" t="str">
        <f t="shared" si="16"/>
        <v/>
      </c>
      <c r="DM30" t="str">
        <f t="shared" si="35"/>
        <v/>
      </c>
      <c r="DN30" t="str">
        <f t="shared" si="36"/>
        <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7"/>
        <v>0</v>
      </c>
      <c r="FZ30" s="634">
        <f t="shared" si="18"/>
        <v>0</v>
      </c>
      <c r="GA30">
        <f t="shared" si="19"/>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7"/>
        <v>0</v>
      </c>
      <c r="GK30">
        <f t="shared" si="20"/>
        <v>0</v>
      </c>
      <c r="GL30">
        <f t="shared" si="21"/>
        <v>0</v>
      </c>
      <c r="GM30">
        <f t="shared" si="22"/>
        <v>0</v>
      </c>
      <c r="GN30" s="713">
        <f t="shared" si="23"/>
        <v>0</v>
      </c>
      <c r="GO30">
        <f t="shared" si="38"/>
        <v>0</v>
      </c>
      <c r="GP30" s="647">
        <f t="shared" si="39"/>
        <v>0</v>
      </c>
    </row>
    <row r="31" spans="1:198">
      <c r="A31" s="239">
        <f t="shared" si="24"/>
        <v>17</v>
      </c>
      <c r="B31" s="125" t="str">
        <f t="shared" si="0"/>
        <v>ma</v>
      </c>
      <c r="C31" s="126" t="s">
        <v>203</v>
      </c>
      <c r="D31" s="127">
        <f t="shared" si="1"/>
        <v>33.571428571428569</v>
      </c>
      <c r="E31" s="1060"/>
      <c r="F31" s="1061"/>
      <c r="G31" s="1062"/>
      <c r="H31" s="292"/>
      <c r="I31" s="745"/>
      <c r="J31" s="746" t="str">
        <f t="shared" si="2"/>
        <v/>
      </c>
      <c r="K31" s="368"/>
      <c r="L31" s="368"/>
      <c r="M31" s="368"/>
      <c r="N31" s="311">
        <f>BA31</f>
        <v>8.11</v>
      </c>
      <c r="O31" s="311">
        <f t="shared" si="26"/>
        <v>4.5</v>
      </c>
      <c r="P31" s="311">
        <f>IF(Stamoplysninger!$H$34="JA",August!DG31,CX31)</f>
        <v>1.9166666666666665</v>
      </c>
      <c r="Q31" s="311">
        <f t="shared" si="27"/>
        <v>1.6933333333333329</v>
      </c>
      <c r="R31" s="619"/>
      <c r="S31" s="315"/>
      <c r="T31" s="316"/>
      <c r="U31" s="316"/>
      <c r="V31" s="422"/>
      <c r="W31" s="400"/>
      <c r="X31" s="619"/>
      <c r="Y31">
        <f t="shared" si="28"/>
        <v>0</v>
      </c>
      <c r="Z31">
        <f t="shared" si="3"/>
        <v>0</v>
      </c>
      <c r="AA31" s="1">
        <f t="shared" si="4"/>
        <v>0</v>
      </c>
      <c r="AB31" s="1">
        <f t="shared" si="5"/>
        <v>0</v>
      </c>
      <c r="AC31" s="1">
        <f t="shared" si="6"/>
        <v>0</v>
      </c>
      <c r="AD31" s="1">
        <f t="shared" si="7"/>
        <v>0</v>
      </c>
      <c r="AE31" s="1">
        <f t="shared" si="8"/>
        <v>0</v>
      </c>
      <c r="AF31" s="1">
        <f>IF(C31="Orlov",Stamoplysninger!$E$20*7.4,0)</f>
        <v>0</v>
      </c>
      <c r="AG31">
        <f>IF(AND(C31="Skema 1",B31="ma"),Arbejdstidsoversigt!$E$77,"")</f>
        <v>8.11</v>
      </c>
      <c r="AH31" t="str">
        <f>IF(AND(C31="Skema 1",B31="ti"),Arbejdstidsoversigt!$E$78,"")</f>
        <v/>
      </c>
      <c r="AI31" t="str">
        <f>IF(AND(C31="Skema 1",B31="on"),Arbejdstidsoversigt!$E$79,"")</f>
        <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9"/>
        <v>8.11</v>
      </c>
      <c r="BB31" s="224">
        <f t="shared" si="10"/>
        <v>194.64</v>
      </c>
      <c r="BC31" s="1">
        <f t="shared" si="29"/>
        <v>0</v>
      </c>
      <c r="BD31" s="1">
        <f t="shared" si="11"/>
        <v>0</v>
      </c>
      <c r="BE31" s="1">
        <f t="shared" si="12"/>
        <v>0</v>
      </c>
      <c r="BF31" s="1">
        <f t="shared" si="13"/>
        <v>0</v>
      </c>
      <c r="BG31" s="207">
        <f>IF(AND(C31="Skema 1",B31="ma"),Skemaoplysninger!$E$46,"")</f>
        <v>0.1875</v>
      </c>
      <c r="BH31" s="207" t="str">
        <f>IF(AND(C31="Skema 1",B31="ti"),Skemaoplysninger!$G$46,"")</f>
        <v/>
      </c>
      <c r="BI31" s="207" t="str">
        <f>IF(AND(C31="Skema 1",B31="on"),Skemaoplysninger!$I$46,"")</f>
        <v/>
      </c>
      <c r="BJ31" s="207" t="str">
        <f>IF(AND(C31="Skema 1",B31="to"),Skemaoplysninger!$K$46,"")</f>
        <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4.5</v>
      </c>
      <c r="CB31" s="1">
        <f t="shared" si="14"/>
        <v>0</v>
      </c>
      <c r="CC31" s="1">
        <f t="shared" si="15"/>
        <v>0</v>
      </c>
      <c r="CD31" s="207">
        <f>IF(AND(C31="Skema 1",B31="ma"),Skemaoplysninger!$E$47,"")</f>
        <v>7.9861111111111105E-2</v>
      </c>
      <c r="CE31" s="207" t="str">
        <f>IF(AND(C31="Skema 1",B31="ti"),Skemaoplysninger!$G$47,"")</f>
        <v/>
      </c>
      <c r="CF31" s="207" t="str">
        <f>IF(AND(C31="Skema 1",B31="on"),Skemaoplysninger!$I$47,"")</f>
        <v/>
      </c>
      <c r="CG31" s="207" t="str">
        <f>IF(AND(C31="Skema 1",B31="to"),Skemaoplysninger!$K$47,"")</f>
        <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1.9166666666666665</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6"/>
        <v/>
      </c>
      <c r="DL31" t="str">
        <f t="shared" si="16"/>
        <v/>
      </c>
      <c r="DM31" t="str">
        <f t="shared" si="35"/>
        <v/>
      </c>
      <c r="DN31" t="str">
        <f t="shared" si="36"/>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7"/>
        <v>0</v>
      </c>
      <c r="FZ31" s="634">
        <f t="shared" si="18"/>
        <v>0</v>
      </c>
      <c r="GA31">
        <f t="shared" si="19"/>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7"/>
        <v>0</v>
      </c>
      <c r="GK31">
        <f t="shared" si="20"/>
        <v>0</v>
      </c>
      <c r="GL31">
        <f t="shared" si="21"/>
        <v>0</v>
      </c>
      <c r="GM31">
        <f t="shared" si="22"/>
        <v>0</v>
      </c>
      <c r="GN31" s="713">
        <f t="shared" si="23"/>
        <v>0</v>
      </c>
      <c r="GO31">
        <f t="shared" si="38"/>
        <v>0</v>
      </c>
      <c r="GP31" s="647">
        <f t="shared" si="39"/>
        <v>0</v>
      </c>
    </row>
    <row r="32" spans="1:198">
      <c r="A32" s="239">
        <f t="shared" si="24"/>
        <v>18</v>
      </c>
      <c r="B32" s="125" t="str">
        <f t="shared" si="0"/>
        <v>ti</v>
      </c>
      <c r="C32" s="126" t="s">
        <v>203</v>
      </c>
      <c r="D32" s="127" t="str">
        <f t="shared" si="1"/>
        <v/>
      </c>
      <c r="E32" s="1060"/>
      <c r="F32" s="1061"/>
      <c r="G32" s="1062"/>
      <c r="H32" s="292"/>
      <c r="I32" s="745"/>
      <c r="J32" s="746" t="str">
        <f t="shared" si="2"/>
        <v/>
      </c>
      <c r="K32" s="368"/>
      <c r="L32" s="368"/>
      <c r="M32" s="368"/>
      <c r="N32" s="311">
        <f t="shared" si="25"/>
        <v>8.11</v>
      </c>
      <c r="O32" s="311">
        <f t="shared" si="26"/>
        <v>4.5</v>
      </c>
      <c r="P32" s="311">
        <f>IF(Stamoplysninger!$H$34="JA",August!DG32,CX32)</f>
        <v>1.9166666666666665</v>
      </c>
      <c r="Q32" s="311">
        <f t="shared" si="27"/>
        <v>1.6933333333333329</v>
      </c>
      <c r="R32" s="619"/>
      <c r="S32" s="315"/>
      <c r="T32" s="316"/>
      <c r="U32" s="316"/>
      <c r="V32" s="422"/>
      <c r="W32" s="400"/>
      <c r="X32" s="619"/>
      <c r="Y32">
        <f t="shared" si="28"/>
        <v>0</v>
      </c>
      <c r="Z32">
        <f t="shared" si="3"/>
        <v>0</v>
      </c>
      <c r="AA32" s="1">
        <f t="shared" si="4"/>
        <v>0</v>
      </c>
      <c r="AB32" s="1">
        <f t="shared" si="5"/>
        <v>0</v>
      </c>
      <c r="AC32" s="1">
        <f t="shared" si="6"/>
        <v>0</v>
      </c>
      <c r="AD32" s="1">
        <f t="shared" si="7"/>
        <v>0</v>
      </c>
      <c r="AE32" s="1">
        <f t="shared" si="8"/>
        <v>0</v>
      </c>
      <c r="AF32" s="1">
        <f>IF(C32="Orlov",Stamoplysninger!$E$20*7.4,0)</f>
        <v>0</v>
      </c>
      <c r="AG32" t="str">
        <f>IF(AND(C32="Skema 1",B32="ma"),Arbejdstidsoversigt!$E$77,"")</f>
        <v/>
      </c>
      <c r="AH32">
        <f>IF(AND(C32="Skema 1",B32="ti"),Arbejdstidsoversigt!$E$78,"")</f>
        <v>8.11</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9"/>
        <v>8.11</v>
      </c>
      <c r="BB32" s="224">
        <f t="shared" si="10"/>
        <v>194.64</v>
      </c>
      <c r="BC32" s="1">
        <f t="shared" si="29"/>
        <v>0</v>
      </c>
      <c r="BD32" s="1">
        <f t="shared" si="11"/>
        <v>0</v>
      </c>
      <c r="BE32" s="1">
        <f t="shared" si="12"/>
        <v>0</v>
      </c>
      <c r="BF32" s="1">
        <f t="shared" si="13"/>
        <v>0</v>
      </c>
      <c r="BG32" s="207" t="str">
        <f>IF(AND(C32="Skema 1",B32="ma"),Skemaoplysninger!$E$46,"")</f>
        <v/>
      </c>
      <c r="BH32" s="207">
        <f>IF(AND(C32="Skema 1",B32="ti"),Skemaoplysninger!$G$46,"")</f>
        <v>0.1875</v>
      </c>
      <c r="BI32" s="207" t="str">
        <f>IF(AND(C32="Skema 1",B32="on"),Skemaoplysninger!$I$46,"")</f>
        <v/>
      </c>
      <c r="BJ32" s="207" t="str">
        <f>IF(AND(C32="Skema 1",B32="to"),Skemaoplysninger!$K$46,"")</f>
        <v/>
      </c>
      <c r="BK32" s="207" t="str">
        <f>IF(AND(C32="Skema 1",B32="fr"),Skemaoplysninger!$M$46,"")</f>
        <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4.5</v>
      </c>
      <c r="CB32" s="1">
        <f t="shared" si="14"/>
        <v>0</v>
      </c>
      <c r="CC32" s="1">
        <f t="shared" si="15"/>
        <v>0</v>
      </c>
      <c r="CD32" s="207" t="str">
        <f>IF(AND(C32="Skema 1",B32="ma"),Skemaoplysninger!$E$47,"")</f>
        <v/>
      </c>
      <c r="CE32" s="207">
        <f>IF(AND(C32="Skema 1",B32="ti"),Skemaoplysninger!$G$47,"")</f>
        <v>7.9861111111111105E-2</v>
      </c>
      <c r="CF32" s="207" t="str">
        <f>IF(AND(C32="Skema 1",B32="on"),Skemaoplysninger!$I$47,"")</f>
        <v/>
      </c>
      <c r="CG32" s="207" t="str">
        <f>IF(AND(C32="Skema 1",B32="to"),Skemaoplysninger!$K$47,"")</f>
        <v/>
      </c>
      <c r="CH32" s="207" t="str">
        <f>IF(AND(C32="Skema 1",B32="fr"),Skemaoplysninger!$M$47,"")</f>
        <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1.9166666666666665</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6"/>
        <v/>
      </c>
      <c r="DL32" t="str">
        <f t="shared" si="16"/>
        <v/>
      </c>
      <c r="DM32" t="str">
        <f t="shared" si="35"/>
        <v/>
      </c>
      <c r="DN32" t="str">
        <f t="shared" si="36"/>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7"/>
        <v>0</v>
      </c>
      <c r="FZ32" s="634">
        <f t="shared" si="18"/>
        <v>0</v>
      </c>
      <c r="GA32">
        <f t="shared" si="19"/>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7"/>
        <v>0</v>
      </c>
      <c r="GK32">
        <f t="shared" si="20"/>
        <v>0</v>
      </c>
      <c r="GL32">
        <f t="shared" si="21"/>
        <v>0</v>
      </c>
      <c r="GM32">
        <f t="shared" si="22"/>
        <v>0</v>
      </c>
      <c r="GN32" s="713">
        <f t="shared" si="23"/>
        <v>0</v>
      </c>
      <c r="GO32">
        <f t="shared" si="38"/>
        <v>0</v>
      </c>
      <c r="GP32" s="647">
        <f t="shared" si="39"/>
        <v>0</v>
      </c>
    </row>
    <row r="33" spans="1:198">
      <c r="A33" s="239">
        <f t="shared" si="24"/>
        <v>19</v>
      </c>
      <c r="B33" s="125" t="str">
        <f t="shared" si="0"/>
        <v>on</v>
      </c>
      <c r="C33" s="126" t="s">
        <v>203</v>
      </c>
      <c r="D33" s="127" t="str">
        <f t="shared" si="1"/>
        <v/>
      </c>
      <c r="E33" s="1060"/>
      <c r="F33" s="1061"/>
      <c r="G33" s="1062"/>
      <c r="H33" s="292"/>
      <c r="I33" s="745"/>
      <c r="J33" s="746" t="str">
        <f t="shared" si="2"/>
        <v/>
      </c>
      <c r="K33" s="368"/>
      <c r="L33" s="368"/>
      <c r="M33" s="368"/>
      <c r="N33" s="311">
        <f t="shared" si="25"/>
        <v>8.11</v>
      </c>
      <c r="O33" s="311">
        <f t="shared" si="26"/>
        <v>2.75</v>
      </c>
      <c r="P33" s="311">
        <f>IF(Stamoplysninger!$H$34="JA",August!DG33,CX33)</f>
        <v>1.25</v>
      </c>
      <c r="Q33" s="311">
        <f t="shared" si="27"/>
        <v>4.1099999999999994</v>
      </c>
      <c r="R33" s="619"/>
      <c r="S33" s="315"/>
      <c r="T33" s="316"/>
      <c r="U33" s="316"/>
      <c r="V33" s="422"/>
      <c r="W33" s="400"/>
      <c r="X33" s="619"/>
      <c r="Y33">
        <f t="shared" si="28"/>
        <v>0</v>
      </c>
      <c r="Z33">
        <f t="shared" si="3"/>
        <v>0</v>
      </c>
      <c r="AA33" s="1">
        <f t="shared" si="4"/>
        <v>0</v>
      </c>
      <c r="AB33" s="1">
        <f t="shared" si="5"/>
        <v>0</v>
      </c>
      <c r="AC33" s="1">
        <f t="shared" si="6"/>
        <v>0</v>
      </c>
      <c r="AD33" s="1">
        <f t="shared" si="7"/>
        <v>0</v>
      </c>
      <c r="AE33" s="1">
        <f t="shared" si="8"/>
        <v>0</v>
      </c>
      <c r="AF33" s="1">
        <f>IF(C33="Orlov",Stamoplysninger!$E$20*7.4,0)</f>
        <v>0</v>
      </c>
      <c r="AG33" t="str">
        <f>IF(AND(C33="Skema 1",B33="ma"),Arbejdstidsoversigt!$E$77,"")</f>
        <v/>
      </c>
      <c r="AH33" t="str">
        <f>IF(AND(C33="Skema 1",B33="ti"),Arbejdstidsoversigt!$E$78,"")</f>
        <v/>
      </c>
      <c r="AI33">
        <f>IF(AND(C33="Skema 1",B33="on"),Arbejdstidsoversigt!$E$79,"")</f>
        <v>8.11</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9"/>
        <v>8.11</v>
      </c>
      <c r="BB33" s="224">
        <f t="shared" si="10"/>
        <v>194.64</v>
      </c>
      <c r="BC33" s="1">
        <f t="shared" si="29"/>
        <v>0</v>
      </c>
      <c r="BD33" s="1">
        <f t="shared" si="11"/>
        <v>0</v>
      </c>
      <c r="BE33" s="1">
        <f t="shared" si="12"/>
        <v>0</v>
      </c>
      <c r="BF33" s="1">
        <f t="shared" si="13"/>
        <v>0</v>
      </c>
      <c r="BG33" s="207" t="str">
        <f>IF(AND(C33="Skema 1",B33="ma"),Skemaoplysninger!$E$46,"")</f>
        <v/>
      </c>
      <c r="BH33" s="207" t="str">
        <f>IF(AND(C33="Skema 1",B33="ti"),Skemaoplysninger!$G$46,"")</f>
        <v/>
      </c>
      <c r="BI33" s="207">
        <f>IF(AND(C33="Skema 1",B33="on"),Skemaoplysninger!$I$46,"")</f>
        <v>0.11458333333333333</v>
      </c>
      <c r="BJ33" s="207" t="str">
        <f>IF(AND(C33="Skema 1",B33="to"),Skemaoplysninger!$K$46,"")</f>
        <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2.75</v>
      </c>
      <c r="CB33" s="1">
        <f t="shared" si="14"/>
        <v>0</v>
      </c>
      <c r="CC33" s="1">
        <f t="shared" si="15"/>
        <v>0</v>
      </c>
      <c r="CD33" s="207" t="str">
        <f>IF(AND(C33="Skema 1",B33="ma"),Skemaoplysninger!$E$47,"")</f>
        <v/>
      </c>
      <c r="CE33" s="207" t="str">
        <f>IF(AND(C33="Skema 1",B33="ti"),Skemaoplysninger!$G$47,"")</f>
        <v/>
      </c>
      <c r="CF33" s="207">
        <f>IF(AND(C33="Skema 1",B33="on"),Skemaoplysninger!$I$47,"")</f>
        <v>5.2083333333333329E-2</v>
      </c>
      <c r="CG33" s="207" t="str">
        <f>IF(AND(C33="Skema 1",B33="to"),Skemaoplysninger!$K$47,"")</f>
        <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1.25</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6"/>
        <v/>
      </c>
      <c r="DL33" t="str">
        <f t="shared" si="16"/>
        <v/>
      </c>
      <c r="DM33" t="str">
        <f t="shared" si="35"/>
        <v/>
      </c>
      <c r="DN33" t="str">
        <f t="shared" si="36"/>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7"/>
        <v>0</v>
      </c>
      <c r="FZ33" s="634">
        <f t="shared" si="18"/>
        <v>0</v>
      </c>
      <c r="GA33">
        <f t="shared" si="19"/>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7"/>
        <v>0</v>
      </c>
      <c r="GK33">
        <f t="shared" si="20"/>
        <v>0</v>
      </c>
      <c r="GL33">
        <f t="shared" si="21"/>
        <v>0</v>
      </c>
      <c r="GM33">
        <f t="shared" si="22"/>
        <v>0</v>
      </c>
      <c r="GN33" s="713">
        <f t="shared" si="23"/>
        <v>0</v>
      </c>
      <c r="GO33">
        <f t="shared" si="38"/>
        <v>0</v>
      </c>
      <c r="GP33" s="647">
        <f t="shared" si="39"/>
        <v>0</v>
      </c>
    </row>
    <row r="34" spans="1:198">
      <c r="A34" s="239">
        <f t="shared" si="24"/>
        <v>20</v>
      </c>
      <c r="B34" s="125" t="str">
        <f t="shared" si="0"/>
        <v>to</v>
      </c>
      <c r="C34" s="126" t="s">
        <v>203</v>
      </c>
      <c r="D34" s="127" t="str">
        <f t="shared" si="1"/>
        <v/>
      </c>
      <c r="E34" s="1060" t="s">
        <v>769</v>
      </c>
      <c r="F34" s="1061"/>
      <c r="G34" s="1062"/>
      <c r="H34" s="292"/>
      <c r="I34" s="745"/>
      <c r="J34" s="746" t="str">
        <f t="shared" si="2"/>
        <v/>
      </c>
      <c r="K34" s="368"/>
      <c r="L34" s="368"/>
      <c r="M34" s="368"/>
      <c r="N34" s="311">
        <f t="shared" si="25"/>
        <v>9</v>
      </c>
      <c r="O34" s="311">
        <f t="shared" si="26"/>
        <v>3.75</v>
      </c>
      <c r="P34" s="311">
        <f>IF(Stamoplysninger!$H$34="JA",August!DG34,CX34)</f>
        <v>1</v>
      </c>
      <c r="Q34" s="311">
        <f t="shared" si="27"/>
        <v>4.25</v>
      </c>
      <c r="R34" s="619"/>
      <c r="S34" s="315"/>
      <c r="T34" s="316"/>
      <c r="U34" s="316"/>
      <c r="V34" s="422"/>
      <c r="W34" s="400"/>
      <c r="X34" s="619"/>
      <c r="Y34">
        <f t="shared" si="28"/>
        <v>0</v>
      </c>
      <c r="Z34">
        <f t="shared" si="3"/>
        <v>0</v>
      </c>
      <c r="AA34" s="1">
        <f t="shared" si="4"/>
        <v>0</v>
      </c>
      <c r="AB34" s="1">
        <f t="shared" si="5"/>
        <v>0</v>
      </c>
      <c r="AC34" s="1">
        <f t="shared" si="6"/>
        <v>0</v>
      </c>
      <c r="AD34" s="1">
        <f t="shared" si="7"/>
        <v>0</v>
      </c>
      <c r="AE34" s="1">
        <f t="shared" si="8"/>
        <v>0</v>
      </c>
      <c r="AF34" s="1">
        <f>IF(C34="Orlov",Stamoplysninger!$E$20*7.4,0)</f>
        <v>0</v>
      </c>
      <c r="AG34" t="str">
        <f>IF(AND(C34="Skema 1",B34="ma"),Arbejdstidsoversigt!$E$77,"")</f>
        <v/>
      </c>
      <c r="AH34" t="str">
        <f>IF(AND(C34="Skema 1",B34="ti"),Arbejdstidsoversigt!$E$78,"")</f>
        <v/>
      </c>
      <c r="AI34" t="str">
        <f>IF(AND(C34="Skema 1",B34="on"),Arbejdstidsoversigt!$E$79,"")</f>
        <v/>
      </c>
      <c r="AJ34">
        <f>IF(AND(C34="Skema 1",B34="to"),Arbejdstidsoversigt!$E$80,"")</f>
        <v>9</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9"/>
        <v>9</v>
      </c>
      <c r="BB34" s="224">
        <f t="shared" si="10"/>
        <v>216</v>
      </c>
      <c r="BC34" s="1">
        <f t="shared" si="29"/>
        <v>0</v>
      </c>
      <c r="BD34" s="1">
        <f t="shared" si="11"/>
        <v>0</v>
      </c>
      <c r="BE34" s="1">
        <f t="shared" si="12"/>
        <v>0</v>
      </c>
      <c r="BF34" s="1">
        <f t="shared" si="13"/>
        <v>0</v>
      </c>
      <c r="BG34" s="207" t="str">
        <f>IF(AND(C34="Skema 1",B34="ma"),Skemaoplysninger!$E$46,"")</f>
        <v/>
      </c>
      <c r="BH34" s="207" t="str">
        <f>IF(AND(C34="Skema 1",B34="ti"),Skemaoplysninger!$G$46,"")</f>
        <v/>
      </c>
      <c r="BI34" s="207" t="str">
        <f>IF(AND(C34="Skema 1",B34="on"),Skemaoplysninger!$I$46,"")</f>
        <v/>
      </c>
      <c r="BJ34" s="207">
        <f>IF(AND(C34="Skema 1",B34="to"),Skemaoplysninger!$K$46,"")</f>
        <v>0.15625</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3.75</v>
      </c>
      <c r="CB34" s="1">
        <f t="shared" si="14"/>
        <v>0</v>
      </c>
      <c r="CC34" s="1">
        <f t="shared" si="15"/>
        <v>0</v>
      </c>
      <c r="CD34" s="207" t="str">
        <f>IF(AND(C34="Skema 1",B34="ma"),Skemaoplysninger!$E$47,"")</f>
        <v/>
      </c>
      <c r="CE34" s="207" t="str">
        <f>IF(AND(C34="Skema 1",B34="ti"),Skemaoplysninger!$G$47,"")</f>
        <v/>
      </c>
      <c r="CF34" s="207" t="str">
        <f>IF(AND(C34="Skema 1",B34="on"),Skemaoplysninger!$I$47,"")</f>
        <v/>
      </c>
      <c r="CG34" s="207">
        <f>IF(AND(C34="Skema 1",B34="to"),Skemaoplysninger!$K$47,"")</f>
        <v>4.1666666666666664E-2</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1</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t="str">
        <f t="shared" si="33"/>
        <v>Lærermøde</v>
      </c>
      <c r="DJ34" t="str">
        <f t="shared" si="34"/>
        <v/>
      </c>
      <c r="DK34" t="str">
        <f t="shared" si="16"/>
        <v/>
      </c>
      <c r="DL34" t="str">
        <f t="shared" si="16"/>
        <v>Lærermøde</v>
      </c>
      <c r="DM34" t="str">
        <f t="shared" si="35"/>
        <v/>
      </c>
      <c r="DN34" t="str">
        <f t="shared" si="36"/>
        <v>Lærermøde</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7"/>
        <v>0</v>
      </c>
      <c r="FZ34" s="634">
        <f t="shared" si="18"/>
        <v>0</v>
      </c>
      <c r="GA34">
        <f t="shared" si="19"/>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7"/>
        <v>0</v>
      </c>
      <c r="GK34">
        <f t="shared" si="20"/>
        <v>0</v>
      </c>
      <c r="GL34">
        <f t="shared" si="21"/>
        <v>0</v>
      </c>
      <c r="GM34">
        <f t="shared" si="22"/>
        <v>0</v>
      </c>
      <c r="GN34" s="713">
        <f t="shared" si="23"/>
        <v>0</v>
      </c>
      <c r="GO34">
        <f t="shared" si="38"/>
        <v>0</v>
      </c>
      <c r="GP34" s="647">
        <f t="shared" si="39"/>
        <v>0</v>
      </c>
    </row>
    <row r="35" spans="1:198">
      <c r="A35" s="239">
        <f t="shared" si="24"/>
        <v>21</v>
      </c>
      <c r="B35" s="125" t="str">
        <f t="shared" si="0"/>
        <v>fr</v>
      </c>
      <c r="C35" s="126" t="s">
        <v>203</v>
      </c>
      <c r="D35" s="127" t="str">
        <f t="shared" si="1"/>
        <v/>
      </c>
      <c r="E35" s="1060"/>
      <c r="F35" s="1061"/>
      <c r="G35" s="1062"/>
      <c r="H35" s="292"/>
      <c r="I35" s="745"/>
      <c r="J35" s="746" t="str">
        <f t="shared" si="2"/>
        <v/>
      </c>
      <c r="K35" s="368"/>
      <c r="L35" s="368"/>
      <c r="M35" s="368"/>
      <c r="N35" s="311">
        <f t="shared" si="25"/>
        <v>7.1</v>
      </c>
      <c r="O35" s="311">
        <f t="shared" si="26"/>
        <v>3.75</v>
      </c>
      <c r="P35" s="311">
        <f>IF(Stamoplysninger!$H$34="JA",August!DG35,CX35)</f>
        <v>1</v>
      </c>
      <c r="Q35" s="311">
        <f t="shared" si="27"/>
        <v>2.3499999999999996</v>
      </c>
      <c r="R35" s="619"/>
      <c r="S35" s="315"/>
      <c r="T35" s="316"/>
      <c r="U35" s="316"/>
      <c r="V35" s="422"/>
      <c r="W35" s="400"/>
      <c r="X35" s="619"/>
      <c r="Y35">
        <f t="shared" si="28"/>
        <v>0</v>
      </c>
      <c r="Z35">
        <f t="shared" si="3"/>
        <v>0</v>
      </c>
      <c r="AA35" s="1">
        <f t="shared" si="4"/>
        <v>0</v>
      </c>
      <c r="AB35" s="1">
        <f t="shared" si="5"/>
        <v>0</v>
      </c>
      <c r="AC35" s="1">
        <f t="shared" si="6"/>
        <v>0</v>
      </c>
      <c r="AD35" s="1">
        <f t="shared" si="7"/>
        <v>0</v>
      </c>
      <c r="AE35" s="1">
        <f t="shared" si="8"/>
        <v>0</v>
      </c>
      <c r="AF35" s="1">
        <f>IF(C35="Orlov",Stamoplysninger!$E$20*7.4,0)</f>
        <v>0</v>
      </c>
      <c r="AG35" t="str">
        <f>IF(AND(C35="Skema 1",B35="ma"),Arbejdstidsoversigt!$E$77,"")</f>
        <v/>
      </c>
      <c r="AH35" t="str">
        <f>IF(AND(C35="Skema 1",B35="ti"),Arbejdstidsoversigt!$E$78,"")</f>
        <v/>
      </c>
      <c r="AI35" t="str">
        <f>IF(AND(C35="Skema 1",B35="on"),Arbejdstidsoversigt!$E$79,"")</f>
        <v/>
      </c>
      <c r="AJ35" t="str">
        <f>IF(AND(C35="Skema 1",B35="to"),Arbejdstidsoversigt!$E$80,"")</f>
        <v/>
      </c>
      <c r="AK35">
        <f>IF(AND(C35="Skema 1",B35="fr"),Arbejdstidsoversigt!$E$81,"")</f>
        <v>7.1</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9"/>
        <v>7.1</v>
      </c>
      <c r="BB35" s="224">
        <f t="shared" si="10"/>
        <v>170.39999999999998</v>
      </c>
      <c r="BC35" s="1">
        <f t="shared" si="29"/>
        <v>0</v>
      </c>
      <c r="BD35" s="1">
        <f t="shared" si="11"/>
        <v>0</v>
      </c>
      <c r="BE35" s="1">
        <f t="shared" si="12"/>
        <v>0</v>
      </c>
      <c r="BF35" s="1">
        <f t="shared" si="13"/>
        <v>0</v>
      </c>
      <c r="BG35" s="207" t="str">
        <f>IF(AND(C35="Skema 1",B35="ma"),Skemaoplysninger!$E$46,"")</f>
        <v/>
      </c>
      <c r="BH35" s="207" t="str">
        <f>IF(AND(C35="Skema 1",B35="ti"),Skemaoplysninger!$G$46,"")</f>
        <v/>
      </c>
      <c r="BI35" s="207" t="str">
        <f>IF(AND(C35="Skema 1",B35="on"),Skemaoplysninger!$I$46,"")</f>
        <v/>
      </c>
      <c r="BJ35" s="207" t="str">
        <f>IF(AND(C35="Skema 1",B35="to"),Skemaoplysninger!$K$46,"")</f>
        <v/>
      </c>
      <c r="BK35" s="207">
        <f>IF(AND(C35="Skema 1",B35="fr"),Skemaoplysninger!$M$46,"")</f>
        <v>0.15625</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3.75</v>
      </c>
      <c r="CB35" s="1">
        <f t="shared" si="14"/>
        <v>0</v>
      </c>
      <c r="CC35" s="1">
        <f t="shared" si="15"/>
        <v>0</v>
      </c>
      <c r="CD35" s="207" t="str">
        <f>IF(AND(C35="Skema 1",B35="ma"),Skemaoplysninger!$E$47,"")</f>
        <v/>
      </c>
      <c r="CE35" s="207" t="str">
        <f>IF(AND(C35="Skema 1",B35="ti"),Skemaoplysninger!$G$47,"")</f>
        <v/>
      </c>
      <c r="CF35" s="207" t="str">
        <f>IF(AND(C35="Skema 1",B35="on"),Skemaoplysninger!$I$47,"")</f>
        <v/>
      </c>
      <c r="CG35" s="207" t="str">
        <f>IF(AND(C35="Skema 1",B35="to"),Skemaoplysninger!$K$47,"")</f>
        <v/>
      </c>
      <c r="CH35" s="207">
        <f>IF(AND(C35="Skema 1",B35="fr"),Skemaoplysninger!$M$47,"")</f>
        <v>4.1666666666666664E-2</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1</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6"/>
        <v/>
      </c>
      <c r="DL35" t="str">
        <f t="shared" si="16"/>
        <v/>
      </c>
      <c r="DM35" t="str">
        <f t="shared" si="35"/>
        <v/>
      </c>
      <c r="DN35" t="str">
        <f t="shared" si="36"/>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7"/>
        <v>0</v>
      </c>
      <c r="FZ35" s="634">
        <f t="shared" si="18"/>
        <v>0</v>
      </c>
      <c r="GA35">
        <f t="shared" si="19"/>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7"/>
        <v>0</v>
      </c>
      <c r="GK35">
        <f t="shared" si="20"/>
        <v>0</v>
      </c>
      <c r="GL35">
        <f t="shared" si="21"/>
        <v>0</v>
      </c>
      <c r="GM35">
        <f t="shared" si="22"/>
        <v>0</v>
      </c>
      <c r="GN35" s="713">
        <f t="shared" si="23"/>
        <v>0</v>
      </c>
      <c r="GO35">
        <f t="shared" si="38"/>
        <v>0</v>
      </c>
      <c r="GP35" s="647">
        <f t="shared" si="39"/>
        <v>0</v>
      </c>
    </row>
    <row r="36" spans="1:198">
      <c r="A36" s="239">
        <f t="shared" si="24"/>
        <v>22</v>
      </c>
      <c r="B36" s="125" t="str">
        <f t="shared" si="0"/>
        <v>lø</v>
      </c>
      <c r="C36" s="126" t="s">
        <v>118</v>
      </c>
      <c r="D36" s="127" t="str">
        <f t="shared" si="1"/>
        <v/>
      </c>
      <c r="E36" s="1060"/>
      <c r="F36" s="1061"/>
      <c r="G36" s="1062"/>
      <c r="H36" s="292"/>
      <c r="I36" s="746" t="str">
        <f>IF(GO36=1,"X","")</f>
        <v/>
      </c>
      <c r="J36" s="746" t="str">
        <f t="shared" si="2"/>
        <v/>
      </c>
      <c r="K36" s="368"/>
      <c r="L36" s="368"/>
      <c r="M36" s="368"/>
      <c r="N36" s="311">
        <f t="shared" si="25"/>
        <v>0</v>
      </c>
      <c r="O36" s="311">
        <f t="shared" si="26"/>
        <v>0</v>
      </c>
      <c r="P36" s="311">
        <f>IF(Stamoplysninger!$H$34="JA",August!DG36,CX36)</f>
        <v>0</v>
      </c>
      <c r="Q36" s="311">
        <f t="shared" si="27"/>
        <v>0</v>
      </c>
      <c r="R36" s="619"/>
      <c r="S36" s="315"/>
      <c r="T36" s="316"/>
      <c r="U36" s="316"/>
      <c r="V36" s="422"/>
      <c r="W36" s="400"/>
      <c r="X36" s="619"/>
      <c r="Y36">
        <f t="shared" si="28"/>
        <v>0</v>
      </c>
      <c r="Z36">
        <f t="shared" si="3"/>
        <v>0</v>
      </c>
      <c r="AA36" s="1">
        <f t="shared" si="4"/>
        <v>0</v>
      </c>
      <c r="AB36" s="1">
        <f t="shared" si="5"/>
        <v>0</v>
      </c>
      <c r="AC36" s="1">
        <f t="shared" si="6"/>
        <v>0</v>
      </c>
      <c r="AD36" s="1">
        <f t="shared" si="7"/>
        <v>0</v>
      </c>
      <c r="AE36" s="1">
        <f t="shared" si="8"/>
        <v>0</v>
      </c>
      <c r="AF36" s="1">
        <f>IF(C36="Orlov",Stamoplysninger!$E$20*7.4,0)</f>
        <v>0</v>
      </c>
      <c r="AG36" t="str">
        <f>IF(AND(C36="Skema 1",B36="ma"),Arbejdstidsoversigt!$E$77,"")</f>
        <v/>
      </c>
      <c r="AH36" t="str">
        <f>IF(AND(C36="Skema 1",B36="ti"),Arbejdstidsoversigt!$E$78,"")</f>
        <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9"/>
        <v>0</v>
      </c>
      <c r="BB36" s="224">
        <f t="shared" si="10"/>
        <v>0</v>
      </c>
      <c r="BC36" s="1">
        <f t="shared" si="29"/>
        <v>0</v>
      </c>
      <c r="BD36" s="1">
        <f t="shared" si="11"/>
        <v>0</v>
      </c>
      <c r="BE36" s="1">
        <f t="shared" si="12"/>
        <v>0</v>
      </c>
      <c r="BF36" s="1">
        <f t="shared" si="13"/>
        <v>0</v>
      </c>
      <c r="BG36" s="207" t="str">
        <f>IF(AND(C36="Skema 1",B36="ma"),Skemaoplysninger!$E$46,"")</f>
        <v/>
      </c>
      <c r="BH36" s="207" t="str">
        <f>IF(AND(C36="Skema 1",B36="ti"),Skemaoplysninger!$G$46,"")</f>
        <v/>
      </c>
      <c r="BI36" s="207" t="str">
        <f>IF(AND(C36="Skema 1",B36="on"),Skemaoplysninger!$I$46,"")</f>
        <v/>
      </c>
      <c r="BJ36" s="207" t="str">
        <f>IF(AND(C36="Skema 1",B36="to"),Skemaoplysninger!$K$46,"")</f>
        <v/>
      </c>
      <c r="BK36" s="207" t="str">
        <f>IF(AND(C36="Skema 1",B36="fr"),Skemaoplysninger!$M$46,"")</f>
        <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0</v>
      </c>
      <c r="CB36" s="1">
        <f t="shared" si="14"/>
        <v>0</v>
      </c>
      <c r="CC36" s="1">
        <f t="shared" si="15"/>
        <v>0</v>
      </c>
      <c r="CD36" s="207" t="str">
        <f>IF(AND(C36="Skema 1",B36="ma"),Skemaoplysninger!$E$47,"")</f>
        <v/>
      </c>
      <c r="CE36" s="207" t="str">
        <f>IF(AND(C36="Skema 1",B36="ti"),Skemaoplysninger!$G$47,"")</f>
        <v/>
      </c>
      <c r="CF36" s="207" t="str">
        <f>IF(AND(C36="Skema 1",B36="on"),Skemaoplysninger!$I$47,"")</f>
        <v/>
      </c>
      <c r="CG36" s="207" t="str">
        <f>IF(AND(C36="Skema 1",B36="to"),Skemaoplysninger!$K$47,"")</f>
        <v/>
      </c>
      <c r="CH36" s="207" t="str">
        <f>IF(AND(C36="Skema 1",B36="fr"),Skemaoplysninger!$M$47,"")</f>
        <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6"/>
        <v/>
      </c>
      <c r="DL36" t="str">
        <f t="shared" si="16"/>
        <v/>
      </c>
      <c r="DM36" t="str">
        <f t="shared" si="35"/>
        <v/>
      </c>
      <c r="DN36" t="str">
        <f t="shared" si="36"/>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7"/>
        <v>0</v>
      </c>
      <c r="FZ36" s="634">
        <f t="shared" si="18"/>
        <v>0</v>
      </c>
      <c r="GA36">
        <f t="shared" si="19"/>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7"/>
        <v>0</v>
      </c>
      <c r="GK36">
        <f t="shared" si="20"/>
        <v>0</v>
      </c>
      <c r="GL36">
        <f t="shared" si="21"/>
        <v>0</v>
      </c>
      <c r="GM36">
        <f t="shared" si="22"/>
        <v>0</v>
      </c>
      <c r="GN36" s="713">
        <f t="shared" si="23"/>
        <v>0</v>
      </c>
      <c r="GO36">
        <f t="shared" si="38"/>
        <v>0</v>
      </c>
      <c r="GP36" s="647">
        <f t="shared" si="39"/>
        <v>0</v>
      </c>
    </row>
    <row r="37" spans="1:198">
      <c r="A37" s="239">
        <f t="shared" si="24"/>
        <v>23</v>
      </c>
      <c r="B37" s="125" t="str">
        <f t="shared" si="0"/>
        <v>sø</v>
      </c>
      <c r="C37" s="126" t="s">
        <v>118</v>
      </c>
      <c r="D37" s="127" t="str">
        <f t="shared" si="1"/>
        <v/>
      </c>
      <c r="E37" s="1060"/>
      <c r="F37" s="1061"/>
      <c r="G37" s="1062"/>
      <c r="H37" s="292"/>
      <c r="I37" s="746" t="str">
        <f>IF(GO37=1,"X","")</f>
        <v/>
      </c>
      <c r="J37" s="746" t="str">
        <f t="shared" si="2"/>
        <v/>
      </c>
      <c r="K37" s="368"/>
      <c r="L37" s="368"/>
      <c r="M37" s="368"/>
      <c r="N37" s="311">
        <f t="shared" si="25"/>
        <v>0</v>
      </c>
      <c r="O37" s="311">
        <f t="shared" si="26"/>
        <v>0</v>
      </c>
      <c r="P37" s="311">
        <f>IF(Stamoplysninger!$H$34="JA",August!DG37,CX37)</f>
        <v>0</v>
      </c>
      <c r="Q37" s="311">
        <f t="shared" si="27"/>
        <v>0</v>
      </c>
      <c r="R37" s="619"/>
      <c r="S37" s="315"/>
      <c r="T37" s="316"/>
      <c r="U37" s="316"/>
      <c r="V37" s="422"/>
      <c r="W37" s="400"/>
      <c r="X37" s="619"/>
      <c r="Y37">
        <f t="shared" si="28"/>
        <v>0</v>
      </c>
      <c r="Z37">
        <f t="shared" si="3"/>
        <v>0</v>
      </c>
      <c r="AA37" s="1">
        <f t="shared" si="4"/>
        <v>0</v>
      </c>
      <c r="AB37" s="1">
        <f t="shared" si="5"/>
        <v>0</v>
      </c>
      <c r="AC37" s="1">
        <f t="shared" si="6"/>
        <v>0</v>
      </c>
      <c r="AD37" s="1">
        <f t="shared" si="7"/>
        <v>0</v>
      </c>
      <c r="AE37" s="1">
        <f t="shared" si="8"/>
        <v>0</v>
      </c>
      <c r="AF37" s="1">
        <f>IF(C37="Orlov",Stamoplysninger!$E$20*7.4,0)</f>
        <v>0</v>
      </c>
      <c r="AG37" t="str">
        <f>IF(AND(C37="Skema 1",B37="ma"),Arbejdstidsoversigt!$E$77,"")</f>
        <v/>
      </c>
      <c r="AH37" t="str">
        <f>IF(AND(C37="Skema 1",B37="ti"),Arbejdstidsoversigt!$E$78,"")</f>
        <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9"/>
        <v>0</v>
      </c>
      <c r="BB37" s="224">
        <f t="shared" si="10"/>
        <v>0</v>
      </c>
      <c r="BC37" s="1">
        <f t="shared" si="29"/>
        <v>0</v>
      </c>
      <c r="BD37" s="1">
        <f t="shared" si="11"/>
        <v>0</v>
      </c>
      <c r="BE37" s="1">
        <f t="shared" si="12"/>
        <v>0</v>
      </c>
      <c r="BF37" s="1">
        <f t="shared" si="13"/>
        <v>0</v>
      </c>
      <c r="BG37" s="207" t="str">
        <f>IF(AND(C37="Skema 1",B37="ma"),Skemaoplysninger!$E$46,"")</f>
        <v/>
      </c>
      <c r="BH37" s="207" t="str">
        <f>IF(AND(C37="Skema 1",B37="ti"),Skemaoplysninger!$G$46,"")</f>
        <v/>
      </c>
      <c r="BI37" s="207" t="str">
        <f>IF(AND(C37="Skema 1",B37="on"),Skemaoplysninger!$I$46,"")</f>
        <v/>
      </c>
      <c r="BJ37" s="207" t="str">
        <f>IF(AND(C37="Skema 1",B37="to"),Skemaoplysninger!$K$46,"")</f>
        <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0</v>
      </c>
      <c r="CB37" s="1">
        <f t="shared" si="14"/>
        <v>0</v>
      </c>
      <c r="CC37" s="1">
        <f t="shared" si="15"/>
        <v>0</v>
      </c>
      <c r="CD37" s="207" t="str">
        <f>IF(AND(C37="Skema 1",B37="ma"),Skemaoplysninger!$E$47,"")</f>
        <v/>
      </c>
      <c r="CE37" s="207" t="str">
        <f>IF(AND(C37="Skema 1",B37="ti"),Skemaoplysninger!$G$47,"")</f>
        <v/>
      </c>
      <c r="CF37" s="207" t="str">
        <f>IF(AND(C37="Skema 1",B37="on"),Skemaoplysninger!$I$47,"")</f>
        <v/>
      </c>
      <c r="CG37" s="207" t="str">
        <f>IF(AND(C37="Skema 1",B37="to"),Skemaoplysninger!$K$47,"")</f>
        <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6"/>
        <v/>
      </c>
      <c r="DL37" t="str">
        <f t="shared" si="16"/>
        <v/>
      </c>
      <c r="DM37" t="str">
        <f t="shared" si="35"/>
        <v/>
      </c>
      <c r="DN37" t="str">
        <f t="shared" si="36"/>
        <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7"/>
        <v>0</v>
      </c>
      <c r="FZ37" s="634">
        <f t="shared" si="18"/>
        <v>0</v>
      </c>
      <c r="GA37">
        <f t="shared" si="19"/>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7"/>
        <v>0</v>
      </c>
      <c r="GK37">
        <f t="shared" si="20"/>
        <v>0</v>
      </c>
      <c r="GL37">
        <f t="shared" si="21"/>
        <v>0</v>
      </c>
      <c r="GM37">
        <f t="shared" si="22"/>
        <v>0</v>
      </c>
      <c r="GN37" s="713">
        <f t="shared" si="23"/>
        <v>0</v>
      </c>
      <c r="GO37">
        <f t="shared" si="38"/>
        <v>0</v>
      </c>
      <c r="GP37" s="647">
        <f t="shared" si="39"/>
        <v>0</v>
      </c>
    </row>
    <row r="38" spans="1:198">
      <c r="A38" s="239">
        <f t="shared" si="24"/>
        <v>24</v>
      </c>
      <c r="B38" s="125" t="str">
        <f t="shared" si="0"/>
        <v>ma</v>
      </c>
      <c r="C38" s="126" t="s">
        <v>203</v>
      </c>
      <c r="D38" s="127">
        <f t="shared" si="1"/>
        <v>34.571428571428569</v>
      </c>
      <c r="E38" s="1123"/>
      <c r="F38" s="1124"/>
      <c r="G38" s="1125"/>
      <c r="H38" s="292"/>
      <c r="I38" s="745"/>
      <c r="J38" s="746" t="str">
        <f t="shared" si="2"/>
        <v/>
      </c>
      <c r="K38" s="368"/>
      <c r="L38" s="368"/>
      <c r="M38" s="368"/>
      <c r="N38" s="311">
        <f t="shared" si="25"/>
        <v>8.11</v>
      </c>
      <c r="O38" s="311">
        <f t="shared" si="26"/>
        <v>4.5</v>
      </c>
      <c r="P38" s="311">
        <f>IF(Stamoplysninger!$H$34="JA",August!DG38,CX38)</f>
        <v>1.9166666666666665</v>
      </c>
      <c r="Q38" s="311">
        <f t="shared" si="27"/>
        <v>1.6933333333333329</v>
      </c>
      <c r="R38" s="619"/>
      <c r="S38" s="315"/>
      <c r="T38" s="316"/>
      <c r="U38" s="316"/>
      <c r="V38" s="422"/>
      <c r="W38" s="400"/>
      <c r="X38" s="619"/>
      <c r="Y38">
        <f t="shared" si="28"/>
        <v>0</v>
      </c>
      <c r="Z38">
        <f t="shared" si="3"/>
        <v>0</v>
      </c>
      <c r="AA38" s="1">
        <f t="shared" si="4"/>
        <v>0</v>
      </c>
      <c r="AB38" s="1">
        <f t="shared" si="5"/>
        <v>0</v>
      </c>
      <c r="AC38" s="1">
        <f t="shared" si="6"/>
        <v>0</v>
      </c>
      <c r="AD38" s="1">
        <f t="shared" si="7"/>
        <v>0</v>
      </c>
      <c r="AE38" s="1">
        <f t="shared" si="8"/>
        <v>0</v>
      </c>
      <c r="AF38" s="1">
        <f>IF(C38="Orlov",Stamoplysninger!$E$20*7.4,0)</f>
        <v>0</v>
      </c>
      <c r="AG38">
        <f>IF(AND(C38="Skema 1",B38="ma"),Arbejdstidsoversigt!$E$77,"")</f>
        <v>8.11</v>
      </c>
      <c r="AH38" t="str">
        <f>IF(AND(C38="Skema 1",B38="ti"),Arbejdstidsoversigt!$E$78,"")</f>
        <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9"/>
        <v>8.11</v>
      </c>
      <c r="BB38" s="224">
        <f t="shared" si="10"/>
        <v>194.64</v>
      </c>
      <c r="BC38" s="1">
        <f t="shared" si="29"/>
        <v>0</v>
      </c>
      <c r="BD38" s="1">
        <f t="shared" si="11"/>
        <v>0</v>
      </c>
      <c r="BE38" s="1">
        <f t="shared" si="12"/>
        <v>0</v>
      </c>
      <c r="BF38" s="1">
        <f t="shared" si="13"/>
        <v>0</v>
      </c>
      <c r="BG38" s="207">
        <f>IF(AND(C38="Skema 1",B38="ma"),Skemaoplysninger!$E$46,"")</f>
        <v>0.1875</v>
      </c>
      <c r="BH38" s="207" t="str">
        <f>IF(AND(C38="Skema 1",B38="ti"),Skemaoplysninger!$G$46,"")</f>
        <v/>
      </c>
      <c r="BI38" s="207" t="str">
        <f>IF(AND(C38="Skema 1",B38="on"),Skemaoplysninger!$I$46,"")</f>
        <v/>
      </c>
      <c r="BJ38" s="207" t="str">
        <f>IF(AND(C38="Skema 1",B38="to"),Skemaoplysninger!$K$46,"")</f>
        <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4.5</v>
      </c>
      <c r="CB38" s="1">
        <f t="shared" si="14"/>
        <v>0</v>
      </c>
      <c r="CC38" s="1">
        <f t="shared" si="15"/>
        <v>0</v>
      </c>
      <c r="CD38" s="207">
        <f>IF(AND(C38="Skema 1",B38="ma"),Skemaoplysninger!$E$47,"")</f>
        <v>7.9861111111111105E-2</v>
      </c>
      <c r="CE38" s="207" t="str">
        <f>IF(AND(C38="Skema 1",B38="ti"),Skemaoplysninger!$G$47,"")</f>
        <v/>
      </c>
      <c r="CF38" s="207" t="str">
        <f>IF(AND(C38="Skema 1",B38="on"),Skemaoplysninger!$I$47,"")</f>
        <v/>
      </c>
      <c r="CG38" s="207" t="str">
        <f>IF(AND(C38="Skema 1",B38="to"),Skemaoplysninger!$K$47,"")</f>
        <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1.9166666666666665</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f t="shared" si="33"/>
        <v>0</v>
      </c>
      <c r="DJ38">
        <f t="shared" si="34"/>
        <v>0</v>
      </c>
      <c r="DK38" t="str">
        <f t="shared" si="16"/>
        <v/>
      </c>
      <c r="DL38" t="str">
        <f t="shared" si="16"/>
        <v/>
      </c>
      <c r="DM38" t="str">
        <f t="shared" si="35"/>
        <v/>
      </c>
      <c r="DN38" t="str">
        <f t="shared" si="36"/>
        <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7"/>
        <v>0</v>
      </c>
      <c r="FZ38" s="634">
        <f t="shared" si="18"/>
        <v>0</v>
      </c>
      <c r="GA38">
        <f t="shared" si="19"/>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7"/>
        <v>0</v>
      </c>
      <c r="GK38">
        <f t="shared" si="20"/>
        <v>0</v>
      </c>
      <c r="GL38">
        <f t="shared" si="21"/>
        <v>0</v>
      </c>
      <c r="GM38">
        <f t="shared" si="22"/>
        <v>0</v>
      </c>
      <c r="GN38" s="713">
        <f t="shared" si="23"/>
        <v>0</v>
      </c>
      <c r="GO38">
        <f t="shared" si="38"/>
        <v>0</v>
      </c>
      <c r="GP38" s="647">
        <f t="shared" si="39"/>
        <v>0</v>
      </c>
    </row>
    <row r="39" spans="1:198">
      <c r="A39" s="239">
        <f t="shared" si="24"/>
        <v>25</v>
      </c>
      <c r="B39" s="125" t="str">
        <f t="shared" si="0"/>
        <v>ti</v>
      </c>
      <c r="C39" s="126" t="s">
        <v>203</v>
      </c>
      <c r="D39" s="127" t="str">
        <f t="shared" si="1"/>
        <v/>
      </c>
      <c r="E39" s="1060"/>
      <c r="F39" s="1061"/>
      <c r="G39" s="1062"/>
      <c r="H39" s="292"/>
      <c r="I39" s="745"/>
      <c r="J39" s="746" t="str">
        <f t="shared" si="2"/>
        <v/>
      </c>
      <c r="K39" s="368"/>
      <c r="L39" s="368"/>
      <c r="M39" s="368"/>
      <c r="N39" s="311">
        <f t="shared" si="25"/>
        <v>8.11</v>
      </c>
      <c r="O39" s="311">
        <f t="shared" si="26"/>
        <v>4.5</v>
      </c>
      <c r="P39" s="311">
        <f>IF(Stamoplysninger!$H$34="JA",August!DG39,CX39)</f>
        <v>1.9166666666666665</v>
      </c>
      <c r="Q39" s="311">
        <f t="shared" si="27"/>
        <v>1.6933333333333329</v>
      </c>
      <c r="R39" s="619"/>
      <c r="S39" s="315"/>
      <c r="T39" s="316"/>
      <c r="U39" s="316"/>
      <c r="V39" s="422"/>
      <c r="W39" s="400"/>
      <c r="X39" s="619"/>
      <c r="Y39">
        <f t="shared" si="28"/>
        <v>0</v>
      </c>
      <c r="Z39">
        <f t="shared" si="3"/>
        <v>0</v>
      </c>
      <c r="AA39" s="1">
        <f t="shared" si="4"/>
        <v>0</v>
      </c>
      <c r="AB39" s="1">
        <f t="shared" si="5"/>
        <v>0</v>
      </c>
      <c r="AC39" s="1">
        <f t="shared" si="6"/>
        <v>0</v>
      </c>
      <c r="AD39" s="1">
        <f t="shared" si="7"/>
        <v>0</v>
      </c>
      <c r="AE39" s="1">
        <f t="shared" si="8"/>
        <v>0</v>
      </c>
      <c r="AF39" s="1">
        <f>IF(C39="Orlov",Stamoplysninger!$E$20*7.4,0)</f>
        <v>0</v>
      </c>
      <c r="AG39" t="str">
        <f>IF(AND(C39="Skema 1",B39="ma"),Arbejdstidsoversigt!$E$77,"")</f>
        <v/>
      </c>
      <c r="AH39">
        <f>IF(AND(C39="Skema 1",B39="ti"),Arbejdstidsoversigt!$E$78,"")</f>
        <v>8.11</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9"/>
        <v>8.11</v>
      </c>
      <c r="BB39" s="224">
        <f t="shared" si="10"/>
        <v>194.64</v>
      </c>
      <c r="BC39" s="1">
        <f t="shared" si="29"/>
        <v>0</v>
      </c>
      <c r="BD39" s="1">
        <f t="shared" si="11"/>
        <v>0</v>
      </c>
      <c r="BE39" s="1">
        <f t="shared" si="12"/>
        <v>0</v>
      </c>
      <c r="BF39" s="1">
        <f t="shared" si="13"/>
        <v>0</v>
      </c>
      <c r="BG39" s="207" t="str">
        <f>IF(AND(C39="Skema 1",B39="ma"),Skemaoplysninger!$E$46,"")</f>
        <v/>
      </c>
      <c r="BH39" s="207">
        <f>IF(AND(C39="Skema 1",B39="ti"),Skemaoplysninger!$G$46,"")</f>
        <v>0.1875</v>
      </c>
      <c r="BI39" s="207" t="str">
        <f>IF(AND(C39="Skema 1",B39="on"),Skemaoplysninger!$I$46,"")</f>
        <v/>
      </c>
      <c r="BJ39" s="207" t="str">
        <f>IF(AND(C39="Skema 1",B39="to"),Skemaoplysninger!$K$46,"")</f>
        <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4.5</v>
      </c>
      <c r="CB39" s="1">
        <f t="shared" si="14"/>
        <v>0</v>
      </c>
      <c r="CC39" s="1">
        <f t="shared" si="15"/>
        <v>0</v>
      </c>
      <c r="CD39" s="207" t="str">
        <f>IF(AND(C39="Skema 1",B39="ma"),Skemaoplysninger!$E$47,"")</f>
        <v/>
      </c>
      <c r="CE39" s="207">
        <f>IF(AND(C39="Skema 1",B39="ti"),Skemaoplysninger!$G$47,"")</f>
        <v>7.9861111111111105E-2</v>
      </c>
      <c r="CF39" s="207" t="str">
        <f>IF(AND(C39="Skema 1",B39="on"),Skemaoplysninger!$I$47,"")</f>
        <v/>
      </c>
      <c r="CG39" s="207" t="str">
        <f>IF(AND(C39="Skema 1",B39="to"),Skemaoplysninger!$K$47,"")</f>
        <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1.9166666666666665</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6"/>
        <v/>
      </c>
      <c r="DL39" t="str">
        <f t="shared" si="16"/>
        <v/>
      </c>
      <c r="DM39" t="str">
        <f t="shared" si="35"/>
        <v/>
      </c>
      <c r="DN39" t="str">
        <f t="shared" si="36"/>
        <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7"/>
        <v>0</v>
      </c>
      <c r="FZ39" s="634">
        <f t="shared" si="18"/>
        <v>0</v>
      </c>
      <c r="GA39">
        <f t="shared" si="19"/>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7"/>
        <v>0</v>
      </c>
      <c r="GK39">
        <f t="shared" si="20"/>
        <v>0</v>
      </c>
      <c r="GL39">
        <f t="shared" si="21"/>
        <v>0</v>
      </c>
      <c r="GM39">
        <f t="shared" si="22"/>
        <v>0</v>
      </c>
      <c r="GN39" s="713">
        <f t="shared" si="23"/>
        <v>0</v>
      </c>
      <c r="GO39">
        <f t="shared" si="38"/>
        <v>0</v>
      </c>
      <c r="GP39" s="647">
        <f t="shared" si="39"/>
        <v>0</v>
      </c>
    </row>
    <row r="40" spans="1:198">
      <c r="A40" s="239">
        <f t="shared" si="24"/>
        <v>26</v>
      </c>
      <c r="B40" s="125" t="str">
        <f t="shared" si="0"/>
        <v>on</v>
      </c>
      <c r="C40" s="126" t="s">
        <v>203</v>
      </c>
      <c r="D40" s="127" t="str">
        <f t="shared" si="1"/>
        <v/>
      </c>
      <c r="E40" s="1060"/>
      <c r="F40" s="1061"/>
      <c r="G40" s="1062"/>
      <c r="H40" s="292"/>
      <c r="I40" s="745"/>
      <c r="J40" s="746" t="str">
        <f t="shared" si="2"/>
        <v/>
      </c>
      <c r="K40" s="368"/>
      <c r="L40" s="368"/>
      <c r="M40" s="368"/>
      <c r="N40" s="311">
        <f t="shared" si="25"/>
        <v>8.11</v>
      </c>
      <c r="O40" s="311">
        <f t="shared" si="26"/>
        <v>2.75</v>
      </c>
      <c r="P40" s="311">
        <f>IF(Stamoplysninger!$H$34="JA",August!DG40,CX40)</f>
        <v>1.25</v>
      </c>
      <c r="Q40" s="311">
        <f t="shared" si="27"/>
        <v>4.1099999999999994</v>
      </c>
      <c r="R40" s="619"/>
      <c r="S40" s="315"/>
      <c r="T40" s="316"/>
      <c r="U40" s="316"/>
      <c r="V40" s="422"/>
      <c r="W40" s="400"/>
      <c r="X40" s="619"/>
      <c r="Y40">
        <f t="shared" si="28"/>
        <v>0</v>
      </c>
      <c r="Z40">
        <f t="shared" si="3"/>
        <v>0</v>
      </c>
      <c r="AA40" s="1">
        <f t="shared" si="4"/>
        <v>0</v>
      </c>
      <c r="AB40" s="1">
        <f t="shared" si="5"/>
        <v>0</v>
      </c>
      <c r="AC40" s="1">
        <f t="shared" si="6"/>
        <v>0</v>
      </c>
      <c r="AD40" s="1">
        <f t="shared" si="7"/>
        <v>0</v>
      </c>
      <c r="AE40" s="1">
        <f t="shared" si="8"/>
        <v>0</v>
      </c>
      <c r="AF40" s="1">
        <f>IF(C40="Orlov",Stamoplysninger!$E$20*7.4,0)</f>
        <v>0</v>
      </c>
      <c r="AG40" t="str">
        <f>IF(AND(C40="Skema 1",B40="ma"),Arbejdstidsoversigt!$E$77,"")</f>
        <v/>
      </c>
      <c r="AH40" t="str">
        <f>IF(AND(C40="Skema 1",B40="ti"),Arbejdstidsoversigt!$E$78,"")</f>
        <v/>
      </c>
      <c r="AI40">
        <f>IF(AND(C40="Skema 1",B40="on"),Arbejdstidsoversigt!$E$79,"")</f>
        <v>8.11</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9"/>
        <v>8.11</v>
      </c>
      <c r="BB40" s="224">
        <f t="shared" si="10"/>
        <v>194.64</v>
      </c>
      <c r="BC40" s="1">
        <f t="shared" si="29"/>
        <v>0</v>
      </c>
      <c r="BD40" s="1">
        <f t="shared" si="11"/>
        <v>0</v>
      </c>
      <c r="BE40" s="1">
        <f t="shared" si="12"/>
        <v>0</v>
      </c>
      <c r="BF40" s="1">
        <f t="shared" si="13"/>
        <v>0</v>
      </c>
      <c r="BG40" s="207" t="str">
        <f>IF(AND(C40="Skema 1",B40="ma"),Skemaoplysninger!$E$46,"")</f>
        <v/>
      </c>
      <c r="BH40" s="207" t="str">
        <f>IF(AND(C40="Skema 1",B40="ti"),Skemaoplysninger!$G$46,"")</f>
        <v/>
      </c>
      <c r="BI40" s="207">
        <f>IF(AND(C40="Skema 1",B40="on"),Skemaoplysninger!$I$46,"")</f>
        <v>0.11458333333333333</v>
      </c>
      <c r="BJ40" s="207" t="str">
        <f>IF(AND(C40="Skema 1",B40="to"),Skemaoplysninger!$K$46,"")</f>
        <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0"/>
        <v>2.75</v>
      </c>
      <c r="CB40" s="1">
        <f t="shared" si="14"/>
        <v>0</v>
      </c>
      <c r="CC40" s="1">
        <f t="shared" si="15"/>
        <v>0</v>
      </c>
      <c r="CD40" s="207" t="str">
        <f>IF(AND(C40="Skema 1",B40="ma"),Skemaoplysninger!$E$47,"")</f>
        <v/>
      </c>
      <c r="CE40" s="207" t="str">
        <f>IF(AND(C40="Skema 1",B40="ti"),Skemaoplysninger!$G$47,"")</f>
        <v/>
      </c>
      <c r="CF40" s="207">
        <f>IF(AND(C40="Skema 1",B40="on"),Skemaoplysninger!$I$47,"")</f>
        <v>5.2083333333333329E-2</v>
      </c>
      <c r="CG40" s="207" t="str">
        <f>IF(AND(C40="Skema 1",B40="to"),Skemaoplysninger!$K$47,"")</f>
        <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1.25</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6"/>
        <v/>
      </c>
      <c r="DL40" t="str">
        <f t="shared" si="16"/>
        <v/>
      </c>
      <c r="DM40" t="str">
        <f t="shared" si="35"/>
        <v/>
      </c>
      <c r="DN40" t="str">
        <f t="shared" si="36"/>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7"/>
        <v>0</v>
      </c>
      <c r="FZ40" s="634">
        <f t="shared" si="18"/>
        <v>0</v>
      </c>
      <c r="GA40">
        <f t="shared" si="19"/>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7"/>
        <v>0</v>
      </c>
      <c r="GK40">
        <f t="shared" si="20"/>
        <v>0</v>
      </c>
      <c r="GL40">
        <f t="shared" si="21"/>
        <v>0</v>
      </c>
      <c r="GM40">
        <f t="shared" si="22"/>
        <v>0</v>
      </c>
      <c r="GN40" s="713">
        <f t="shared" si="23"/>
        <v>0</v>
      </c>
      <c r="GO40">
        <f t="shared" si="38"/>
        <v>0</v>
      </c>
      <c r="GP40" s="647">
        <f t="shared" si="39"/>
        <v>0</v>
      </c>
    </row>
    <row r="41" spans="1:198">
      <c r="A41" s="239">
        <f t="shared" si="24"/>
        <v>27</v>
      </c>
      <c r="B41" s="125" t="str">
        <f t="shared" si="0"/>
        <v>to</v>
      </c>
      <c r="C41" s="126" t="s">
        <v>203</v>
      </c>
      <c r="D41" s="127" t="str">
        <f t="shared" si="1"/>
        <v/>
      </c>
      <c r="E41" s="1060"/>
      <c r="F41" s="1061"/>
      <c r="G41" s="1062"/>
      <c r="H41" s="292"/>
      <c r="I41" s="745"/>
      <c r="J41" s="746" t="str">
        <f>IF(C41="Lejrskole","X","")</f>
        <v/>
      </c>
      <c r="K41" s="368"/>
      <c r="L41" s="368"/>
      <c r="M41" s="368"/>
      <c r="N41" s="311">
        <f t="shared" si="25"/>
        <v>9</v>
      </c>
      <c r="O41" s="311">
        <f t="shared" si="26"/>
        <v>3.75</v>
      </c>
      <c r="P41" s="311">
        <f>IF(Stamoplysninger!$H$34="JA",August!DG41,CX41)</f>
        <v>1</v>
      </c>
      <c r="Q41" s="311">
        <f t="shared" si="27"/>
        <v>4.25</v>
      </c>
      <c r="R41" s="619"/>
      <c r="S41" s="315"/>
      <c r="T41" s="316"/>
      <c r="U41" s="316"/>
      <c r="V41" s="422"/>
      <c r="W41" s="400"/>
      <c r="X41" s="619"/>
      <c r="Y41">
        <f t="shared" si="28"/>
        <v>0</v>
      </c>
      <c r="Z41">
        <f t="shared" si="3"/>
        <v>0</v>
      </c>
      <c r="AA41" s="1">
        <f t="shared" si="4"/>
        <v>0</v>
      </c>
      <c r="AB41" s="1">
        <f t="shared" si="5"/>
        <v>0</v>
      </c>
      <c r="AC41" s="1">
        <f t="shared" si="6"/>
        <v>0</v>
      </c>
      <c r="AD41" s="1">
        <f t="shared" si="7"/>
        <v>0</v>
      </c>
      <c r="AE41" s="1">
        <f t="shared" si="8"/>
        <v>0</v>
      </c>
      <c r="AF41" s="1">
        <f>IF(C41="Orlov",Stamoplysninger!$E$20*7.4,0)</f>
        <v>0</v>
      </c>
      <c r="AG41" t="str">
        <f>IF(AND(C41="Skema 1",B41="ma"),Arbejdstidsoversigt!$E$77,"")</f>
        <v/>
      </c>
      <c r="AH41" t="str">
        <f>IF(AND(C41="Skema 1",B41="ti"),Arbejdstidsoversigt!$E$78,"")</f>
        <v/>
      </c>
      <c r="AI41" t="str">
        <f>IF(AND(C41="Skema 1",B41="on"),Arbejdstidsoversigt!$E$79,"")</f>
        <v/>
      </c>
      <c r="AJ41">
        <f>IF(AND(C41="Skema 1",B41="to"),Arbejdstidsoversigt!$E$80,"")</f>
        <v>9</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9"/>
        <v>9</v>
      </c>
      <c r="BB41" s="224">
        <f t="shared" si="10"/>
        <v>216</v>
      </c>
      <c r="BC41" s="1">
        <f t="shared" si="29"/>
        <v>0</v>
      </c>
      <c r="BD41" s="1">
        <f t="shared" si="11"/>
        <v>0</v>
      </c>
      <c r="BE41" s="1">
        <f t="shared" si="12"/>
        <v>0</v>
      </c>
      <c r="BF41" s="1">
        <f t="shared" si="13"/>
        <v>0</v>
      </c>
      <c r="BG41" s="207" t="str">
        <f>IF(AND(C41="Skema 1",B41="ma"),Skemaoplysninger!$E$46,"")</f>
        <v/>
      </c>
      <c r="BH41" s="207" t="str">
        <f>IF(AND(C41="Skema 1",B41="ti"),Skemaoplysninger!$G$46,"")</f>
        <v/>
      </c>
      <c r="BI41" s="207" t="str">
        <f>IF(AND(C41="Skema 1",B41="on"),Skemaoplysninger!$I$46,"")</f>
        <v/>
      </c>
      <c r="BJ41" s="207">
        <f>IF(AND(C41="Skema 1",B41="to"),Skemaoplysninger!$K$46,"")</f>
        <v>0.15625</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0"/>
        <v>3.75</v>
      </c>
      <c r="CB41" s="1">
        <f t="shared" si="14"/>
        <v>0</v>
      </c>
      <c r="CC41" s="1">
        <f t="shared" si="15"/>
        <v>0</v>
      </c>
      <c r="CD41" s="207" t="str">
        <f>IF(AND(C41="Skema 1",B41="ma"),Skemaoplysninger!$E$47,"")</f>
        <v/>
      </c>
      <c r="CE41" s="207" t="str">
        <f>IF(AND(C41="Skema 1",B41="ti"),Skemaoplysninger!$G$47,"")</f>
        <v/>
      </c>
      <c r="CF41" s="207" t="str">
        <f>IF(AND(C41="Skema 1",B41="on"),Skemaoplysninger!$I$47,"")</f>
        <v/>
      </c>
      <c r="CG41" s="207">
        <f>IF(AND(C41="Skema 1",B41="to"),Skemaoplysninger!$K$47,"")</f>
        <v>4.1666666666666664E-2</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1</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6"/>
        <v/>
      </c>
      <c r="DL41" t="str">
        <f t="shared" si="16"/>
        <v/>
      </c>
      <c r="DM41" t="str">
        <f t="shared" si="35"/>
        <v/>
      </c>
      <c r="DN41" t="str">
        <f t="shared" si="36"/>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7"/>
        <v>0</v>
      </c>
      <c r="FZ41" s="634">
        <f t="shared" si="18"/>
        <v>0</v>
      </c>
      <c r="GA41">
        <f t="shared" si="19"/>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7"/>
        <v>0</v>
      </c>
      <c r="GK41">
        <f t="shared" si="20"/>
        <v>0</v>
      </c>
      <c r="GL41">
        <f t="shared" si="21"/>
        <v>0</v>
      </c>
      <c r="GM41">
        <f t="shared" si="22"/>
        <v>0</v>
      </c>
      <c r="GN41" s="713">
        <f t="shared" si="23"/>
        <v>0</v>
      </c>
      <c r="GO41">
        <f t="shared" si="38"/>
        <v>0</v>
      </c>
      <c r="GP41" s="647">
        <f t="shared" si="39"/>
        <v>0</v>
      </c>
    </row>
    <row r="42" spans="1:198">
      <c r="A42" s="239">
        <f t="shared" si="24"/>
        <v>28</v>
      </c>
      <c r="B42" s="125" t="str">
        <f t="shared" si="0"/>
        <v>fr</v>
      </c>
      <c r="C42" s="126" t="s">
        <v>203</v>
      </c>
      <c r="D42" s="127" t="str">
        <f t="shared" si="1"/>
        <v/>
      </c>
      <c r="E42" s="1060"/>
      <c r="F42" s="1061"/>
      <c r="G42" s="1062"/>
      <c r="H42" s="292"/>
      <c r="I42" s="745"/>
      <c r="J42" s="746" t="str">
        <f>IF(C42="Lejrskole","X","")</f>
        <v/>
      </c>
      <c r="K42" s="368"/>
      <c r="L42" s="368"/>
      <c r="M42" s="368"/>
      <c r="N42" s="311">
        <f t="shared" si="25"/>
        <v>7.1</v>
      </c>
      <c r="O42" s="311">
        <f t="shared" si="26"/>
        <v>3.75</v>
      </c>
      <c r="P42" s="311">
        <f>IF(Stamoplysninger!$H$34="JA",August!DG42,CX42)</f>
        <v>1</v>
      </c>
      <c r="Q42" s="311">
        <f t="shared" si="27"/>
        <v>2.3499999999999996</v>
      </c>
      <c r="R42" s="619"/>
      <c r="S42" s="315"/>
      <c r="T42" s="316"/>
      <c r="U42" s="316"/>
      <c r="V42" s="422"/>
      <c r="W42" s="400"/>
      <c r="X42" s="619"/>
      <c r="Y42">
        <f t="shared" si="28"/>
        <v>0</v>
      </c>
      <c r="Z42">
        <f t="shared" si="3"/>
        <v>0</v>
      </c>
      <c r="AA42" s="1">
        <f t="shared" si="4"/>
        <v>0</v>
      </c>
      <c r="AB42" s="1">
        <f t="shared" si="5"/>
        <v>0</v>
      </c>
      <c r="AC42" s="1">
        <f t="shared" si="6"/>
        <v>0</v>
      </c>
      <c r="AD42" s="1">
        <f t="shared" si="7"/>
        <v>0</v>
      </c>
      <c r="AE42" s="1">
        <f t="shared" si="8"/>
        <v>0</v>
      </c>
      <c r="AF42" s="1">
        <f>IF(C42="Orlov",Stamoplysninger!$E$20*7.4,0)</f>
        <v>0</v>
      </c>
      <c r="AG42" t="str">
        <f>IF(AND(C42="Skema 1",B42="ma"),Arbejdstidsoversigt!$E$77,"")</f>
        <v/>
      </c>
      <c r="AH42" t="str">
        <f>IF(AND(C42="Skema 1",B42="ti"),Arbejdstidsoversigt!$E$78,"")</f>
        <v/>
      </c>
      <c r="AI42" t="str">
        <f>IF(AND(C42="Skema 1",B42="on"),Arbejdstidsoversigt!$E$79,"")</f>
        <v/>
      </c>
      <c r="AJ42" t="str">
        <f>IF(AND(C42="Skema 1",B42="to"),Arbejdstidsoversigt!$E$80,"")</f>
        <v/>
      </c>
      <c r="AK42">
        <f>IF(AND(C42="Skema 1",B42="fr"),Arbejdstidsoversigt!$E$81,"")</f>
        <v>7.1</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9"/>
        <v>7.1</v>
      </c>
      <c r="BB42" s="224">
        <f t="shared" si="10"/>
        <v>170.39999999999998</v>
      </c>
      <c r="BC42" s="1">
        <f t="shared" si="29"/>
        <v>0</v>
      </c>
      <c r="BD42" s="1">
        <f t="shared" si="11"/>
        <v>0</v>
      </c>
      <c r="BE42" s="1">
        <f t="shared" si="12"/>
        <v>0</v>
      </c>
      <c r="BF42" s="1">
        <f t="shared" si="13"/>
        <v>0</v>
      </c>
      <c r="BG42" s="207" t="str">
        <f>IF(AND(C42="Skema 1",B42="ma"),Skemaoplysninger!$E$46,"")</f>
        <v/>
      </c>
      <c r="BH42" s="207" t="str">
        <f>IF(AND(C42="Skema 1",B42="ti"),Skemaoplysninger!$G$46,"")</f>
        <v/>
      </c>
      <c r="BI42" s="207" t="str">
        <f>IF(AND(C42="Skema 1",B42="on"),Skemaoplysninger!$I$46,"")</f>
        <v/>
      </c>
      <c r="BJ42" s="207" t="str">
        <f>IF(AND(C42="Skema 1",B42="to"),Skemaoplysninger!$K$46,"")</f>
        <v/>
      </c>
      <c r="BK42" s="207">
        <f>IF(AND(C42="Skema 1",B42="fr"),Skemaoplysninger!$M$46,"")</f>
        <v>0.15625</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 t="shared" si="30"/>
        <v>3.75</v>
      </c>
      <c r="CB42" s="1">
        <f t="shared" si="14"/>
        <v>0</v>
      </c>
      <c r="CC42" s="1">
        <f t="shared" si="15"/>
        <v>0</v>
      </c>
      <c r="CD42" s="207" t="str">
        <f>IF(AND(C42="Skema 1",B42="ma"),Skemaoplysninger!$E$47,"")</f>
        <v/>
      </c>
      <c r="CE42" s="207" t="str">
        <f>IF(AND(C42="Skema 1",B42="ti"),Skemaoplysninger!$G$47,"")</f>
        <v/>
      </c>
      <c r="CF42" s="207" t="str">
        <f>IF(AND(C42="Skema 1",B42="on"),Skemaoplysninger!$I$47,"")</f>
        <v/>
      </c>
      <c r="CG42" s="207" t="str">
        <f>IF(AND(C42="Skema 1",B42="to"),Skemaoplysninger!$K$47,"")</f>
        <v/>
      </c>
      <c r="CH42" s="207">
        <f>IF(AND(C42="Skema 1",B42="fr"),Skemaoplysninger!$M$47,"")</f>
        <v>4.1666666666666664E-2</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1</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f t="shared" si="33"/>
        <v>0</v>
      </c>
      <c r="DJ42">
        <f t="shared" si="34"/>
        <v>0</v>
      </c>
      <c r="DK42" t="str">
        <f t="shared" si="16"/>
        <v/>
      </c>
      <c r="DL42" t="str">
        <f t="shared" si="16"/>
        <v/>
      </c>
      <c r="DM42" t="str">
        <f t="shared" si="35"/>
        <v/>
      </c>
      <c r="DN42" t="str">
        <f t="shared" si="36"/>
        <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relevant",S42="X"))),V42/4,0)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7"/>
        <v>0</v>
      </c>
      <c r="FZ42" s="634">
        <f t="shared" si="18"/>
        <v>0</v>
      </c>
      <c r="GA42">
        <f t="shared" si="19"/>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7"/>
        <v>0</v>
      </c>
      <c r="GK42">
        <f t="shared" si="20"/>
        <v>0</v>
      </c>
      <c r="GL42">
        <f t="shared" si="21"/>
        <v>0</v>
      </c>
      <c r="GM42">
        <f t="shared" si="22"/>
        <v>0</v>
      </c>
      <c r="GN42" s="713">
        <f t="shared" si="23"/>
        <v>0</v>
      </c>
      <c r="GO42">
        <f t="shared" si="38"/>
        <v>0</v>
      </c>
      <c r="GP42" s="647">
        <f t="shared" si="39"/>
        <v>0</v>
      </c>
    </row>
    <row r="43" spans="1:198">
      <c r="A43" s="239">
        <f>IF(ISNUMBER(A42),A42+1,1)</f>
        <v>29</v>
      </c>
      <c r="B43" s="125" t="str">
        <f t="shared" si="0"/>
        <v>lø</v>
      </c>
      <c r="C43" s="126" t="s">
        <v>118</v>
      </c>
      <c r="D43" s="127" t="str">
        <f t="shared" si="1"/>
        <v/>
      </c>
      <c r="E43" s="1060"/>
      <c r="F43" s="1061"/>
      <c r="G43" s="1062"/>
      <c r="H43" s="292"/>
      <c r="I43" s="746" t="str">
        <f>IF(GO43=1,"X","")</f>
        <v/>
      </c>
      <c r="J43" s="746" t="str">
        <f>IF(C43="Lejrskole","X","")</f>
        <v/>
      </c>
      <c r="K43" s="368"/>
      <c r="L43" s="368"/>
      <c r="M43" s="368"/>
      <c r="N43" s="311">
        <f t="shared" si="25"/>
        <v>0</v>
      </c>
      <c r="O43" s="311">
        <f t="shared" si="26"/>
        <v>0</v>
      </c>
      <c r="P43" s="311">
        <f>IF(Stamoplysninger!$H$34="JA",August!DG43,CX43)</f>
        <v>0</v>
      </c>
      <c r="Q43" s="311">
        <f t="shared" si="27"/>
        <v>0</v>
      </c>
      <c r="R43" s="619"/>
      <c r="S43" s="315"/>
      <c r="T43" s="316"/>
      <c r="U43" s="316"/>
      <c r="V43" s="422"/>
      <c r="W43" s="400"/>
      <c r="X43" s="619"/>
      <c r="Y43">
        <f t="shared" si="28"/>
        <v>0</v>
      </c>
      <c r="Z43">
        <f t="shared" si="3"/>
        <v>0</v>
      </c>
      <c r="AA43" s="1">
        <f t="shared" si="4"/>
        <v>0</v>
      </c>
      <c r="AB43" s="1">
        <f t="shared" si="5"/>
        <v>0</v>
      </c>
      <c r="AC43" s="1">
        <f t="shared" si="6"/>
        <v>0</v>
      </c>
      <c r="AD43" s="1">
        <f t="shared" si="7"/>
        <v>0</v>
      </c>
      <c r="AE43" s="1">
        <f t="shared" si="8"/>
        <v>0</v>
      </c>
      <c r="AF43" s="1">
        <f>IF(C43="Orlov",Stamoplysninger!$E$20*7.4,0)</f>
        <v>0</v>
      </c>
      <c r="AG43" t="str">
        <f>IF(AND(C43="Skema 1",B43="ma"),Arbejdstidsoversigt!$E$77,"")</f>
        <v/>
      </c>
      <c r="AH43" t="str">
        <f>IF(AND(C43="Skema 1",B43="ti"),Arbejdstidsoversigt!$E$78,"")</f>
        <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9"/>
        <v>0</v>
      </c>
      <c r="BB43" s="224">
        <f t="shared" si="10"/>
        <v>0</v>
      </c>
      <c r="BC43" s="1">
        <f t="shared" si="29"/>
        <v>0</v>
      </c>
      <c r="BD43" s="1">
        <f t="shared" si="11"/>
        <v>0</v>
      </c>
      <c r="BE43" s="1">
        <f t="shared" si="12"/>
        <v>0</v>
      </c>
      <c r="BF43" s="1">
        <f t="shared" si="13"/>
        <v>0</v>
      </c>
      <c r="BG43" s="207" t="str">
        <f>IF(AND(C43="Skema 1",B43="ma"),Skemaoplysninger!$E$46,"")</f>
        <v/>
      </c>
      <c r="BH43" s="207" t="str">
        <f>IF(AND(C43="Skema 1",B43="ti"),Skemaoplysninger!$G$46,"")</f>
        <v/>
      </c>
      <c r="BI43" s="207" t="str">
        <f>IF(AND(C43="Skema 1",B43="on"),Skemaoplysninger!$I$46,"")</f>
        <v/>
      </c>
      <c r="BJ43" s="207" t="str">
        <f>IF(AND(C43="Skema 1",B43="to"),Skemaoplysninger!$K$46,"")</f>
        <v/>
      </c>
      <c r="BK43" s="207" t="str">
        <f>IF(AND(C43="Skema 1",B43="fr"),Skemaoplysninger!$M$46,"")</f>
        <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 t="shared" si="30"/>
        <v>0</v>
      </c>
      <c r="CB43" s="1">
        <f t="shared" si="14"/>
        <v>0</v>
      </c>
      <c r="CC43" s="1">
        <f t="shared" si="15"/>
        <v>0</v>
      </c>
      <c r="CD43" s="207" t="str">
        <f>IF(AND(C43="Skema 1",B43="ma"),Skemaoplysninger!$E$47,"")</f>
        <v/>
      </c>
      <c r="CE43" s="207" t="str">
        <f>IF(AND(C43="Skema 1",B43="ti"),Skemaoplysninger!$G$47,"")</f>
        <v/>
      </c>
      <c r="CF43" s="207" t="str">
        <f>IF(AND(C43="Skema 1",B43="on"),Skemaoplysninger!$I$47,"")</f>
        <v/>
      </c>
      <c r="CG43" s="207" t="str">
        <f>IF(AND(C43="Skema 1",B43="to"),Skemaoplysninger!$K$47,"")</f>
        <v/>
      </c>
      <c r="CH43" s="207" t="str">
        <f>IF(AND(C43="Skema 1",B43="fr"),Skemaoplysninger!$M$47,"")</f>
        <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f t="shared" si="33"/>
        <v>0</v>
      </c>
      <c r="DJ43">
        <f t="shared" si="34"/>
        <v>0</v>
      </c>
      <c r="DK43" t="str">
        <f t="shared" si="16"/>
        <v/>
      </c>
      <c r="DL43" t="str">
        <f t="shared" si="16"/>
        <v/>
      </c>
      <c r="DM43" t="str">
        <f t="shared" si="35"/>
        <v/>
      </c>
      <c r="DN43" t="str">
        <f t="shared" si="36"/>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7"/>
        <v>0</v>
      </c>
      <c r="FZ43" s="634">
        <f t="shared" si="18"/>
        <v>0</v>
      </c>
      <c r="GA43">
        <f t="shared" si="19"/>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7"/>
        <v>0</v>
      </c>
      <c r="GK43">
        <f t="shared" si="20"/>
        <v>0</v>
      </c>
      <c r="GL43">
        <f t="shared" si="21"/>
        <v>0</v>
      </c>
      <c r="GM43">
        <f t="shared" si="22"/>
        <v>0</v>
      </c>
      <c r="GN43" s="713">
        <f t="shared" si="23"/>
        <v>0</v>
      </c>
      <c r="GO43">
        <f t="shared" si="38"/>
        <v>0</v>
      </c>
      <c r="GP43" s="647">
        <f t="shared" si="39"/>
        <v>0</v>
      </c>
    </row>
    <row r="44" spans="1:198">
      <c r="A44" s="239">
        <f t="shared" si="24"/>
        <v>30</v>
      </c>
      <c r="B44" s="125" t="str">
        <f t="shared" si="0"/>
        <v>sø</v>
      </c>
      <c r="C44" s="126" t="s">
        <v>118</v>
      </c>
      <c r="D44" s="127" t="str">
        <f t="shared" si="1"/>
        <v/>
      </c>
      <c r="E44" s="1060"/>
      <c r="F44" s="1061"/>
      <c r="G44" s="1062"/>
      <c r="H44" s="292"/>
      <c r="I44" s="746" t="str">
        <f>IF(GO44=1,"X","")</f>
        <v/>
      </c>
      <c r="J44" s="746" t="str">
        <f>IF(C44="Lejrskole","X","")</f>
        <v/>
      </c>
      <c r="K44" s="368"/>
      <c r="L44" s="368"/>
      <c r="M44" s="368"/>
      <c r="N44" s="311">
        <f t="shared" si="25"/>
        <v>0</v>
      </c>
      <c r="O44" s="311">
        <f t="shared" si="26"/>
        <v>0</v>
      </c>
      <c r="P44" s="311">
        <f>IF(Stamoplysninger!$H$34="JA",August!DG44,CX44)</f>
        <v>0</v>
      </c>
      <c r="Q44" s="311">
        <f t="shared" si="27"/>
        <v>0</v>
      </c>
      <c r="R44" s="619"/>
      <c r="S44" s="315"/>
      <c r="T44" s="316"/>
      <c r="U44" s="428"/>
      <c r="V44" s="422"/>
      <c r="W44" s="400"/>
      <c r="X44" s="619"/>
      <c r="Y44">
        <f t="shared" si="28"/>
        <v>0</v>
      </c>
      <c r="Z44">
        <f t="shared" si="3"/>
        <v>0</v>
      </c>
      <c r="AA44" s="1">
        <f t="shared" si="4"/>
        <v>0</v>
      </c>
      <c r="AB44" s="1">
        <f t="shared" si="5"/>
        <v>0</v>
      </c>
      <c r="AC44" s="1">
        <f t="shared" si="6"/>
        <v>0</v>
      </c>
      <c r="AD44" s="1">
        <f t="shared" si="7"/>
        <v>0</v>
      </c>
      <c r="AE44" s="1">
        <f t="shared" si="8"/>
        <v>0</v>
      </c>
      <c r="AF44" s="1">
        <f>IF(C44="Orlov",Stamoplysninger!$E$20*7.4,0)</f>
        <v>0</v>
      </c>
      <c r="AG44" t="str">
        <f>IF(AND(C44="Skema 1",B44="ma"),Arbejdstidsoversigt!$E$77,"")</f>
        <v/>
      </c>
      <c r="AH44" t="str">
        <f>IF(AND(C44="Skema 1",B44="ti"),Arbejdstidsoversigt!$E$78,"")</f>
        <v/>
      </c>
      <c r="AI44" t="str">
        <f>IF(AND(C44="Skema 1",B44="on"),Arbejdstidsoversigt!$E$79,"")</f>
        <v/>
      </c>
      <c r="AJ44" t="str">
        <f>IF(AND(C44="Skema 1",B44="to"),Arbejdstidsoversigt!$E$80,"")</f>
        <v/>
      </c>
      <c r="AK44" t="str">
        <f>IF(AND(C44="Skema 1",B44="fr"),Arbejdstidsoversigt!$E$81,"")</f>
        <v/>
      </c>
      <c r="AL44" t="str">
        <f>IF(AND(C44="Skema 2",B44="ma"),Arbejdstidsoversigt!$E$86,"")</f>
        <v/>
      </c>
      <c r="AM44" t="str">
        <f>IF(AND(C44="Skema 2",B44="ti"),Arbejdstidsoversigt!$E$87,"")</f>
        <v/>
      </c>
      <c r="AN44" t="str">
        <f>IF(AND(C44="Skema 2",B44="on"),Arbejdstidsoversigt!$E$88,"")</f>
        <v/>
      </c>
      <c r="AO44" t="str">
        <f>IF(AND(C44="Skema 2",B44="to"),Arbejdstidsoversigt!$E$89,"")</f>
        <v/>
      </c>
      <c r="AP44" t="str">
        <f>IF(AND(C44="Skema 2",B44="fr"),Arbejdstidsoversigt!$E$90,"")</f>
        <v/>
      </c>
      <c r="AQ44" t="str">
        <f>IF(AND(C44="Skema 3",B44="ma"),Arbejdstidsoversigt!$E$95,"")</f>
        <v/>
      </c>
      <c r="AR44" t="str">
        <f>IF(AND(C44="Skema 3",B44="ti"),Arbejdstidsoversigt!$E$96,"")</f>
        <v/>
      </c>
      <c r="AS44" t="str">
        <f>IF(AND(C44="Skema 3",B44="on"),Arbejdstidsoversigt!$E$97,"")</f>
        <v/>
      </c>
      <c r="AT44" t="str">
        <f>IF(AND(C44="Skema 3",B44="to"),Arbejdstidsoversigt!$E$98,"")</f>
        <v/>
      </c>
      <c r="AU44" t="str">
        <f>IF(AND(C44="Skema 3",B44="fr"),Arbejdstidsoversigt!$E$99,"")</f>
        <v/>
      </c>
      <c r="AV44" t="str">
        <f>IF(AND(C44="Skema 4",B44="ma"),Arbejdstidsoversigt!$E$104,"")</f>
        <v/>
      </c>
      <c r="AW44" t="str">
        <f>IF(AND(C44="Skema 4",B44="ti"),Arbejdstidsoversigt!$E$105,"")</f>
        <v/>
      </c>
      <c r="AX44" t="str">
        <f>IF(AND(C44="Skema 4",B44="on"),Arbejdstidsoversigt!$E$106,"")</f>
        <v/>
      </c>
      <c r="AY44" t="str">
        <f>IF(AND(C44="Skema 4",B44="to"),Arbejdstidsoversigt!$E$107,"")</f>
        <v/>
      </c>
      <c r="AZ44" t="str">
        <f>IF(AND(C44="Skema 4",B44="fr"),Arbejdstidsoversigt!$E$108,"")</f>
        <v/>
      </c>
      <c r="BA44" s="1">
        <f t="shared" si="9"/>
        <v>0</v>
      </c>
      <c r="BB44" s="224">
        <f t="shared" si="10"/>
        <v>0</v>
      </c>
      <c r="BC44" s="1">
        <f t="shared" si="29"/>
        <v>0</v>
      </c>
      <c r="BD44" s="1">
        <f t="shared" si="11"/>
        <v>0</v>
      </c>
      <c r="BE44" s="1">
        <f t="shared" si="12"/>
        <v>0</v>
      </c>
      <c r="BF44" s="1">
        <f t="shared" si="13"/>
        <v>0</v>
      </c>
      <c r="BG44" s="207" t="str">
        <f>IF(AND(C44="Skema 1",B44="ma"),Skemaoplysninger!$E$46,"")</f>
        <v/>
      </c>
      <c r="BH44" s="207" t="str">
        <f>IF(AND(C44="Skema 1",B44="ti"),Skemaoplysninger!$G$46,"")</f>
        <v/>
      </c>
      <c r="BI44" s="207" t="str">
        <f>IF(AND(C44="Skema 1",B44="on"),Skemaoplysninger!$I$46,"")</f>
        <v/>
      </c>
      <c r="BJ44" s="207" t="str">
        <f>IF(AND(C44="Skema 1",B44="to"),Skemaoplysninger!$K$46,"")</f>
        <v/>
      </c>
      <c r="BK44" s="207" t="str">
        <f>IF(AND(C44="Skema 1",B44="fr"),Skemaoplysninger!$M$46,"")</f>
        <v/>
      </c>
      <c r="BL44" s="207" t="str">
        <f>IF(AND(C44="Skema 2",B44="ma"),Skemaoplysninger!$S$46,"")</f>
        <v/>
      </c>
      <c r="BM44" s="207" t="str">
        <f>IF(AND(C44="Skema 2",B44="ti"),Skemaoplysninger!$U$46,"")</f>
        <v/>
      </c>
      <c r="BN44" s="207" t="str">
        <f>IF(AND(C44="Skema 2",B44="on"),Skemaoplysninger!$W$46,"")</f>
        <v/>
      </c>
      <c r="BO44" s="207" t="str">
        <f>IF(AND(C44="Skema 2",B44="to"),Skemaoplysninger!$Y$46,"")</f>
        <v/>
      </c>
      <c r="BP44" s="207" t="str">
        <f>IF(AND(C44="Skema 2",B44="fr"),Skemaoplysninger!$AA$46,"")</f>
        <v/>
      </c>
      <c r="BQ44" s="207" t="str">
        <f>IF(AND(C44="Skema 3",B44="ma"),Skemaoplysninger!$AG$46,"")</f>
        <v/>
      </c>
      <c r="BR44" s="207" t="str">
        <f>IF(AND(C44="Skema 3",B44="ti"),Skemaoplysninger!$AI$46,"")</f>
        <v/>
      </c>
      <c r="BS44" s="207" t="str">
        <f>IF(AND(C44="Skema 3",B44="on"),Skemaoplysninger!$AK$46,"")</f>
        <v/>
      </c>
      <c r="BT44" s="207" t="str">
        <f>IF(AND(C44="Skema 3",B44="to"),Skemaoplysninger!$AM$46,"")</f>
        <v/>
      </c>
      <c r="BU44" s="207" t="str">
        <f>IF(AND(C44="Skema 3",B44="fr"),Skemaoplysninger!$AO$46,"")</f>
        <v/>
      </c>
      <c r="BV44" s="207" t="str">
        <f>IF(AND(C44="Skema 4",B44="ma"),Skemaoplysninger!$AU$46,"")</f>
        <v/>
      </c>
      <c r="BW44" s="207" t="str">
        <f>IF(AND(C44="Skema 4",B44="ti"),Skemaoplysninger!$AW$46,"")</f>
        <v/>
      </c>
      <c r="BX44" s="207" t="str">
        <f>IF(AND(C44="Skema 4",B44="on"),Skemaoplysninger!$AY$46,"")</f>
        <v/>
      </c>
      <c r="BY44" s="207" t="str">
        <f>IF(AND(C44="Skema 4",B44="to"),Skemaoplysninger!$BA$46,"")</f>
        <v/>
      </c>
      <c r="BZ44" s="207" t="str">
        <f>IF(AND(C44="Skema 4",B44="fr"),Skemaoplysninger!$BC$46,"")</f>
        <v/>
      </c>
      <c r="CA44" s="1">
        <f t="shared" si="30"/>
        <v>0</v>
      </c>
      <c r="CB44" s="1">
        <f t="shared" si="14"/>
        <v>0</v>
      </c>
      <c r="CC44" s="1">
        <f t="shared" si="15"/>
        <v>0</v>
      </c>
      <c r="CD44" s="207" t="str">
        <f>IF(AND(C44="Skema 1",B44="ma"),Skemaoplysninger!$E$47,"")</f>
        <v/>
      </c>
      <c r="CE44" s="207" t="str">
        <f>IF(AND(C44="Skema 1",B44="ti"),Skemaoplysninger!$G$47,"")</f>
        <v/>
      </c>
      <c r="CF44" s="207" t="str">
        <f>IF(AND(C44="Skema 1",B44="on"),Skemaoplysninger!$I$47,"")</f>
        <v/>
      </c>
      <c r="CG44" s="207" t="str">
        <f>IF(AND(C44="Skema 1",B44="to"),Skemaoplysninger!$K$47,"")</f>
        <v/>
      </c>
      <c r="CH44" s="207" t="str">
        <f>IF(AND(C44="Skema 1",B44="fr"),Skemaoplysninger!$M$47,"")</f>
        <v/>
      </c>
      <c r="CI44" s="207" t="str">
        <f>IF(AND(C44="Skema 2",B44="ma"),Skemaoplysninger!$S$47,"")</f>
        <v/>
      </c>
      <c r="CJ44" s="207" t="str">
        <f>IF(AND(C44="Skema 2",B44="ti"),Skemaoplysninger!$U$47,"")</f>
        <v/>
      </c>
      <c r="CK44" s="207" t="str">
        <f>IF(AND(C44="Skema 2",B44="on"),Skemaoplysninger!$W$47,"")</f>
        <v/>
      </c>
      <c r="CL44" s="207" t="str">
        <f>IF(AND(C44="Skema 2",B44="to"),Skemaoplysninger!$Y$47,"")</f>
        <v/>
      </c>
      <c r="CM44" s="207" t="str">
        <f>IF(AND(C44="Skema 2",B44="fr"),Skemaoplysninger!$AA$47,"")</f>
        <v/>
      </c>
      <c r="CN44" s="207" t="str">
        <f>IF(AND(C44="Skema 3",B44="ma"),Skemaoplysninger!$AG$47,"")</f>
        <v/>
      </c>
      <c r="CO44" s="207" t="str">
        <f>IF(AND(C44="Skema 3",B44="ti"),Skemaoplysninger!$AI$47,"")</f>
        <v/>
      </c>
      <c r="CP44" s="207" t="str">
        <f>IF(AND(C44="Skema 3",B44="on"),Skemaoplysninger!$AK$47,"")</f>
        <v/>
      </c>
      <c r="CQ44" s="207" t="str">
        <f>IF(AND(C44="Skema 3",B44="to"),Skemaoplysninger!$AM$47,"")</f>
        <v/>
      </c>
      <c r="CR44" s="207" t="str">
        <f>IF(AND(C44="Skema 3",B44="fr"),Skemaoplysninger!$AO$47,"")</f>
        <v/>
      </c>
      <c r="CS44" s="207" t="str">
        <f>IF(AND(C44="Skema 4",B44="ma"),Skemaoplysninger!$AU$47,"")</f>
        <v/>
      </c>
      <c r="CT44" s="207" t="str">
        <f>IF(AND(C44="Skema 4",B44="ti"),Skemaoplysninger!$AW$47,"")</f>
        <v/>
      </c>
      <c r="CU44" s="207" t="str">
        <f>IF(AND(C44="Skema 4",B44="on"),Skemaoplysninger!$AY$47,"")</f>
        <v/>
      </c>
      <c r="CV44" s="207" t="str">
        <f>IF(AND(C44="Skema 4",B44="to"),Skemaoplysninger!$BA$47,"")</f>
        <v/>
      </c>
      <c r="CW44" s="207" t="str">
        <f>IF(AND(C44="Skema 4",B44="fr"),Skemaoplysninger!$BC$47,"")</f>
        <v/>
      </c>
      <c r="CX44" s="243">
        <f>IF(Stamoplysninger!$H$34="NEJ",SUM(CD44:CW44)*24+CB44+CC44,0)</f>
        <v>0</v>
      </c>
      <c r="CY44" s="243">
        <f>IF(C44="Skema 1",Stamoplysninger!$H$35/200,0)</f>
        <v>0</v>
      </c>
      <c r="CZ44" s="243">
        <f>IF(C44="Skema 2",Stamoplysninger!$H$35/200,0)</f>
        <v>0</v>
      </c>
      <c r="DA44" s="243">
        <f>IF(C44="Skema 3",Stamoplysninger!$H$35/200,0)</f>
        <v>0</v>
      </c>
      <c r="DB44" s="243">
        <f>IF(C44="Skema 4",Stamoplysninger!$H$35/200,0)</f>
        <v>0</v>
      </c>
      <c r="DC44" s="243">
        <f>IF(C44="fagdag",Stamoplysninger!$H$35/200,0)</f>
        <v>0</v>
      </c>
      <c r="DD44" s="243">
        <f>IF(C44="emnedag",Stamoplysninger!$H$35/200,0)</f>
        <v>0</v>
      </c>
      <c r="DE44" s="243">
        <f>IF(C44="lejrskole",Stamoplysninger!$H$35/200,0)</f>
        <v>0</v>
      </c>
      <c r="DF44" s="243">
        <f>IF(C44="ekskursion",Stamoplysninger!$H$35/200,0)</f>
        <v>0</v>
      </c>
      <c r="DG44" s="243">
        <f t="shared" si="31"/>
        <v>0</v>
      </c>
      <c r="DH44" t="str">
        <f t="shared" si="32"/>
        <v/>
      </c>
      <c r="DI44">
        <f t="shared" si="33"/>
        <v>0</v>
      </c>
      <c r="DJ44">
        <f t="shared" si="34"/>
        <v>0</v>
      </c>
      <c r="DK44" t="str">
        <f t="shared" si="16"/>
        <v/>
      </c>
      <c r="DL44" t="str">
        <f t="shared" si="16"/>
        <v/>
      </c>
      <c r="DM44" t="str">
        <f t="shared" si="35"/>
        <v/>
      </c>
      <c r="DN44" t="str">
        <f t="shared" si="36"/>
        <v/>
      </c>
      <c r="DO44" s="628">
        <f>IF(AND(Stamoplysninger!$B$27="Ulempetillæg udbetales med 25% af nettotimelønnen.",H44&gt;0),(R44/4),0)</f>
        <v>0</v>
      </c>
      <c r="DP44">
        <f>IF(AND(AND(Stamoplysninger!$B$27="Ulempetillæg udbetales med 25% af nettotimelønnen.",I44="X",J44="")),K44/4,0)</f>
        <v>0</v>
      </c>
      <c r="DQ44">
        <f>IF(AND(Stamoplysninger!$B$27="Ulempetillæg udbetales med 25% af nettotimelønnen.",U44="X"),(X44/4),0)</f>
        <v>0</v>
      </c>
      <c r="DR44">
        <f>IF(AND(AND(AND(Stamoplysninger!$B$27="Ulempetillæg udbetales med 25% af nettotimelønnen.",S44="X",I44="X",J44=""))),V44/4,0)</f>
        <v>0</v>
      </c>
      <c r="DS44" s="647">
        <f>IF(AND(AND(Stamoplysninger!$B$27="Ulempetillæg udbetales med 25% af nettotimelønnen.",C44="ikke relevant",H44&gt;"")),(R44)/4,0)</f>
        <v>0</v>
      </c>
      <c r="DT44" s="647">
        <f>IF(AND(AND(Stamoplysninger!$B$27="Ulempetillæg udbetales med 25% af nettotimelønnen.",I44="X",C44="Ikke relevant")),K44/4,0)</f>
        <v>0</v>
      </c>
      <c r="DU44" s="647">
        <f>IF(AND(AND(Stamoplysninger!$B$27="Ulempetillæg udbetales med 25% af nettotimelønnen.",C44="ikke relevant",U44="X")),(X44/4),0)</f>
        <v>0</v>
      </c>
      <c r="DV44" s="648">
        <f>IF(AND(AND(AND(Stamoplysninger!$B$27="Ulempetillæg udbetales med 25% af nettotimelønnen.",I44="X",C44="Ikke relevant",U44="X"))),X44/4,0)</f>
        <v>0</v>
      </c>
      <c r="DW44" s="628">
        <f>IF(AND(Stamoplysninger!$B$27="Ulempetillæg afspadseres med 25%(Kræver en aftale imellem ledelsen og den ansatte)",H44&gt;0),R44/4,0)</f>
        <v>0</v>
      </c>
      <c r="DX44">
        <f>IF(AND(AND(Stamoplysninger!$B$27="Ulempetillæg afspadseres med 25%(Kræver en aftale imellem ledelsen og den ansatte)",I44="X",J44="")),K44/4,0)</f>
        <v>0</v>
      </c>
      <c r="DY44">
        <f>IF(AND(Stamoplysninger!$B$27="Ulempetillæg afspadseres med 25%(Kræver en aftale imellem ledelsen og den ansatte)",U44="X"),X44/4,0)</f>
        <v>0</v>
      </c>
      <c r="DZ44">
        <f>IF(AND(AND(AND(Stamoplysninger!$B$27="Ulempetillæg afspadseres med 25%(Kræver en aftale imellem ledelsen og den ansatte)",I44="X",S44="X",J44=""))),V44/4,0)</f>
        <v>0</v>
      </c>
      <c r="EA44" s="647">
        <f>IF(AND(Stamoplysninger!$B$27="Ulempetillæg afspadseres med 25%(Kræver en aftale imellem ledelsen og den ansatte)",C44="ikke relevant"),(R44)/4,0)</f>
        <v>0</v>
      </c>
      <c r="EB44" s="647">
        <f>IF(AND(AND(Stamoplysninger!$B$27="Ulempetillæg afspadseres med 25%(Kræver en aftale imellem ledelsen og den ansatte)",I44="X",C44="Ikke relevant")),K44/4,0)</f>
        <v>0</v>
      </c>
      <c r="EC44" s="647">
        <f>IF(AND(AND(Stamoplysninger!$B$27="Ulempetillæg afspadseres med 25%(Kræver en aftale imellem ledelsen og den ansatte)",U44="X",C44="Ikke relevant")),X44/4,0)</f>
        <v>0</v>
      </c>
      <c r="ED44" s="647">
        <f>IF(AND(AND(AND(Stamoplysninger!$B$27="Ulempetillæg afspadseres med 25%(Kræver en aftale imellem ledelsen og den ansatte)",I44="X",C44="Ikke relevant",S44="X"))),V44/4,0)</f>
        <v>0</v>
      </c>
      <c r="EE44" s="277">
        <f>IF(AND(AND(Stamoplysninger!$B$31="Weekendtimer og weekendtillæg afspadseres.",I44="X",J44="")),K44*1.5,0)</f>
        <v>0</v>
      </c>
      <c r="EF44" s="245">
        <f>IF(AND(AND(AND(Stamoplysninger!$B$31="Weekendtimer og weekendtillæg afspadseres.",I44="X",S44="X",J44=""))),V44*1.5,0)</f>
        <v>0</v>
      </c>
      <c r="EG44" s="650">
        <f>IF(AND(AND(Stamoplysninger!$B$31="Weekendtimer og weekendtillæg afspadseres.",I44="X",C44="ikke relevant")),K44*1.5,0)</f>
        <v>0</v>
      </c>
      <c r="EH44" s="651">
        <f>IF(AND(AND(AND(Stamoplysninger!$B$31="Weekendtimer og weekendtillæg afspadseres.",I44="X",C44="ikke relevant",S44="X"))),(V44*1.5),0)</f>
        <v>0</v>
      </c>
      <c r="EI44" s="277">
        <f>IF(AND(AND(Stamoplysninger!$B$31="Weekendtimer og weekendtillæg afspadseres.",I44="X",J44="X")),K44,0)</f>
        <v>0</v>
      </c>
      <c r="EJ44" s="718">
        <f>IF(AND(AND(AND(Stamoplysninger!$B$31="Weekendtimer og weekendtillæg afspadseres.",I44="X",S44="X",J44="X"))),V44,0)</f>
        <v>0</v>
      </c>
      <c r="EK44" s="650">
        <f>IF(AND(AND(Stamoplysninger!$B$31="Weekendtimer og weekendtillæg afspadseres.",M44="X",G44="ikke relevant")),O44*1.5,0)</f>
        <v>0</v>
      </c>
      <c r="EL44" s="651">
        <f>IF(AND(AND(AND(Stamoplysninger!$B$31="Weekendtimer og weekendtillæg afspadseres.",M44="X",G44="ikke relevant",W44="X"))),(Z44*1.5),0)</f>
        <v>0</v>
      </c>
      <c r="EM44" s="277">
        <f>IF(AND(AND(Stamoplysninger!$B$31="Weekendtimer og weekendtillæg udbetales.",I44="X",J44="")),K44*1.5,0)</f>
        <v>0</v>
      </c>
      <c r="EN44" s="245">
        <f>IF(AND(AND(AND(Stamoplysninger!$B$31="Weekendtimer og weekendtillæg udbetales.",I44="X",S44="X",J44=""))),V44*1.5,0)</f>
        <v>0</v>
      </c>
      <c r="EO44" s="650">
        <f>IF(AND(AND(Stamoplysninger!$B$31="Weekendtimer og weekendtillæg udbetales.",I44="X",C44="ikke relevant")),K44*1.5,0)</f>
        <v>0</v>
      </c>
      <c r="EP44" s="651">
        <f>IF(AND(AND(AND(Stamoplysninger!$B$31="Weekendtimer og weekendtillæg udbetales.",I44="X",C44="ikke relevant",S44="X"))),(V44*1.5),0)</f>
        <v>0</v>
      </c>
      <c r="EQ44" s="277">
        <f>IF(AND(AND(Stamoplysninger!$B$31="Weekendtimer og weekendtillæg udbetales.",I44="X",J44="X")),K44,0)</f>
        <v>0</v>
      </c>
      <c r="ER44" s="718">
        <f>IF(AND(AND(AND(Stamoplysninger!$B$31="Weekendtimer og weekendtillæg udbetales.",I44="X",S44="X",J44="x"))),V44,0)</f>
        <v>0</v>
      </c>
      <c r="ES44" s="650">
        <f>IF(AND(AND(Stamoplysninger!$B$31="Weekendtimer og weekendtillæg udbetales.",M44="X",G44="ikke relevant")),O44*1.5,0)</f>
        <v>0</v>
      </c>
      <c r="ET44" s="651">
        <f>IF(AND(AND(AND(Stamoplysninger!$B$31="Weekendtimer og weekendtillæg udbetales.",M44="X",G44="ikke relevant",W44="X"))),(Z44*1.5),0)</f>
        <v>0</v>
      </c>
      <c r="EU44" s="277">
        <f>IF(AND(AND(Stamoplysninger!$B$31="Der er indgået lokalaftale omkring weekendtimer.(Kræver aftale med TR/FSL) Weekendtillæg afspadseres.",I44="X",J44="")),K44*0.5,0)</f>
        <v>0</v>
      </c>
      <c r="EV44" s="245">
        <f>IF(AND(AND(AND(Stamoplysninger!$B$31="Der er indgået lokalaftale omkring weekendtimer.(Kræver aftale med TR/FSL) Weekendtillæg afspadseres.",I44="X",S44="X",J44=""))),V44*0.5,0)</f>
        <v>0</v>
      </c>
      <c r="EW44" s="650">
        <f>IF(AND(AND(Stamoplysninger!$B$31="Der er indgået lokalaftale omkring weekendtimer.(Kræver aftale med TR/FSL) Weekendtillæg afspadseres.",I44="X",C44="ikke relevant")),K44*0.5,0)</f>
        <v>0</v>
      </c>
      <c r="EX44" s="651">
        <f>IF(AND(AND(AND(Stamoplysninger!$B$31="Der er indgået lokalaftale omkring weekendtimer.(Kræver aftale med TR/FSL) Weekendtillæg afspadseres.",I44="X",C44="ikke relevant",S44="X"))),(V44*0.5),0)</f>
        <v>0</v>
      </c>
      <c r="EY44" s="277">
        <f>IF(AND(AND(Stamoplysninger!$B$31="Der er indgået lokalaftale omkring weekendtimer(Kræver aftale med TR/FSL). Weekendtillæg udbetales.",I44="X",J44="")),K44*0.5,0)</f>
        <v>0</v>
      </c>
      <c r="EZ44" s="245">
        <f>IF(AND(AND(AND(Stamoplysninger!$B$31="Der er indgået lokalaftale omkring weekendtimer(Kræver aftale med TR/FSL). Weekendtillæg udbetales.",I44="X",S44="X",J44=""))),V44*0.5,0)</f>
        <v>0</v>
      </c>
      <c r="FA44" s="650">
        <f>IF(AND(AND(Stamoplysninger!$B$31="Der er indgået lokalaftale omkring weekendtimer(Kræver aftale med TR/FSL). Weekendtillæg udbetales.",I44="X",C44="ikke relevant")),K44*0.5,0)</f>
        <v>0</v>
      </c>
      <c r="FB44" s="651">
        <f>IF(AND(AND(AND(Stamoplysninger!$B$31="Der er indgået lokalaftale omkring weekendtimer(Kræver aftale med TR/FSL). Weekendtillæg udbetales.",I44="X",C44="ikke relevant",S44="X"))),(V44*0.5),0)</f>
        <v>0</v>
      </c>
      <c r="FC44" s="277">
        <f>IF(AND(Stamoplysninger!$B$31="Der er indgået lokalaftale omkring weekendtillæg(Kræver aftale med TR/FSL). Weekendtimerne afspadseres.",I44="X"),K44,0)</f>
        <v>0</v>
      </c>
      <c r="FD44" s="245">
        <f>IF(AND(AND(Stamoplysninger!$B$31="Der er indgået lokalaftale omkring weekendtillæg(Kræver aftale med TR/FSL). Weekendtimerne afspadseres.",I44="X",S44="X")),V44,0)</f>
        <v>0</v>
      </c>
      <c r="FE44" s="650">
        <f>IF(AND(AND(Stamoplysninger!$B$31="Der er indgået lokalaftale omkring weekendtillæg(Kræver aftale med TR/FSL). Weekendtimerne afspadseres..",I44="X",C44="ikke relevant")),K44,0)</f>
        <v>0</v>
      </c>
      <c r="FF44" s="651">
        <f>IF(AND(AND(AND(Stamoplysninger!$B$31="Der er indgået lokalaftale omkring weekendtillæg(Kræver aftale med TR/FSL). Weekendtimerne afspadseres.",I44="X",C44="ikke relevant",S44="X"))),(V44),0)</f>
        <v>0</v>
      </c>
      <c r="FG44" s="277">
        <f>IF(AND(Stamoplysninger!$B$31="Der er indgået lokalaftale omkring weekendtillæg(Kræver aftale med TR/FSL). Weekendtimerne udbetales.",I44="X"),K44,0)</f>
        <v>0</v>
      </c>
      <c r="FH44" s="245">
        <f>IF(AND(AND(Stamoplysninger!$B$31="Der er indgået lokalaftale omkring weekendtillæg(Kræver aftale med TR/FSL). Weekendtimerne udbetales.",I44="X",S44="X")),V44,0)</f>
        <v>0</v>
      </c>
      <c r="FI44" s="650">
        <f>IF(AND(AND(Stamoplysninger!$B$31="Der er indgået lokalaftale omkring weekendtillæg(Kræver aftale med TR/FSL). Weekendtimerne udbetales.",I44="X",C44="ikke relevant")),K44,0)</f>
        <v>0</v>
      </c>
      <c r="FJ44" s="651">
        <f>IF(AND(AND(AND(Stamoplysninger!$B$31="Der er indgået lokalaftale omkring weekendtillæg(Kræver aftale med TR/FSL). Weekendtimerne udbetales.",I44="X",C44="ikke relevant",S44="X"))),(V44),0)</f>
        <v>0</v>
      </c>
      <c r="FK44" s="277">
        <f>IF(AND(AND(Stamoplysninger!$B$31="Weekendtimer og weekendtillæg afspadseres.",I44="X",J44="")),K44,0)</f>
        <v>0</v>
      </c>
      <c r="FL44" s="245">
        <f>IF(AND(Stamoplysninger!$B$31="Weekendtimer og weekendtillæg afspadseres.",Y44="X"),(AA44+AL44)/2,0)</f>
        <v>0</v>
      </c>
      <c r="FM44" s="650">
        <f>IF(AND(AND(Stamoplysninger!$B$31="Weekendtimer og weekendtillæg afspadseres.",I44="X",C44="ikke relevant")),K44,0)</f>
        <v>0</v>
      </c>
      <c r="FN44" s="651">
        <f>IF(AND(AND(Stamoplysninger!$B$31="Weekendtimer og weekendtillæg afspadseres.",Y44="X",S44="ikke relevant")),(AA44+AL44)/2,0)</f>
        <v>0</v>
      </c>
      <c r="FO44" s="277">
        <f>IF(AND(AND(Stamoplysninger!$B$31="Weekendtimer og weekendtillæg afspadseres.",I44="X",J44="X")),K44,0)</f>
        <v>0</v>
      </c>
      <c r="FP44" s="245">
        <f>IF(AND(Stamoplysninger!$B$31="Weekendtimer og weekendtillæg afspadseres.",AC44="X"),(AE44+AP44)/2,0)</f>
        <v>0</v>
      </c>
      <c r="FQ44" s="650">
        <f>IF(AND(AND(Stamoplysninger!$B$31="Weekendtimer og weekendtillæg afspadseres.",M44="X",G44="ikke relevant")),O44,0)</f>
        <v>0</v>
      </c>
      <c r="FR44" s="651">
        <f>IF(AND(AND(Stamoplysninger!$B$31="Weekendtimer og weekendtillæg afspadseres.",AC44="X",W44="ikke relevant")),(AE44+AP44)/2,0)</f>
        <v>0</v>
      </c>
      <c r="FS44" s="277">
        <f>IF(AND(Stamoplysninger!$B$31="Der er indgået lokalaftale omkring weekendtillæg(Kræver aftale med TR/FSL). Weekendtimerne afspadseres.",I44="X"),K44,0)</f>
        <v>0</v>
      </c>
      <c r="FT44" s="650">
        <f>IF(AND(AND(Stamoplysninger!$B$31="Der er indgået lokalaftale omkring weekendtillæg(Kræver aftale med TR/FSL). Weekendtimerne afspadseres.",I44="X",C44="ikke relevant")),K44,0)</f>
        <v>0</v>
      </c>
      <c r="FU44" s="277">
        <f>IF(AND(Stamoplysninger!$B$31="Weekendtimer og weekendtillæg udbetales.",I44="X"),K44,0)</f>
        <v>0</v>
      </c>
      <c r="FV44" s="245">
        <f>IF(AND(Stamoplysninger!$B$31="Weekendtimer og weekendtillæg udbetales.",AA44="X"),(AC44+AN44)/2,0)</f>
        <v>0</v>
      </c>
      <c r="FW44" s="650">
        <f>IF(AND(AND(Stamoplysninger!$B$31="Weekendtimer og weekendtillæg udbetales.",I44="X",C44="ikke relevant")),K44,0)</f>
        <v>0</v>
      </c>
      <c r="FX44" s="664">
        <f>IF(AND(AND(Stamoplysninger!$B$31="Weekendtimer og weekendtillæg udbetales.",AA44="X",U44="ikke relevant")),(AC44+AN44)/2,0)</f>
        <v>0</v>
      </c>
      <c r="FY44" s="277">
        <f t="shared" si="17"/>
        <v>0</v>
      </c>
      <c r="FZ44" s="634">
        <f t="shared" si="18"/>
        <v>0</v>
      </c>
      <c r="GA44">
        <f t="shared" si="19"/>
        <v>0</v>
      </c>
      <c r="GB44" s="277">
        <f>IF(AND(Stamoplysninger!$B$31="Der er indgået lokalaftale omkring weekendtimer.(Kræver aftale med TR/FSL) Weekendtillæg afspadseres.",I44="X"),K44,0)</f>
        <v>0</v>
      </c>
      <c r="GC44" s="650">
        <f>IF(AND(AND(Stamoplysninger!$B$31="Der er indgået lokalaftale omkring weekendtimer.(Kræver aftale med TR/FSL) Weekendtillæg afspadseres.",I44="X",C44="ikke relevant")),K44,0)</f>
        <v>0</v>
      </c>
      <c r="GD44" s="277">
        <f>IF(AND(Stamoplysninger!$B$31="Der er indgået lokalaftale omkring weekendtimer(Kræver aftale med TR/FSL). Weekendtillæg udbetales.",I44="X"),K44,0)</f>
        <v>0</v>
      </c>
      <c r="GE44" s="650">
        <f>IF(AND(AND(Stamoplysninger!$B$31="Der er indgået lokalaftale omkring weekendtimer(Kræver aftale med TR/FSL). Weekendtillæg udbetales.",I44="X",C44="ikke relevant")),K44,0)</f>
        <v>0</v>
      </c>
      <c r="GF44" s="277">
        <f>IF(AND(Stamoplysninger!$B$31="Der er indgået lokalaftale omkring weekendtillæg(Kræver aftale med TR/FSL). Weekendtimerne udbetales.",I44="X"),K44,0)</f>
        <v>0</v>
      </c>
      <c r="GG44" s="650">
        <f>IF(AND(AND(Stamoplysninger!$B$31="Der er indgået lokalaftale omkring weekendtillæg(Kræver aftale med TR/FSL). Weekendtimerne udbetales.",I44="X",C44="ikke relevant")),K44,0)</f>
        <v>0</v>
      </c>
      <c r="GH44" s="277">
        <f>IF(AND(Stamoplysninger!$B$31="Der er indgået lokalaftale omkring weekendtimer og weekendtillæg.(Kræver aftale med TR/FSL).",I44="X"),K44,0)</f>
        <v>0</v>
      </c>
      <c r="GI44" s="650">
        <f>IF(AND(AND(Stamoplysninger!$B$31="Der er indgået lokalaftale omkring weekendtimer og weekendtillæg.(Kræver aftale med TR/FSL).",I44="X",C44="ikke relevant")),K44,0)</f>
        <v>0</v>
      </c>
      <c r="GJ44">
        <f t="shared" si="37"/>
        <v>0</v>
      </c>
      <c r="GK44">
        <f t="shared" si="20"/>
        <v>0</v>
      </c>
      <c r="GL44">
        <f t="shared" si="21"/>
        <v>0</v>
      </c>
      <c r="GM44">
        <f t="shared" si="22"/>
        <v>0</v>
      </c>
      <c r="GN44" s="713">
        <f t="shared" si="23"/>
        <v>0</v>
      </c>
      <c r="GO44">
        <f t="shared" si="38"/>
        <v>0</v>
      </c>
      <c r="GP44" s="647">
        <f t="shared" si="39"/>
        <v>0</v>
      </c>
    </row>
    <row r="45" spans="1:198" ht="17" thickBot="1">
      <c r="A45" s="239">
        <f>IF(ISNUMBER(A44),A44+1,1)</f>
        <v>31</v>
      </c>
      <c r="B45" s="125" t="str">
        <f t="shared" si="0"/>
        <v>ma</v>
      </c>
      <c r="C45" s="126" t="s">
        <v>203</v>
      </c>
      <c r="D45" s="127">
        <f t="shared" si="1"/>
        <v>35.571428571428569</v>
      </c>
      <c r="E45" s="1123"/>
      <c r="F45" s="1124"/>
      <c r="G45" s="1125"/>
      <c r="H45" s="291"/>
      <c r="I45" s="745"/>
      <c r="J45" s="746" t="str">
        <f>IF(C45="Lejrskole","X","")</f>
        <v/>
      </c>
      <c r="K45" s="368"/>
      <c r="L45" s="368"/>
      <c r="M45" s="368"/>
      <c r="N45" s="311">
        <f t="shared" si="25"/>
        <v>8.11</v>
      </c>
      <c r="O45" s="311">
        <f t="shared" si="26"/>
        <v>4.5</v>
      </c>
      <c r="P45" s="311">
        <f>IF(Stamoplysninger!$H$34="JA",August!DG45,CX45)</f>
        <v>1.9166666666666665</v>
      </c>
      <c r="Q45" s="311">
        <f t="shared" si="27"/>
        <v>1.6933333333333329</v>
      </c>
      <c r="R45" s="619"/>
      <c r="S45" s="315"/>
      <c r="T45" s="316"/>
      <c r="U45" s="211"/>
      <c r="V45" s="422"/>
      <c r="W45" s="400"/>
      <c r="X45" s="620"/>
      <c r="Y45">
        <f t="shared" si="28"/>
        <v>0</v>
      </c>
      <c r="Z45">
        <f t="shared" si="3"/>
        <v>0</v>
      </c>
      <c r="AA45" s="1">
        <f t="shared" si="4"/>
        <v>0</v>
      </c>
      <c r="AB45" s="1">
        <f t="shared" si="5"/>
        <v>0</v>
      </c>
      <c r="AC45" s="1">
        <f t="shared" si="6"/>
        <v>0</v>
      </c>
      <c r="AD45" s="1">
        <f t="shared" si="7"/>
        <v>0</v>
      </c>
      <c r="AE45" s="1">
        <f t="shared" si="8"/>
        <v>0</v>
      </c>
      <c r="AF45" s="1">
        <f>IF(C45="Orlov",Stamoplysninger!$E$20*7.4,0)</f>
        <v>0</v>
      </c>
      <c r="AG45">
        <f>IF(AND(C45="Skema 1",B45="ma"),Arbejdstidsoversigt!$E$77,"")</f>
        <v>8.11</v>
      </c>
      <c r="AH45" t="str">
        <f>IF(AND(C45="Skema 1",B45="ti"),Arbejdstidsoversigt!$E$78,"")</f>
        <v/>
      </c>
      <c r="AI45" t="str">
        <f>IF(AND(C45="Skema 1",B45="on"),Arbejdstidsoversigt!$E$79,"")</f>
        <v/>
      </c>
      <c r="AJ45" t="str">
        <f>IF(AND(C45="Skema 1",B45="to"),Arbejdstidsoversigt!$E$80,"")</f>
        <v/>
      </c>
      <c r="AK45" t="str">
        <f>IF(AND(C45="Skema 1",B45="fr"),Arbejdstidsoversigt!$E$81,"")</f>
        <v/>
      </c>
      <c r="AL45" t="str">
        <f>IF(AND(C45="Skema 2",B45="ma"),Arbejdstidsoversigt!$E$86,"")</f>
        <v/>
      </c>
      <c r="AM45" t="str">
        <f>IF(AND(C45="Skema 2",B45="ti"),Arbejdstidsoversigt!$E$87,"")</f>
        <v/>
      </c>
      <c r="AN45" t="str">
        <f>IF(AND(C45="Skema 2",B45="on"),Arbejdstidsoversigt!$E$88,"")</f>
        <v/>
      </c>
      <c r="AO45" t="str">
        <f>IF(AND(C45="Skema 2",B45="to"),Arbejdstidsoversigt!$E$89,"")</f>
        <v/>
      </c>
      <c r="AP45" t="str">
        <f>IF(AND(C45="Skema 2",B45="fr"),Arbejdstidsoversigt!$E$90,"")</f>
        <v/>
      </c>
      <c r="AQ45" t="str">
        <f>IF(AND(C45="Skema 3",B45="ma"),Arbejdstidsoversigt!$E$95,"")</f>
        <v/>
      </c>
      <c r="AR45" t="str">
        <f>IF(AND(C45="Skema 3",B45="ti"),Arbejdstidsoversigt!$E$96,"")</f>
        <v/>
      </c>
      <c r="AS45" t="str">
        <f>IF(AND(C45="Skema 3",B45="on"),Arbejdstidsoversigt!$E$97,"")</f>
        <v/>
      </c>
      <c r="AT45" t="str">
        <f>IF(AND(C45="Skema 3",B45="to"),Arbejdstidsoversigt!$E$98,"")</f>
        <v/>
      </c>
      <c r="AU45" t="str">
        <f>IF(AND(C45="Skema 3",B45="fr"),Arbejdstidsoversigt!$E$99,"")</f>
        <v/>
      </c>
      <c r="AV45" t="str">
        <f>IF(AND(C45="Skema 4",B45="ma"),Arbejdstidsoversigt!$E$104,"")</f>
        <v/>
      </c>
      <c r="AW45" t="str">
        <f>IF(AND(C45="Skema 4",B45="ti"),Arbejdstidsoversigt!$E$105,"")</f>
        <v/>
      </c>
      <c r="AX45" t="str">
        <f>IF(AND(C45="Skema 4",B45="on"),Arbejdstidsoversigt!$E$106,"")</f>
        <v/>
      </c>
      <c r="AY45" t="str">
        <f>IF(AND(C45="Skema 4",B45="to"),Arbejdstidsoversigt!$E$107,"")</f>
        <v/>
      </c>
      <c r="AZ45" t="str">
        <f>IF(AND(C45="Skema 4",B45="fr"),Arbejdstidsoversigt!$E$108,"")</f>
        <v/>
      </c>
      <c r="BA45" s="1">
        <f t="shared" si="9"/>
        <v>8.11</v>
      </c>
      <c r="BB45" s="224">
        <f t="shared" si="10"/>
        <v>194.64</v>
      </c>
      <c r="BC45" s="1">
        <f t="shared" si="29"/>
        <v>0</v>
      </c>
      <c r="BD45" s="1">
        <f t="shared" si="11"/>
        <v>0</v>
      </c>
      <c r="BE45" s="1">
        <f t="shared" si="12"/>
        <v>0</v>
      </c>
      <c r="BF45" s="1">
        <f t="shared" si="13"/>
        <v>0</v>
      </c>
      <c r="BG45" s="207">
        <f>IF(AND(C45="Skema 1",B45="ma"),Skemaoplysninger!$E$46,"")</f>
        <v>0.1875</v>
      </c>
      <c r="BH45" s="207" t="str">
        <f>IF(AND(C45="Skema 1",B45="ti"),Skemaoplysninger!$G$46,"")</f>
        <v/>
      </c>
      <c r="BI45" s="207" t="str">
        <f>IF(AND(C45="Skema 1",B45="on"),Skemaoplysninger!$I$46,"")</f>
        <v/>
      </c>
      <c r="BJ45" s="207" t="str">
        <f>IF(AND(C45="Skema 1",B45="to"),Skemaoplysninger!$K$46,"")</f>
        <v/>
      </c>
      <c r="BK45" s="207" t="str">
        <f>IF(AND(C45="Skema 1",B45="fr"),Skemaoplysninger!$M$46,"")</f>
        <v/>
      </c>
      <c r="BL45" s="207" t="str">
        <f>IF(AND(C45="Skema 2",B45="ma"),Skemaoplysninger!$S$46,"")</f>
        <v/>
      </c>
      <c r="BM45" s="207" t="str">
        <f>IF(AND(C45="Skema 2",B45="ti"),Skemaoplysninger!$U$46,"")</f>
        <v/>
      </c>
      <c r="BN45" s="207" t="str">
        <f>IF(AND(C45="Skema 2",B45="on"),Skemaoplysninger!$W$46,"")</f>
        <v/>
      </c>
      <c r="BO45" s="207" t="str">
        <f>IF(AND(C45="Skema 2",B45="to"),Skemaoplysninger!$Y$46,"")</f>
        <v/>
      </c>
      <c r="BP45" s="207" t="str">
        <f>IF(AND(C45="Skema 2",B45="fr"),Skemaoplysninger!$AA$46,"")</f>
        <v/>
      </c>
      <c r="BQ45" s="207" t="str">
        <f>IF(AND(C45="Skema 3",B45="ma"),Skemaoplysninger!$AG$46,"")</f>
        <v/>
      </c>
      <c r="BR45" s="207" t="str">
        <f>IF(AND(C45="Skema 3",B45="ti"),Skemaoplysninger!$AI$46,"")</f>
        <v/>
      </c>
      <c r="BS45" s="207" t="str">
        <f>IF(AND(C45="Skema 3",B45="on"),Skemaoplysninger!$AK$46,"")</f>
        <v/>
      </c>
      <c r="BT45" s="207" t="str">
        <f>IF(AND(C45="Skema 3",B45="to"),Skemaoplysninger!$AM$46,"")</f>
        <v/>
      </c>
      <c r="BU45" s="207" t="str">
        <f>IF(AND(C45="Skema 3",B45="fr"),Skemaoplysninger!$AO$46,"")</f>
        <v/>
      </c>
      <c r="BV45" s="207" t="str">
        <f>IF(AND(C45="Skema 4",B45="ma"),Skemaoplysninger!$AU$46,"")</f>
        <v/>
      </c>
      <c r="BW45" s="207" t="str">
        <f>IF(AND(C45="Skema 4",B45="ti"),Skemaoplysninger!$AW$46,"")</f>
        <v/>
      </c>
      <c r="BX45" s="207" t="str">
        <f>IF(AND(C45="Skema 4",B45="on"),Skemaoplysninger!$AY$46,"")</f>
        <v/>
      </c>
      <c r="BY45" s="207" t="str">
        <f>IF(AND(C45="Skema 4",B45="to"),Skemaoplysninger!$BA$46,"")</f>
        <v/>
      </c>
      <c r="BZ45" s="207" t="str">
        <f>IF(AND(C45="Skema 4",B45="fr"),Skemaoplysninger!$BC$46,"")</f>
        <v/>
      </c>
      <c r="CA45" s="1">
        <f t="shared" si="30"/>
        <v>4.5</v>
      </c>
      <c r="CB45" s="1">
        <f t="shared" si="14"/>
        <v>0</v>
      </c>
      <c r="CC45" s="1">
        <f t="shared" si="15"/>
        <v>0</v>
      </c>
      <c r="CD45" s="207">
        <f>IF(AND(C45="Skema 1",B45="ma"),Skemaoplysninger!$E$47,"")</f>
        <v>7.9861111111111105E-2</v>
      </c>
      <c r="CE45" s="207" t="str">
        <f>IF(AND(C45="Skema 1",B45="ti"),Skemaoplysninger!$G$47,"")</f>
        <v/>
      </c>
      <c r="CF45" s="207" t="str">
        <f>IF(AND(C45="Skema 1",B45="on"),Skemaoplysninger!$I$47,"")</f>
        <v/>
      </c>
      <c r="CG45" s="207" t="str">
        <f>IF(AND(C45="Skema 1",B45="to"),Skemaoplysninger!$K$47,"")</f>
        <v/>
      </c>
      <c r="CH45" s="207" t="str">
        <f>IF(AND(C45="Skema 1",B45="fr"),Skemaoplysninger!$M$47,"")</f>
        <v/>
      </c>
      <c r="CI45" s="207" t="str">
        <f>IF(AND(C45="Skema 2",B45="ma"),Skemaoplysninger!$S$47,"")</f>
        <v/>
      </c>
      <c r="CJ45" s="207" t="str">
        <f>IF(AND(C45="Skema 2",B45="ti"),Skemaoplysninger!$U$47,"")</f>
        <v/>
      </c>
      <c r="CK45" s="207" t="str">
        <f>IF(AND(C45="Skema 2",B45="on"),Skemaoplysninger!$W$47,"")</f>
        <v/>
      </c>
      <c r="CL45" s="207" t="str">
        <f>IF(AND(C45="Skema 2",B45="to"),Skemaoplysninger!$Y$47,"")</f>
        <v/>
      </c>
      <c r="CM45" s="207" t="str">
        <f>IF(AND(C45="Skema 2",B45="fr"),Skemaoplysninger!$AA$47,"")</f>
        <v/>
      </c>
      <c r="CN45" s="207" t="str">
        <f>IF(AND(C45="Skema 3",B45="ma"),Skemaoplysninger!$AG$47,"")</f>
        <v/>
      </c>
      <c r="CO45" s="207" t="str">
        <f>IF(AND(C45="Skema 3",B45="ti"),Skemaoplysninger!$AI$47,"")</f>
        <v/>
      </c>
      <c r="CP45" s="207" t="str">
        <f>IF(AND(C45="Skema 3",B45="on"),Skemaoplysninger!$AK$47,"")</f>
        <v/>
      </c>
      <c r="CQ45" s="207" t="str">
        <f>IF(AND(C45="Skema 3",B45="to"),Skemaoplysninger!$AM$47,"")</f>
        <v/>
      </c>
      <c r="CR45" s="207" t="str">
        <f>IF(AND(C45="Skema 3",B45="fr"),Skemaoplysninger!$AO$47,"")</f>
        <v/>
      </c>
      <c r="CS45" s="207" t="str">
        <f>IF(AND(C45="Skema 4",B45="ma"),Skemaoplysninger!$AU$47,"")</f>
        <v/>
      </c>
      <c r="CT45" s="207" t="str">
        <f>IF(AND(C45="Skema 4",B45="ti"),Skemaoplysninger!$AW$47,"")</f>
        <v/>
      </c>
      <c r="CU45" s="207" t="str">
        <f>IF(AND(C45="Skema 4",B45="on"),Skemaoplysninger!$AY$47,"")</f>
        <v/>
      </c>
      <c r="CV45" s="207" t="str">
        <f>IF(AND(C45="Skema 4",B45="to"),Skemaoplysninger!$BA$47,"")</f>
        <v/>
      </c>
      <c r="CW45" s="207" t="str">
        <f>IF(AND(C45="Skema 4",B45="fr"),Skemaoplysninger!$BC$47,"")</f>
        <v/>
      </c>
      <c r="CX45" s="243">
        <f>IF(Stamoplysninger!$H$34="NEJ",SUM(CD45:CW45)*24+CB45+CC45,0)</f>
        <v>1.9166666666666665</v>
      </c>
      <c r="CY45" s="243">
        <f>IF(C45="Skema 1",Stamoplysninger!$H$35/200,0)</f>
        <v>0</v>
      </c>
      <c r="CZ45" s="243">
        <f>IF(C45="Skema 2",Stamoplysninger!$H$35/200,0)</f>
        <v>0</v>
      </c>
      <c r="DA45" s="243">
        <f>IF(C45="Skema 3",Stamoplysninger!$H$35/200,0)</f>
        <v>0</v>
      </c>
      <c r="DB45" s="243">
        <f>IF(C45="Skema 4",Stamoplysninger!$H$35/200,0)</f>
        <v>0</v>
      </c>
      <c r="DC45" s="243">
        <f>IF(C45="fagdag",Stamoplysninger!$H$35/200,0)</f>
        <v>0</v>
      </c>
      <c r="DD45" s="243">
        <f>IF(C45="emnedag",Stamoplysninger!$H$35/200,0)</f>
        <v>0</v>
      </c>
      <c r="DE45" s="243">
        <f>IF(C45="lejrskole",Stamoplysninger!$H$35/200,0)</f>
        <v>0</v>
      </c>
      <c r="DF45" s="243">
        <f>IF(C45="ekskursion",Stamoplysninger!$H$35/200,0)</f>
        <v>0</v>
      </c>
      <c r="DG45" s="243">
        <f t="shared" si="31"/>
        <v>0</v>
      </c>
      <c r="DH45" t="str">
        <f t="shared" si="32"/>
        <v/>
      </c>
      <c r="DI45">
        <f t="shared" si="33"/>
        <v>0</v>
      </c>
      <c r="DJ45">
        <f t="shared" si="34"/>
        <v>0</v>
      </c>
      <c r="DK45" t="str">
        <f t="shared" si="16"/>
        <v/>
      </c>
      <c r="DL45" t="str">
        <f t="shared" si="16"/>
        <v/>
      </c>
      <c r="DM45" t="str">
        <f t="shared" si="35"/>
        <v/>
      </c>
      <c r="DN45" t="str">
        <f t="shared" si="36"/>
        <v/>
      </c>
      <c r="DO45" s="628">
        <f>IF(AND(Stamoplysninger!$B$27="Ulempetillæg udbetales med 25% af nettotimelønnen.",H45&gt;0),(R45/4),0)</f>
        <v>0</v>
      </c>
      <c r="DP45">
        <f>IF(AND(AND(Stamoplysninger!$B$27="Ulempetillæg udbetales med 25% af nettotimelønnen.",I45="X",J45="")),K45/4,0)</f>
        <v>0</v>
      </c>
      <c r="DQ45">
        <f>IF(AND(Stamoplysninger!$B$27="Ulempetillæg udbetales med 25% af nettotimelønnen.",U45="X"),(X45/4),0)</f>
        <v>0</v>
      </c>
      <c r="DR45">
        <f>IF(AND(AND(AND(Stamoplysninger!$B$27="Ulempetillæg udbetales med 25% af nettotimelønnen.",S45="X",I45="X",J45=""))),V45/4,0)</f>
        <v>0</v>
      </c>
      <c r="DS45" s="647">
        <f>IF(AND(AND(Stamoplysninger!$B$27="Ulempetillæg udbetales med 25% af nettotimelønnen.",C45="ikke relevant",H45&gt;"")),(R45)/4,0)</f>
        <v>0</v>
      </c>
      <c r="DT45" s="647">
        <f>IF(AND(AND(Stamoplysninger!$B$27="Ulempetillæg udbetales med 25% af nettotimelønnen.",I45="X",C45="Ikke relevant")),K45/4,0)</f>
        <v>0</v>
      </c>
      <c r="DU45" s="647">
        <f>IF(AND(AND(Stamoplysninger!$B$27="Ulempetillæg udbetales med 25% af nettotimelønnen.",C45="ikke relevant",U45="X")),(X45/4),0)</f>
        <v>0</v>
      </c>
      <c r="DV45" s="648">
        <f>IF(AND(AND(AND(Stamoplysninger!$B$27="Ulempetillæg udbetales med 25% af nettotimelønnen.",I45="X",C45="Ikke relevant",U45="X"))),X45/4,0)</f>
        <v>0</v>
      </c>
      <c r="DW45" s="628">
        <f>IF(AND(Stamoplysninger!$B$27="Ulempetillæg afspadseres med 25%(Kræver en aftale imellem ledelsen og den ansatte)",H45&gt;0),R45/4,0)</f>
        <v>0</v>
      </c>
      <c r="DX45">
        <f>IF(AND(AND(Stamoplysninger!$B$27="Ulempetillæg afspadseres med 25%(Kræver en aftale imellem ledelsen og den ansatte)",I45="X",J45="")),K45/4,0)</f>
        <v>0</v>
      </c>
      <c r="DY45">
        <f>IF(AND(Stamoplysninger!$B$27="Ulempetillæg afspadseres med 25%(Kræver en aftale imellem ledelsen og den ansatte)",U45="X"),X45/4,0)</f>
        <v>0</v>
      </c>
      <c r="DZ45">
        <f>IF(AND(AND(AND(Stamoplysninger!$B$27="Ulempetillæg afspadseres med 25%(Kræver en aftale imellem ledelsen og den ansatte)",I45="X",S45="X",J45=""))),V45/4,0)</f>
        <v>0</v>
      </c>
      <c r="EA45" s="647">
        <f>IF(AND(Stamoplysninger!$B$27="Ulempetillæg afspadseres med 25%(Kræver en aftale imellem ledelsen og den ansatte)",C45="ikke relevant"),(R45)/4,0)</f>
        <v>0</v>
      </c>
      <c r="EB45" s="647">
        <f>IF(AND(AND(Stamoplysninger!$B$27="Ulempetillæg afspadseres med 25%(Kræver en aftale imellem ledelsen og den ansatte)",I45="X",C45="Ikke relevant")),K45/4,0)</f>
        <v>0</v>
      </c>
      <c r="EC45" s="647">
        <f>IF(AND(AND(Stamoplysninger!$B$27="Ulempetillæg afspadseres med 25%(Kræver en aftale imellem ledelsen og den ansatte)",U45="X",C45="Ikke relevant")),X45/4,0)</f>
        <v>0</v>
      </c>
      <c r="ED45" s="647">
        <f>IF(AND(AND(AND(Stamoplysninger!$B$27="Ulempetillæg afspadseres med 25%(Kræver en aftale imellem ledelsen og den ansatte)",I45="X",C45="Ikke relevant",S45="X"))),V45/4,0)</f>
        <v>0</v>
      </c>
      <c r="EE45" s="277">
        <f>IF(AND(AND(Stamoplysninger!$B$31="Weekendtimer og weekendtillæg afspadseres.",I45="X",J45="")),K45*1.5,0)</f>
        <v>0</v>
      </c>
      <c r="EF45" s="245">
        <f>IF(AND(AND(AND(Stamoplysninger!$B$31="Weekendtimer og weekendtillæg afspadseres.",I45="X",S45="X",J45=""))),V45*1.5,0)</f>
        <v>0</v>
      </c>
      <c r="EG45" s="650">
        <f>IF(AND(AND(Stamoplysninger!$B$31="Weekendtimer og weekendtillæg afspadseres.",I45="X",C45="ikke relevant")),K45*1.5,0)</f>
        <v>0</v>
      </c>
      <c r="EH45" s="651">
        <f>IF(AND(AND(AND(Stamoplysninger!$B$31="Weekendtimer og weekendtillæg afspadseres.",I45="X",C45="ikke relevant",S45="X"))),(V45*1.5),0)</f>
        <v>0</v>
      </c>
      <c r="EI45" s="277">
        <f>IF(AND(AND(Stamoplysninger!$B$31="Weekendtimer og weekendtillæg afspadseres.",I45="X",J45="X")),K45,0)</f>
        <v>0</v>
      </c>
      <c r="EJ45" s="718">
        <f>IF(AND(AND(AND(Stamoplysninger!$B$31="Weekendtimer og weekendtillæg afspadseres.",I45="X",S45="X",J45="X"))),V45,0)</f>
        <v>0</v>
      </c>
      <c r="EK45" s="650">
        <f>IF(AND(AND(Stamoplysninger!$B$31="Weekendtimer og weekendtillæg afspadseres.",M45="X",G45="ikke relevant")),O45*1.5,0)</f>
        <v>0</v>
      </c>
      <c r="EL45" s="651">
        <f>IF(AND(AND(AND(Stamoplysninger!$B$31="Weekendtimer og weekendtillæg afspadseres.",M45="X",G45="ikke relevant",W45="X"))),(Z45*1.5),0)</f>
        <v>0</v>
      </c>
      <c r="EM45" s="277">
        <f>IF(AND(AND(Stamoplysninger!$B$31="Weekendtimer og weekendtillæg udbetales.",I45="X",J45="")),K45*1.5,0)</f>
        <v>0</v>
      </c>
      <c r="EN45" s="245">
        <f>IF(AND(AND(AND(Stamoplysninger!$B$31="Weekendtimer og weekendtillæg udbetales.",I45="X",S45="X",J45=""))),V45*1.5,0)</f>
        <v>0</v>
      </c>
      <c r="EO45" s="650">
        <f>IF(AND(AND(Stamoplysninger!$B$31="Weekendtimer og weekendtillæg udbetales.",I45="X",C45="ikke relevant")),K45*1.5,0)</f>
        <v>0</v>
      </c>
      <c r="EP45" s="651">
        <f>IF(AND(AND(AND(Stamoplysninger!$B$31="Weekendtimer og weekendtillæg udbetales.",I45="X",C45="ikke relevant",S45="X"))),(V45*1.5),0)</f>
        <v>0</v>
      </c>
      <c r="EQ45" s="277">
        <f>IF(AND(AND(Stamoplysninger!$B$31="Weekendtimer og weekendtillæg udbetales.",I45="X",J45="X")),K45,0)</f>
        <v>0</v>
      </c>
      <c r="ER45" s="718">
        <f>IF(AND(AND(AND(Stamoplysninger!$B$31="Weekendtimer og weekendtillæg udbetales.",I45="X",S45="X",J45="x"))),V45,0)</f>
        <v>0</v>
      </c>
      <c r="ES45" s="650">
        <f>IF(AND(AND(Stamoplysninger!$B$31="Weekendtimer og weekendtillæg udbetales.",M45="X",G45="ikke relevant")),O45*1.5,0)</f>
        <v>0</v>
      </c>
      <c r="ET45" s="651">
        <f>IF(AND(AND(AND(Stamoplysninger!$B$31="Weekendtimer og weekendtillæg udbetales.",M45="X",G45="ikke relevant",W45="X"))),(Z45*1.5),0)</f>
        <v>0</v>
      </c>
      <c r="EU45" s="277">
        <f>IF(AND(AND(Stamoplysninger!$B$31="Der er indgået lokalaftale omkring weekendtimer.(Kræver aftale med TR/FSL) Weekendtillæg afspadseres.",I45="X",J45="")),K45*0.5,0)</f>
        <v>0</v>
      </c>
      <c r="EV45" s="245">
        <f>IF(AND(AND(AND(Stamoplysninger!$B$31="Der er indgået lokalaftale omkring weekendtimer.(Kræver aftale med TR/FSL) Weekendtillæg afspadseres.",I45="X",S45="X",J45=""))),V45*0.5,0)</f>
        <v>0</v>
      </c>
      <c r="EW45" s="650">
        <f>IF(AND(AND(Stamoplysninger!$B$31="Der er indgået lokalaftale omkring weekendtimer.(Kræver aftale med TR/FSL) Weekendtillæg afspadseres.",I45="X",C45="ikke relevant")),K45*0.5,0)</f>
        <v>0</v>
      </c>
      <c r="EX45" s="651">
        <f>IF(AND(AND(AND(Stamoplysninger!$B$31="Der er indgået lokalaftale omkring weekendtimer.(Kræver aftale med TR/FSL) Weekendtillæg afspadseres.",I45="X",C45="ikke relevant",S45="X"))),(V45*0.5),0)</f>
        <v>0</v>
      </c>
      <c r="EY45" s="277">
        <f>IF(AND(AND(Stamoplysninger!$B$31="Der er indgået lokalaftale omkring weekendtimer(Kræver aftale med TR/FSL). Weekendtillæg udbetales.",I45="X",J45="")),K45*0.5,0)</f>
        <v>0</v>
      </c>
      <c r="EZ45" s="245">
        <f>IF(AND(AND(AND(Stamoplysninger!$B$31="Der er indgået lokalaftale omkring weekendtimer(Kræver aftale med TR/FSL). Weekendtillæg udbetales.",I45="X",S45="X",J45=""))),V45*0.5,0)</f>
        <v>0</v>
      </c>
      <c r="FA45" s="650">
        <f>IF(AND(AND(Stamoplysninger!$B$31="Der er indgået lokalaftale omkring weekendtimer(Kræver aftale med TR/FSL). Weekendtillæg udbetales.",I45="X",C45="ikke relevant")),K45*0.5,0)</f>
        <v>0</v>
      </c>
      <c r="FB45" s="651">
        <f>IF(AND(AND(AND(Stamoplysninger!$B$31="Der er indgået lokalaftale omkring weekendtimer(Kræver aftale med TR/FSL). Weekendtillæg udbetales.",I45="X",C45="ikke relevant",S45="X"))),(V45*0.5),0)</f>
        <v>0</v>
      </c>
      <c r="FC45" s="277">
        <f>IF(AND(Stamoplysninger!$B$31="Der er indgået lokalaftale omkring weekendtillæg(Kræver aftale med TR/FSL). Weekendtimerne afspadseres.",I45="X"),K45,0)</f>
        <v>0</v>
      </c>
      <c r="FD45" s="245">
        <f>IF(AND(AND(Stamoplysninger!$B$31="Der er indgået lokalaftale omkring weekendtillæg(Kræver aftale med TR/FSL). Weekendtimerne afspadseres.",I45="X",S45="X")),V45,0)</f>
        <v>0</v>
      </c>
      <c r="FE45" s="650">
        <f>IF(AND(AND(Stamoplysninger!$B$31="Der er indgået lokalaftale omkring weekendtillæg(Kræver aftale med TR/FSL). Weekendtimerne afspadseres..",I45="X",C45="ikke relevant")),K45,0)</f>
        <v>0</v>
      </c>
      <c r="FF45" s="651">
        <f>IF(AND(AND(AND(Stamoplysninger!$B$31="Der er indgået lokalaftale omkring weekendtillæg(Kræver aftale med TR/FSL). Weekendtimerne afspadseres.",I45="X",C45="ikke relevant",S45="X"))),(V45),0)</f>
        <v>0</v>
      </c>
      <c r="FG45" s="277">
        <f>IF(AND(Stamoplysninger!$B$31="Der er indgået lokalaftale omkring weekendtillæg(Kræver aftale med TR/FSL). Weekendtimerne udbetales.",I45="X"),K45,0)</f>
        <v>0</v>
      </c>
      <c r="FH45" s="245">
        <f>IF(AND(AND(Stamoplysninger!$B$31="Der er indgået lokalaftale omkring weekendtillæg(Kræver aftale med TR/FSL). Weekendtimerne udbetales.",I45="X",S45="X")),V45,0)</f>
        <v>0</v>
      </c>
      <c r="FI45" s="650">
        <f>IF(AND(AND(Stamoplysninger!$B$31="Der er indgået lokalaftale omkring weekendtillæg(Kræver aftale med TR/FSL). Weekendtimerne udbetales.",I45="X",C45="ikke relevant")),K45,0)</f>
        <v>0</v>
      </c>
      <c r="FJ45" s="651">
        <f>IF(AND(AND(AND(Stamoplysninger!$B$31="Der er indgået lokalaftale omkring weekendtillæg(Kræver aftale med TR/FSL). Weekendtimerne udbetales.",I45="X",C45="ikke relevant",S45="X"))),(V45),0)</f>
        <v>0</v>
      </c>
      <c r="FK45" s="277">
        <f>IF(AND(AND(Stamoplysninger!$B$31="Weekendtimer og weekendtillæg afspadseres.",I45="X",J45="")),K45,0)</f>
        <v>0</v>
      </c>
      <c r="FL45" s="245">
        <f>IF(AND(Stamoplysninger!$B$31="Weekendtimer og weekendtillæg afspadseres.",Y45="X"),(AA45+AL45)/2,0)</f>
        <v>0</v>
      </c>
      <c r="FM45" s="650">
        <f>IF(AND(AND(Stamoplysninger!$B$31="Weekendtimer og weekendtillæg afspadseres.",I45="X",C45="ikke relevant")),K45,0)</f>
        <v>0</v>
      </c>
      <c r="FN45" s="651">
        <f>IF(AND(AND(Stamoplysninger!$B$31="Weekendtimer og weekendtillæg afspadseres.",Y45="X",S45="ikke relevant")),(AA45+AL45)/2,0)</f>
        <v>0</v>
      </c>
      <c r="FO45" s="277">
        <f>IF(AND(AND(Stamoplysninger!$B$31="Weekendtimer og weekendtillæg afspadseres.",I45="X",J45="X")),K45,0)</f>
        <v>0</v>
      </c>
      <c r="FP45" s="245">
        <f>IF(AND(Stamoplysninger!$B$31="Weekendtimer og weekendtillæg afspadseres.",AC45="X"),(AE45+AP45)/2,0)</f>
        <v>0</v>
      </c>
      <c r="FQ45" s="650">
        <f>IF(AND(AND(Stamoplysninger!$B$31="Weekendtimer og weekendtillæg afspadseres.",M45="X",G45="ikke relevant")),O45,0)</f>
        <v>0</v>
      </c>
      <c r="FR45" s="651">
        <f>IF(AND(AND(Stamoplysninger!$B$31="Weekendtimer og weekendtillæg afspadseres.",AC45="X",W45="ikke relevant")),(AE45+AP45)/2,0)</f>
        <v>0</v>
      </c>
      <c r="FS45" s="277">
        <f>IF(AND(Stamoplysninger!$B$31="Der er indgået lokalaftale omkring weekendtillæg(Kræver aftale med TR/FSL). Weekendtimerne afspadseres.",I45="X"),K45,0)</f>
        <v>0</v>
      </c>
      <c r="FT45" s="650">
        <f>IF(AND(AND(Stamoplysninger!$B$31="Der er indgået lokalaftale omkring weekendtillæg(Kræver aftale med TR/FSL). Weekendtimerne afspadseres.",I45="X",C45="ikke relevant")),K45,0)</f>
        <v>0</v>
      </c>
      <c r="FU45" s="277">
        <f>IF(AND(Stamoplysninger!$B$31="Weekendtimer og weekendtillæg udbetales.",I45="X"),K45,0)</f>
        <v>0</v>
      </c>
      <c r="FV45" s="245">
        <f>IF(AND(Stamoplysninger!$B$31="Weekendtimer og weekendtillæg udbetales.",AA45="X"),(AC45+AN45)/2,0)</f>
        <v>0</v>
      </c>
      <c r="FW45" s="650">
        <f>IF(AND(AND(Stamoplysninger!$B$31="Weekendtimer og weekendtillæg udbetales.",I45="X",C45="ikke relevant")),K45,0)</f>
        <v>0</v>
      </c>
      <c r="FX45" s="664">
        <f>IF(AND(AND(Stamoplysninger!$B$31="Weekendtimer og weekendtillæg udbetales.",AA45="X",U45="ikke relevant")),(AC45+AN45)/2,0)</f>
        <v>0</v>
      </c>
      <c r="FY45" s="277">
        <f t="shared" si="17"/>
        <v>0</v>
      </c>
      <c r="FZ45" s="634">
        <f t="shared" si="18"/>
        <v>0</v>
      </c>
      <c r="GA45">
        <f t="shared" si="19"/>
        <v>0</v>
      </c>
      <c r="GB45" s="277">
        <f>IF(AND(Stamoplysninger!$B$31="Der er indgået lokalaftale omkring weekendtimer.(Kræver aftale med TR/FSL) Weekendtillæg afspadseres.",I45="X"),K45,0)</f>
        <v>0</v>
      </c>
      <c r="GC45" s="650">
        <f>IF(AND(AND(Stamoplysninger!$B$31="Der er indgået lokalaftale omkring weekendtimer.(Kræver aftale med TR/FSL) Weekendtillæg afspadseres.",I45="X",C45="ikke relevant")),K45,0)</f>
        <v>0</v>
      </c>
      <c r="GD45" s="277">
        <f>IF(AND(Stamoplysninger!$B$31="Der er indgået lokalaftale omkring weekendtimer(Kræver aftale med TR/FSL). Weekendtillæg udbetales.",I45="X"),K45,0)</f>
        <v>0</v>
      </c>
      <c r="GE45" s="650">
        <f>IF(AND(AND(Stamoplysninger!$B$31="Der er indgået lokalaftale omkring weekendtimer(Kræver aftale med TR/FSL). Weekendtillæg udbetales.",I45="X",C45="ikke relevant")),K45,0)</f>
        <v>0</v>
      </c>
      <c r="GF45" s="277">
        <f>IF(AND(Stamoplysninger!$B$31="Der er indgået lokalaftale omkring weekendtillæg(Kræver aftale med TR/FSL). Weekendtimerne udbetales.",I45="X"),K45,0)</f>
        <v>0</v>
      </c>
      <c r="GG45" s="650">
        <f>IF(AND(AND(Stamoplysninger!$B$31="Der er indgået lokalaftale omkring weekendtillæg(Kræver aftale med TR/FSL). Weekendtimerne udbetales.",I45="X",C45="ikke relevant")),K45,0)</f>
        <v>0</v>
      </c>
      <c r="GH45" s="277">
        <f>IF(AND(Stamoplysninger!$B$31="Der er indgået lokalaftale omkring weekendtimer og weekendtillæg.(Kræver aftale med TR/FSL).",I45="X"),K45,0)</f>
        <v>0</v>
      </c>
      <c r="GI45" s="650">
        <f>IF(AND(AND(Stamoplysninger!$B$31="Der er indgået lokalaftale omkring weekendtimer og weekendtillæg.(Kræver aftale med TR/FSL).",I45="X",C45="ikke relevant")),K45,0)</f>
        <v>0</v>
      </c>
      <c r="GJ45">
        <f t="shared" si="37"/>
        <v>0</v>
      </c>
      <c r="GK45">
        <f t="shared" si="20"/>
        <v>0</v>
      </c>
      <c r="GL45">
        <f t="shared" si="21"/>
        <v>0</v>
      </c>
      <c r="GM45">
        <f t="shared" si="22"/>
        <v>0</v>
      </c>
      <c r="GN45" s="713">
        <f t="shared" si="23"/>
        <v>0</v>
      </c>
      <c r="GO45">
        <f t="shared" si="38"/>
        <v>0</v>
      </c>
      <c r="GP45" s="647">
        <f t="shared" si="39"/>
        <v>0</v>
      </c>
    </row>
    <row r="46" spans="1:198" ht="17" thickBot="1">
      <c r="A46" s="1100" t="s">
        <v>257</v>
      </c>
      <c r="B46" s="1101"/>
      <c r="C46" s="1101"/>
      <c r="D46" s="1101"/>
      <c r="E46" s="1101"/>
      <c r="F46" s="1101"/>
      <c r="G46" s="1101"/>
      <c r="H46" s="1101"/>
      <c r="I46" s="1102"/>
      <c r="J46" s="306"/>
      <c r="K46" s="314"/>
      <c r="L46" s="314"/>
      <c r="M46" s="314"/>
      <c r="N46" s="314">
        <f>SUM(N15:N45)</f>
        <v>140.28999999999996</v>
      </c>
      <c r="O46" s="314">
        <f>SUM(O15:O45)</f>
        <v>60.75</v>
      </c>
      <c r="P46" s="314">
        <f>SUM(P15:P45)</f>
        <v>22.25</v>
      </c>
      <c r="Q46" s="314">
        <f>SUM(Q15:Q45)</f>
        <v>45.289999999999992</v>
      </c>
      <c r="R46" s="750">
        <f>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IF(H44&gt;0,R44,0)+IF(H45&gt;0,R45,0)</f>
        <v>0</v>
      </c>
      <c r="S46" s="419"/>
      <c r="T46" s="420"/>
      <c r="U46" s="420"/>
      <c r="V46" s="420">
        <f>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IF(S44="x",V44,0)+IF(S45="x",V45,0)</f>
        <v>0</v>
      </c>
      <c r="W46" s="420">
        <f>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IF(T44="x",W44,0)+IF(T45="x",W45,0)</f>
        <v>0</v>
      </c>
      <c r="X46" s="421">
        <f>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IF(U44="x",X44,0)+IF(U45="x",X45,0)</f>
        <v>0</v>
      </c>
      <c r="Y46" s="208">
        <f>SUM(Y15:Y45)</f>
        <v>0</v>
      </c>
      <c r="Z46" s="386">
        <f>Z15+Z16+Z17+Z18+Z19+Z20+Z21+Z22+Z23+Z24+Z25+Z26+Z27+Z28+Z29+Z30+Z31+Z32+Z33+Z34+Z35+Z36+Z37+Z38+Z39+Z40+Z41+Z42+Z43+Z44+Z45</f>
        <v>0</v>
      </c>
      <c r="AA46" s="229">
        <f t="shared" ref="AA46:AF46" si="40">SUM(AA15:AA45)</f>
        <v>7</v>
      </c>
      <c r="AB46" s="229">
        <f t="shared" si="40"/>
        <v>0</v>
      </c>
      <c r="AC46" s="229">
        <f t="shared" si="40"/>
        <v>12</v>
      </c>
      <c r="AD46" s="229">
        <f t="shared" si="40"/>
        <v>0</v>
      </c>
      <c r="AE46" s="229">
        <f t="shared" si="40"/>
        <v>0</v>
      </c>
      <c r="AF46" s="229">
        <f t="shared" si="40"/>
        <v>0</v>
      </c>
      <c r="BA46" s="1">
        <f>SUM(BA15:BA45)</f>
        <v>140.28999999999996</v>
      </c>
      <c r="BB46" s="109"/>
      <c r="BC46" s="229">
        <f>SUM(BC15:BC45)</f>
        <v>0</v>
      </c>
      <c r="BD46" s="229">
        <f>SUM(BD15:BD45)</f>
        <v>0</v>
      </c>
      <c r="BE46" s="229">
        <f>SUM(BE15:BE45)</f>
        <v>0</v>
      </c>
      <c r="BF46" s="229">
        <f>SUM(BF15:BF45)</f>
        <v>3</v>
      </c>
      <c r="CA46" s="229">
        <f>SUM(CA15:CA45)</f>
        <v>60.75</v>
      </c>
      <c r="CB46" s="229">
        <f>SUM(CB15:CB45)</f>
        <v>0</v>
      </c>
      <c r="CC46" s="229">
        <f>SUM(CC15:CC45)</f>
        <v>1</v>
      </c>
      <c r="CX46" s="243"/>
      <c r="CY46" s="243">
        <f t="shared" ref="CY46:DG46" si="41">SUM(CY15:CY45)</f>
        <v>0</v>
      </c>
      <c r="CZ46" s="243">
        <f t="shared" si="41"/>
        <v>0</v>
      </c>
      <c r="DA46" s="243">
        <f t="shared" si="41"/>
        <v>0</v>
      </c>
      <c r="DB46" s="243">
        <f t="shared" si="41"/>
        <v>0</v>
      </c>
      <c r="DC46" s="243">
        <f t="shared" si="41"/>
        <v>0</v>
      </c>
      <c r="DD46" s="243">
        <f t="shared" si="41"/>
        <v>0</v>
      </c>
      <c r="DE46" s="243">
        <f t="shared" si="41"/>
        <v>0</v>
      </c>
      <c r="DF46" s="243">
        <f t="shared" si="41"/>
        <v>0</v>
      </c>
      <c r="DG46" s="243">
        <f t="shared" si="41"/>
        <v>0</v>
      </c>
      <c r="DL46" t="str">
        <f t="shared" si="16"/>
        <v/>
      </c>
      <c r="DM46" t="str">
        <f t="shared" si="35"/>
        <v/>
      </c>
      <c r="DN46" t="str">
        <f>DK46&amp;" "&amp;DL46&amp;" "&amp;DM46</f>
        <v xml:space="preserve">  </v>
      </c>
      <c r="DO46" s="645">
        <f>SUM(DO15:DO45)</f>
        <v>0</v>
      </c>
      <c r="DP46" s="646">
        <f t="shared" ref="DP46:GI46" si="42">SUM(DP15:DP45)</f>
        <v>0</v>
      </c>
      <c r="DQ46" s="646">
        <f t="shared" si="42"/>
        <v>0</v>
      </c>
      <c r="DR46" s="646">
        <f t="shared" si="42"/>
        <v>0</v>
      </c>
      <c r="DS46" s="649">
        <f t="shared" si="42"/>
        <v>0</v>
      </c>
      <c r="DT46" s="649">
        <f t="shared" si="42"/>
        <v>0</v>
      </c>
      <c r="DU46" s="646">
        <f t="shared" si="42"/>
        <v>0</v>
      </c>
      <c r="DV46" s="649">
        <f t="shared" si="42"/>
        <v>0</v>
      </c>
      <c r="DW46" s="646">
        <f t="shared" si="42"/>
        <v>0</v>
      </c>
      <c r="DX46" s="646">
        <f t="shared" si="42"/>
        <v>0</v>
      </c>
      <c r="DY46" s="646">
        <f t="shared" si="42"/>
        <v>0</v>
      </c>
      <c r="DZ46" s="646">
        <f t="shared" si="42"/>
        <v>0</v>
      </c>
      <c r="EA46" s="649">
        <f t="shared" si="42"/>
        <v>0</v>
      </c>
      <c r="EB46" s="649">
        <f t="shared" si="42"/>
        <v>0</v>
      </c>
      <c r="EC46" s="649">
        <f t="shared" si="42"/>
        <v>0</v>
      </c>
      <c r="ED46" s="649">
        <f t="shared" si="42"/>
        <v>0</v>
      </c>
      <c r="EE46" s="646">
        <f t="shared" si="42"/>
        <v>0</v>
      </c>
      <c r="EF46" s="646">
        <f t="shared" si="42"/>
        <v>0</v>
      </c>
      <c r="EG46" s="649">
        <f t="shared" si="42"/>
        <v>0</v>
      </c>
      <c r="EH46" s="649">
        <f t="shared" si="42"/>
        <v>0</v>
      </c>
      <c r="EI46" s="646">
        <f>SUM(EI15:EI45)</f>
        <v>0</v>
      </c>
      <c r="EJ46" s="646">
        <f>SUM(EJ15:EJ45)</f>
        <v>0</v>
      </c>
      <c r="EK46" s="649">
        <f>SUM(EK15:EK45)</f>
        <v>0</v>
      </c>
      <c r="EL46" s="649">
        <f>SUM(EL15:EL45)</f>
        <v>0</v>
      </c>
      <c r="EM46" s="646">
        <f t="shared" si="42"/>
        <v>0</v>
      </c>
      <c r="EN46" s="646">
        <f t="shared" si="42"/>
        <v>0</v>
      </c>
      <c r="EO46" s="649">
        <f t="shared" si="42"/>
        <v>0</v>
      </c>
      <c r="EP46" s="652">
        <f t="shared" si="42"/>
        <v>0</v>
      </c>
      <c r="EQ46" s="646">
        <f>SUM(EQ15:EQ45)</f>
        <v>0</v>
      </c>
      <c r="ER46" s="646">
        <f>SUM(ER15:ER45)</f>
        <v>0</v>
      </c>
      <c r="ES46" s="649">
        <f>SUM(ES15:ES45)</f>
        <v>0</v>
      </c>
      <c r="ET46" s="652">
        <f>SUM(ET15:ET45)</f>
        <v>0</v>
      </c>
      <c r="EU46" s="646">
        <f t="shared" si="42"/>
        <v>0</v>
      </c>
      <c r="EV46" s="646">
        <f t="shared" si="42"/>
        <v>0</v>
      </c>
      <c r="EW46" s="649">
        <f t="shared" si="42"/>
        <v>0</v>
      </c>
      <c r="EX46" s="652">
        <f t="shared" si="42"/>
        <v>0</v>
      </c>
      <c r="EY46" s="646">
        <f t="shared" si="42"/>
        <v>0</v>
      </c>
      <c r="EZ46" s="646">
        <f t="shared" si="42"/>
        <v>0</v>
      </c>
      <c r="FA46" s="649">
        <f t="shared" si="42"/>
        <v>0</v>
      </c>
      <c r="FB46" s="652">
        <f t="shared" si="42"/>
        <v>0</v>
      </c>
      <c r="FC46" s="646">
        <f t="shared" si="42"/>
        <v>0</v>
      </c>
      <c r="FD46" s="646">
        <f t="shared" si="42"/>
        <v>0</v>
      </c>
      <c r="FE46" s="649">
        <f t="shared" si="42"/>
        <v>0</v>
      </c>
      <c r="FF46" s="652">
        <f t="shared" si="42"/>
        <v>0</v>
      </c>
      <c r="FG46" s="646">
        <f t="shared" si="42"/>
        <v>0</v>
      </c>
      <c r="FH46" s="646">
        <f t="shared" si="42"/>
        <v>0</v>
      </c>
      <c r="FI46" s="649">
        <f t="shared" si="42"/>
        <v>0</v>
      </c>
      <c r="FJ46" s="652">
        <f t="shared" si="42"/>
        <v>0</v>
      </c>
      <c r="FK46" s="661">
        <f t="shared" si="42"/>
        <v>0</v>
      </c>
      <c r="FL46" s="646">
        <f t="shared" si="42"/>
        <v>0</v>
      </c>
      <c r="FM46" s="661">
        <f t="shared" si="42"/>
        <v>0</v>
      </c>
      <c r="FN46" s="649">
        <f t="shared" si="42"/>
        <v>0</v>
      </c>
      <c r="FO46" s="661">
        <f>SUM(FO15:FO45)</f>
        <v>0</v>
      </c>
      <c r="FP46" s="646">
        <f>SUM(FP15:FP45)</f>
        <v>0</v>
      </c>
      <c r="FQ46" s="661">
        <f>SUM(FQ15:FQ45)</f>
        <v>0</v>
      </c>
      <c r="FR46" s="649">
        <f>SUM(FR15:FR45)</f>
        <v>0</v>
      </c>
      <c r="FS46" s="661">
        <f t="shared" si="42"/>
        <v>0</v>
      </c>
      <c r="FT46" s="661">
        <f t="shared" si="42"/>
        <v>0</v>
      </c>
      <c r="FU46" s="661">
        <f t="shared" si="42"/>
        <v>0</v>
      </c>
      <c r="FV46" s="646">
        <f t="shared" si="42"/>
        <v>0</v>
      </c>
      <c r="FW46" s="661">
        <f t="shared" si="42"/>
        <v>0</v>
      </c>
      <c r="FX46" s="652">
        <f t="shared" si="42"/>
        <v>0</v>
      </c>
      <c r="FY46" s="665">
        <f t="shared" si="42"/>
        <v>0</v>
      </c>
      <c r="FZ46" s="666">
        <f t="shared" si="42"/>
        <v>0</v>
      </c>
      <c r="GA46" s="666">
        <f t="shared" si="42"/>
        <v>0</v>
      </c>
      <c r="GB46" s="665">
        <f>SUM(GB15:GB45)</f>
        <v>0</v>
      </c>
      <c r="GC46" s="666">
        <f t="shared" si="42"/>
        <v>0</v>
      </c>
      <c r="GD46" s="665">
        <f t="shared" si="42"/>
        <v>0</v>
      </c>
      <c r="GE46" s="666">
        <f t="shared" si="42"/>
        <v>0</v>
      </c>
      <c r="GF46" s="661">
        <f t="shared" si="42"/>
        <v>0</v>
      </c>
      <c r="GG46" s="661">
        <f t="shared" si="42"/>
        <v>0</v>
      </c>
      <c r="GH46" s="661">
        <f t="shared" si="42"/>
        <v>0</v>
      </c>
      <c r="GI46" s="661">
        <f t="shared" si="42"/>
        <v>0</v>
      </c>
      <c r="GP46" s="647">
        <f>SUM(GP15:GP45)</f>
        <v>0</v>
      </c>
    </row>
    <row r="47" spans="1:198" ht="17" thickBot="1">
      <c r="A47" s="227"/>
      <c r="B47" s="227"/>
      <c r="C47" s="227"/>
      <c r="D47" s="227"/>
      <c r="E47" s="227"/>
      <c r="F47" s="227"/>
      <c r="G47" s="227"/>
      <c r="H47" s="227"/>
      <c r="I47" s="227"/>
      <c r="J47" s="227"/>
      <c r="K47" s="233"/>
      <c r="L47" s="233"/>
      <c r="M47" s="233"/>
      <c r="N47" s="233"/>
      <c r="O47" s="233"/>
      <c r="P47" s="233"/>
      <c r="Q47" s="233"/>
      <c r="R47" s="233"/>
      <c r="S47" s="233"/>
      <c r="T47" s="233"/>
      <c r="U47" s="233"/>
      <c r="V47" s="233"/>
      <c r="W47" s="233"/>
      <c r="X47" s="429"/>
      <c r="Y47" s="241"/>
      <c r="Z47" s="208"/>
      <c r="AA47" s="229"/>
      <c r="AB47" s="208"/>
      <c r="AC47" s="208"/>
      <c r="AD47" s="229"/>
      <c r="AE47" s="229"/>
      <c r="AF47" s="229"/>
      <c r="AG47" s="229"/>
      <c r="BC47" s="229"/>
      <c r="BD47" s="229"/>
      <c r="BE47" s="229"/>
      <c r="BF47" s="229"/>
      <c r="BG47" s="109"/>
      <c r="CB47" s="229"/>
      <c r="CC47" s="229"/>
      <c r="CD47" s="109"/>
      <c r="CX47" s="242"/>
      <c r="CZ47"/>
      <c r="DO47" s="728"/>
      <c r="DP47" s="728"/>
      <c r="DQ47" s="728"/>
      <c r="DR47" s="728"/>
      <c r="DS47" s="728"/>
      <c r="DT47" s="728"/>
      <c r="DU47" s="728"/>
      <c r="DV47" s="728"/>
      <c r="DW47" s="729"/>
      <c r="DX47" s="729"/>
      <c r="DY47" s="729"/>
      <c r="DZ47" s="729"/>
      <c r="EA47" s="729"/>
      <c r="EB47" s="729"/>
      <c r="EC47" s="729"/>
      <c r="ED47" s="729"/>
      <c r="EE47" s="732"/>
      <c r="EF47" s="732"/>
      <c r="EG47" s="732"/>
      <c r="EH47" s="732"/>
      <c r="EI47" s="732"/>
      <c r="EJ47" s="732"/>
      <c r="EM47" s="734"/>
      <c r="EN47" s="734"/>
      <c r="EO47" s="734"/>
      <c r="EP47" s="734"/>
      <c r="EQ47" s="734"/>
      <c r="ER47" s="734"/>
      <c r="EU47" s="736"/>
      <c r="EV47" s="736"/>
      <c r="EW47" s="736"/>
      <c r="EX47" s="736"/>
      <c r="EY47" s="738"/>
      <c r="EZ47" s="738"/>
      <c r="FA47" s="738"/>
      <c r="FB47" s="738"/>
      <c r="FC47" s="740"/>
      <c r="FD47" s="740"/>
      <c r="FE47" s="740"/>
      <c r="FF47" s="740"/>
      <c r="FG47" s="742"/>
      <c r="FH47" s="742"/>
      <c r="FI47" s="742"/>
      <c r="FJ47" s="742"/>
      <c r="FK47" s="726"/>
      <c r="FM47" s="744"/>
      <c r="FO47" s="726"/>
      <c r="FS47" s="726"/>
      <c r="FT47" s="744"/>
      <c r="FU47" s="726"/>
      <c r="FW47" s="744"/>
      <c r="GA47" s="744"/>
      <c r="GB47" s="726"/>
      <c r="GC47" s="744"/>
      <c r="GD47" s="726"/>
      <c r="GE47" s="744"/>
      <c r="GF47" s="726"/>
      <c r="GG47" s="744"/>
      <c r="GH47" s="726"/>
      <c r="GI47" s="744"/>
      <c r="GP47" s="743" t="s">
        <v>663</v>
      </c>
    </row>
    <row r="48" spans="1:198" ht="70" customHeight="1">
      <c r="A48" s="1086" t="str">
        <f>"Arbejdstid for "&amp;A13&amp;" måned:"</f>
        <v>Arbejdstid for August måned:</v>
      </c>
      <c r="B48" s="1087"/>
      <c r="C48" s="1087"/>
      <c r="D48" s="1087"/>
      <c r="E48" s="1087"/>
      <c r="F48" s="1087"/>
      <c r="G48" s="1087"/>
      <c r="H48" s="321" t="s">
        <v>252</v>
      </c>
      <c r="I48" s="1087" t="s">
        <v>218</v>
      </c>
      <c r="J48" s="1088"/>
      <c r="K48" s="1089"/>
      <c r="L48" s="256"/>
      <c r="M48" s="1134" t="str">
        <f>"Ulempetimer og weekendtimer i "&amp;A11&amp;""</f>
        <v>Ulempetimer og weekendtimer i August måneds kalender for: Beate Simonsen. Måneden vedr. normperioden:  - .</v>
      </c>
      <c r="N48" s="1117"/>
      <c r="O48" s="1117"/>
      <c r="P48" s="1117"/>
      <c r="Q48" s="1117"/>
      <c r="R48" s="1117"/>
      <c r="S48" s="1117"/>
      <c r="T48" s="1117"/>
      <c r="U48" s="1117"/>
      <c r="V48" s="1117"/>
      <c r="W48" s="1117"/>
      <c r="X48" s="1118"/>
      <c r="Y48" s="210"/>
      <c r="Z48" s="233"/>
      <c r="AA48" s="233"/>
      <c r="AB48" s="233"/>
      <c r="AG48" s="87"/>
      <c r="AH48" s="87"/>
      <c r="BO48" s="1"/>
      <c r="CL48" s="1"/>
      <c r="CW48" s="242"/>
      <c r="CX48" s="242"/>
      <c r="CY48"/>
      <c r="CZ48"/>
    </row>
    <row r="49" spans="1:110">
      <c r="A49" s="1090" t="s">
        <v>714</v>
      </c>
      <c r="B49" s="1091"/>
      <c r="C49" s="1091"/>
      <c r="D49" s="1091"/>
      <c r="E49" s="1091"/>
      <c r="F49" s="1091"/>
      <c r="G49" s="1091"/>
      <c r="H49" s="250">
        <f>D83</f>
        <v>21</v>
      </c>
      <c r="I49" s="1103">
        <f>IF(Stamoplysninger!$E$17="Ja",1924/Arbejdstidsoversigt!$K$14*Stamoplysninger!$E$20*$H$49,August!$H$49*7.4*Stamoplysninger!$E$20)</f>
        <v>155.4</v>
      </c>
      <c r="J49" s="1104"/>
      <c r="K49" s="1105"/>
      <c r="L49" s="252"/>
      <c r="M49" s="1135" t="s">
        <v>480</v>
      </c>
      <c r="N49" s="1136"/>
      <c r="O49" s="1136"/>
      <c r="P49" s="1136"/>
      <c r="Q49" s="1136"/>
      <c r="R49" s="1136"/>
      <c r="S49" s="1136"/>
      <c r="T49" s="1136"/>
      <c r="U49" s="1137"/>
      <c r="V49" s="1138">
        <f>P70+P74+P77+P79</f>
        <v>0</v>
      </c>
      <c r="W49" s="1139"/>
      <c r="X49" s="1140"/>
      <c r="Y49" s="233"/>
      <c r="Z49" s="233"/>
      <c r="AA49" s="233"/>
      <c r="AB49" s="233"/>
      <c r="AG49" s="87"/>
      <c r="AH49" s="87"/>
      <c r="BO49" s="1"/>
      <c r="CL49" s="1"/>
      <c r="CW49" s="242"/>
      <c r="CX49" s="242"/>
      <c r="CY49"/>
      <c r="CZ49"/>
    </row>
    <row r="50" spans="1:110">
      <c r="A50" s="1090" t="str">
        <f>"Ferie "&amp;A13&amp;" måned"</f>
        <v>Ferie August måned</v>
      </c>
      <c r="B50" s="1091"/>
      <c r="C50" s="1091"/>
      <c r="D50" s="1091"/>
      <c r="E50" s="1091"/>
      <c r="F50" s="1091"/>
      <c r="G50" s="1091"/>
      <c r="H50" s="251">
        <f>IF(D78&gt;0,$D$78,"0")</f>
        <v>2</v>
      </c>
      <c r="I50" s="1092">
        <f>H50*7.4*Stamoplysninger!$E$20</f>
        <v>14.8</v>
      </c>
      <c r="J50" s="1093"/>
      <c r="K50" s="1094"/>
      <c r="L50" s="252"/>
      <c r="M50" s="1141" t="s">
        <v>256</v>
      </c>
      <c r="N50" s="1142"/>
      <c r="O50" s="1142"/>
      <c r="P50" s="1142"/>
      <c r="Q50" s="1142"/>
      <c r="R50" s="1142"/>
      <c r="S50" s="1142"/>
      <c r="T50" s="1142"/>
      <c r="U50" s="1143"/>
      <c r="V50" s="1144">
        <f>Q71+Q73+Q76+Q78</f>
        <v>0</v>
      </c>
      <c r="W50" s="1145"/>
      <c r="X50" s="1146"/>
      <c r="Y50" s="233"/>
      <c r="Z50" s="233"/>
      <c r="AA50" s="233"/>
      <c r="AB50" s="233"/>
      <c r="AG50" s="87"/>
      <c r="AH50" s="87"/>
      <c r="BO50" s="1"/>
      <c r="CL50" s="1"/>
      <c r="CW50" s="242"/>
      <c r="CX50" s="242"/>
      <c r="CY50"/>
      <c r="CZ50"/>
    </row>
    <row r="51" spans="1:110">
      <c r="A51" s="1090" t="str">
        <f>"Søgnehelligdage i "&amp;A13&amp;" måned"</f>
        <v>Søgnehelligdage i August måned</v>
      </c>
      <c r="B51" s="1091"/>
      <c r="C51" s="1091"/>
      <c r="D51" s="1091"/>
      <c r="E51" s="1091"/>
      <c r="F51" s="1091"/>
      <c r="G51" s="1091"/>
      <c r="H51" s="251">
        <f>IF(D77&gt;0,D77,0)</f>
        <v>0</v>
      </c>
      <c r="I51" s="1092">
        <f>H51*7.4*Stamoplysninger!$E$20</f>
        <v>0</v>
      </c>
      <c r="J51" s="1093"/>
      <c r="K51" s="1094"/>
      <c r="L51" s="375"/>
      <c r="M51" s="1147" t="s">
        <v>437</v>
      </c>
      <c r="N51" s="1148"/>
      <c r="O51" s="1148"/>
      <c r="P51" s="1148"/>
      <c r="Q51" s="1148"/>
      <c r="R51" s="1148"/>
      <c r="S51" s="1148"/>
      <c r="T51" s="1148"/>
      <c r="U51" s="1148"/>
      <c r="V51" s="1119"/>
      <c r="W51" s="1119"/>
      <c r="X51" s="1120"/>
      <c r="Y51" s="233"/>
      <c r="Z51" s="233"/>
      <c r="AA51" s="233"/>
      <c r="AB51" s="233"/>
      <c r="AG51" s="87"/>
      <c r="AH51" s="87"/>
      <c r="BO51" s="1"/>
      <c r="CL51" s="1"/>
      <c r="CW51" s="242"/>
      <c r="CX51" s="242"/>
      <c r="CY51"/>
      <c r="CZ51"/>
    </row>
    <row r="52" spans="1:110">
      <c r="A52" s="1090" t="str">
        <f>"Nettoarbejdstid ialt i "&amp;A13&amp;" måned"</f>
        <v>Nettoarbejdstid ialt i August måned</v>
      </c>
      <c r="B52" s="1091"/>
      <c r="C52" s="1091"/>
      <c r="D52" s="1091"/>
      <c r="E52" s="1091"/>
      <c r="F52" s="1091"/>
      <c r="G52" s="1091"/>
      <c r="H52" s="254">
        <f>H49-H50-H51</f>
        <v>19</v>
      </c>
      <c r="I52" s="1092">
        <f>I49-I50-I51</f>
        <v>140.6</v>
      </c>
      <c r="J52" s="1093"/>
      <c r="K52" s="1094"/>
      <c r="L52" s="375"/>
      <c r="M52" s="1149" t="s">
        <v>298</v>
      </c>
      <c r="N52" s="1150"/>
      <c r="O52" s="1150"/>
      <c r="P52" s="1150"/>
      <c r="Q52" s="1150"/>
      <c r="R52" s="1150"/>
      <c r="S52" s="1150"/>
      <c r="T52" s="1150"/>
      <c r="U52" s="1151"/>
      <c r="V52" s="1152">
        <f>V50+V51</f>
        <v>0</v>
      </c>
      <c r="W52" s="1153"/>
      <c r="X52" s="1154"/>
      <c r="Y52" s="233"/>
      <c r="Z52" s="233"/>
      <c r="AA52" s="233"/>
      <c r="AB52" s="233"/>
      <c r="AG52" s="87"/>
      <c r="AH52" s="87"/>
      <c r="BO52" s="1"/>
      <c r="CL52" s="1"/>
      <c r="CW52" s="242"/>
      <c r="CX52" s="242"/>
      <c r="CY52"/>
      <c r="CZ52"/>
    </row>
    <row r="53" spans="1:110">
      <c r="A53" s="1106" t="str">
        <f>"Planlagt arbejdstid efter ovennstående "&amp;A13&amp;" måned kalender"</f>
        <v>Planlagt arbejdstid efter ovennstående August måned kalender</v>
      </c>
      <c r="B53" s="1107"/>
      <c r="C53" s="1107"/>
      <c r="D53" s="1107"/>
      <c r="E53" s="1107"/>
      <c r="F53" s="1107"/>
      <c r="G53" s="1107"/>
      <c r="H53" s="461">
        <f>D69+D70+D71+D72+D73+D74+D75</f>
        <v>18</v>
      </c>
      <c r="I53" s="1108">
        <f>N46+R46+V111</f>
        <v>140.28999999999996</v>
      </c>
      <c r="J53" s="1109"/>
      <c r="K53" s="1110"/>
      <c r="L53" s="375"/>
      <c r="M53" s="1161" t="s">
        <v>290</v>
      </c>
      <c r="N53" s="1162"/>
      <c r="O53" s="1162"/>
      <c r="P53" s="1162"/>
      <c r="Q53" s="1162"/>
      <c r="R53" s="1162"/>
      <c r="S53" s="1162"/>
      <c r="T53" s="1162"/>
      <c r="U53" s="1162"/>
      <c r="V53" s="1162"/>
      <c r="W53" s="1162"/>
      <c r="X53" s="1163"/>
      <c r="Y53" s="233"/>
      <c r="Z53" s="233"/>
      <c r="AA53" s="233"/>
      <c r="AB53" s="233"/>
      <c r="AG53" s="87"/>
      <c r="AH53" s="87"/>
      <c r="BO53" s="1"/>
      <c r="CL53" s="1"/>
      <c r="CW53" s="242"/>
      <c r="CX53" s="242"/>
      <c r="CY53"/>
      <c r="CZ53"/>
    </row>
    <row r="54" spans="1:110">
      <c r="A54" s="1114" t="s">
        <v>671</v>
      </c>
      <c r="B54" s="1115"/>
      <c r="C54" s="1115"/>
      <c r="D54" s="1115"/>
      <c r="E54" s="1115"/>
      <c r="F54" s="1115"/>
      <c r="G54" s="1115"/>
      <c r="H54" s="1116"/>
      <c r="I54" s="1111">
        <f>(FK46+FO46+FS46+FU46+GB46+GD46+GF46+GH46)*-1+FM46+FT46+FW46+GC46+GE46+GG46+GI46+GA46</f>
        <v>0</v>
      </c>
      <c r="J54" s="1112"/>
      <c r="K54" s="1113"/>
      <c r="L54" s="721"/>
      <c r="M54" s="1164" t="s">
        <v>450</v>
      </c>
      <c r="N54" s="1165"/>
      <c r="O54" s="1165"/>
      <c r="P54" s="1165"/>
      <c r="Q54" s="1165"/>
      <c r="R54" s="1165"/>
      <c r="S54" s="1165"/>
      <c r="T54" s="1165"/>
      <c r="U54" s="1166"/>
      <c r="V54" s="1167" t="s">
        <v>218</v>
      </c>
      <c r="W54" s="1168"/>
      <c r="X54" s="1169"/>
      <c r="Y54" s="233"/>
      <c r="Z54" s="233"/>
      <c r="AA54" s="233"/>
      <c r="AB54" s="233"/>
      <c r="AG54" s="87"/>
      <c r="AH54" s="87"/>
      <c r="BO54" s="1"/>
      <c r="CL54" s="1"/>
      <c r="CW54" s="242"/>
      <c r="CX54" s="242"/>
      <c r="CY54"/>
      <c r="CZ54"/>
    </row>
    <row r="55" spans="1:110">
      <c r="A55" s="1128" t="str">
        <f>"Arbejde særligt planlagt for "&amp;A13&amp;" måned efter fanen skemaoplysninger"</f>
        <v>Arbejde særligt planlagt for August måned efter fanen skemaoplysninger</v>
      </c>
      <c r="B55" s="1129"/>
      <c r="C55" s="1129"/>
      <c r="D55" s="1129"/>
      <c r="E55" s="1129"/>
      <c r="F55" s="1129"/>
      <c r="G55" s="1129"/>
      <c r="H55" s="1130"/>
      <c r="I55" s="1109">
        <f>IF(I53&gt;0,Skemaoplysninger!K107,0)</f>
        <v>0</v>
      </c>
      <c r="J55" s="1126"/>
      <c r="K55" s="1127"/>
      <c r="L55" s="376"/>
      <c r="M55" s="1036"/>
      <c r="N55" s="1037"/>
      <c r="O55" s="1037"/>
      <c r="P55" s="1037"/>
      <c r="Q55" s="1037"/>
      <c r="R55" s="1037"/>
      <c r="S55" s="1037"/>
      <c r="T55" s="1037"/>
      <c r="U55" s="1038"/>
      <c r="V55" s="1170"/>
      <c r="W55" s="1170"/>
      <c r="X55" s="1171"/>
      <c r="Y55" s="233"/>
      <c r="Z55" s="233"/>
      <c r="AA55" s="233"/>
      <c r="AB55" s="233"/>
      <c r="AG55" s="87"/>
      <c r="AH55" s="87"/>
      <c r="BO55" s="1"/>
      <c r="CL55" s="1"/>
      <c r="CW55" s="242"/>
      <c r="CX55" s="242"/>
      <c r="CY55"/>
      <c r="CZ55"/>
    </row>
    <row r="56" spans="1:110">
      <c r="A56" s="1095" t="s">
        <v>439</v>
      </c>
      <c r="B56" s="1096"/>
      <c r="C56" s="1096"/>
      <c r="D56" s="1096"/>
      <c r="E56" s="1096"/>
      <c r="F56" s="1096"/>
      <c r="G56" s="1096"/>
      <c r="H56" s="1096"/>
      <c r="I56" s="1097">
        <f>V46+X46+R111-GP46+T111</f>
        <v>0</v>
      </c>
      <c r="J56" s="1098"/>
      <c r="K56" s="1099"/>
      <c r="L56" s="377"/>
      <c r="M56" s="1036"/>
      <c r="N56" s="1037"/>
      <c r="O56" s="1037"/>
      <c r="P56" s="1037"/>
      <c r="Q56" s="1037"/>
      <c r="R56" s="1037"/>
      <c r="S56" s="1037"/>
      <c r="T56" s="1037"/>
      <c r="U56" s="1038"/>
      <c r="V56" s="1039"/>
      <c r="W56" s="1040"/>
      <c r="X56" s="1041"/>
      <c r="Y56" s="241"/>
      <c r="Z56" s="233"/>
      <c r="AB56" s="233"/>
      <c r="AC56" s="233"/>
      <c r="AI56" s="87"/>
      <c r="AJ56" s="87"/>
      <c r="BC56" s="233"/>
      <c r="BQ56" s="1"/>
      <c r="CN56" s="1"/>
      <c r="CX56" s="242"/>
      <c r="CZ56"/>
    </row>
    <row r="57" spans="1:110" ht="17" thickBot="1">
      <c r="A57" s="255" t="str">
        <f>"Faktisk arbejdstid ialt i "&amp;A13&amp;" måned"</f>
        <v>Faktisk arbejdstid ialt i August måned</v>
      </c>
      <c r="B57" s="307"/>
      <c r="C57" s="308"/>
      <c r="D57" s="308"/>
      <c r="E57" s="308"/>
      <c r="F57" s="308"/>
      <c r="G57" s="308"/>
      <c r="H57" s="309"/>
      <c r="I57" s="1131">
        <f>I53+I56+I55+I54</f>
        <v>140.28999999999996</v>
      </c>
      <c r="J57" s="1132"/>
      <c r="K57" s="1133"/>
      <c r="L57" s="235"/>
      <c r="M57" s="1036"/>
      <c r="N57" s="1037"/>
      <c r="O57" s="1037"/>
      <c r="P57" s="1037"/>
      <c r="Q57" s="1037"/>
      <c r="R57" s="1037"/>
      <c r="S57" s="1037"/>
      <c r="T57" s="1037"/>
      <c r="U57" s="1038"/>
      <c r="V57" s="1039"/>
      <c r="W57" s="1040"/>
      <c r="X57" s="1041"/>
      <c r="Y57" s="241"/>
      <c r="Z57" s="233"/>
      <c r="AB57" s="233"/>
      <c r="AC57" s="233"/>
      <c r="AH57" s="87"/>
      <c r="AI57" s="87"/>
      <c r="BP57" s="1"/>
      <c r="CM57" s="1"/>
      <c r="CX57" s="242"/>
      <c r="CZ57"/>
    </row>
    <row r="58" spans="1:110" ht="17" thickBot="1">
      <c r="A58" s="249"/>
      <c r="B58" s="249"/>
      <c r="C58" s="249"/>
      <c r="D58" s="249"/>
      <c r="E58" s="249"/>
      <c r="F58" s="249"/>
      <c r="G58" s="249"/>
      <c r="H58" s="249"/>
      <c r="I58" s="507"/>
      <c r="J58" s="507"/>
      <c r="K58" s="507"/>
      <c r="L58" s="485"/>
      <c r="M58" s="1036"/>
      <c r="N58" s="1037"/>
      <c r="O58" s="1037"/>
      <c r="P58" s="1037"/>
      <c r="Q58" s="1037"/>
      <c r="R58" s="1037"/>
      <c r="S58" s="1037"/>
      <c r="T58" s="1037"/>
      <c r="U58" s="1038"/>
      <c r="V58" s="1039"/>
      <c r="W58" s="1040"/>
      <c r="X58" s="1041"/>
      <c r="Y58" s="233"/>
      <c r="Z58" s="233"/>
      <c r="AA58" s="233"/>
      <c r="AB58" s="233"/>
      <c r="AC58" s="211"/>
      <c r="AD58" s="241"/>
      <c r="AE58" s="241"/>
      <c r="AF58" s="241"/>
      <c r="AG58" s="241"/>
      <c r="AH58" s="233"/>
      <c r="AJ58" s="233"/>
      <c r="AK58" s="233"/>
      <c r="AO58" s="87"/>
      <c r="AP58" s="87"/>
      <c r="BW58" s="1"/>
      <c r="CT58" s="1"/>
      <c r="CY58"/>
      <c r="CZ58"/>
      <c r="DE58" s="242"/>
      <c r="DF58" s="242"/>
    </row>
    <row r="59" spans="1:110" ht="39" customHeight="1" thickBot="1">
      <c r="A59" s="1086" t="s">
        <v>463</v>
      </c>
      <c r="B59" s="1087"/>
      <c r="C59" s="1087"/>
      <c r="D59" s="1087"/>
      <c r="E59" s="1087"/>
      <c r="F59" s="1087"/>
      <c r="G59" s="1087"/>
      <c r="H59" s="681" t="s">
        <v>608</v>
      </c>
      <c r="I59" s="1117" t="s">
        <v>469</v>
      </c>
      <c r="J59" s="1117"/>
      <c r="K59" s="1118"/>
      <c r="L59" s="485"/>
      <c r="M59" s="1155" t="s">
        <v>291</v>
      </c>
      <c r="N59" s="1156"/>
      <c r="O59" s="1156"/>
      <c r="P59" s="1156"/>
      <c r="Q59" s="1156"/>
      <c r="R59" s="1156"/>
      <c r="S59" s="1156"/>
      <c r="T59" s="1156"/>
      <c r="U59" s="1157"/>
      <c r="V59" s="1158">
        <f>V52-SUM(V55:X58)</f>
        <v>0</v>
      </c>
      <c r="W59" s="1159"/>
      <c r="X59" s="1160"/>
      <c r="Y59" s="233"/>
      <c r="Z59" s="233"/>
      <c r="AA59" s="233"/>
      <c r="AB59" s="233"/>
      <c r="AC59" s="211"/>
      <c r="AD59" s="241"/>
      <c r="AE59" s="241"/>
      <c r="AF59" s="241"/>
      <c r="AG59" s="241"/>
      <c r="AH59" s="233"/>
      <c r="AJ59" s="233"/>
      <c r="AK59" s="233"/>
      <c r="AO59" s="87"/>
      <c r="AP59" s="87"/>
      <c r="BW59" s="1"/>
      <c r="CT59" s="1"/>
      <c r="CY59"/>
      <c r="CZ59"/>
      <c r="DE59" s="242"/>
      <c r="DF59" s="242"/>
    </row>
    <row r="60" spans="1:110" ht="16" customHeight="1">
      <c r="A60" s="1121"/>
      <c r="B60" s="1122"/>
      <c r="C60" s="1122"/>
      <c r="D60" s="1122"/>
      <c r="E60" s="1122"/>
      <c r="F60" s="1122"/>
      <c r="G60" s="1122"/>
      <c r="H60" s="587"/>
      <c r="I60" s="1119"/>
      <c r="J60" s="1119"/>
      <c r="K60" s="1120"/>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7" customHeight="1">
      <c r="A61" s="1033" t="s">
        <v>609</v>
      </c>
      <c r="B61" s="1034"/>
      <c r="C61" s="1034"/>
      <c r="D61" s="1034"/>
      <c r="E61" s="1034"/>
      <c r="F61" s="1034"/>
      <c r="G61" s="1034"/>
      <c r="H61" s="1034"/>
      <c r="I61" s="1034"/>
      <c r="J61" s="1034"/>
      <c r="K61" s="1035"/>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ht="35" customHeight="1">
      <c r="A62" s="1079" t="s">
        <v>610</v>
      </c>
      <c r="B62" s="1080"/>
      <c r="C62" s="1052" t="s">
        <v>492</v>
      </c>
      <c r="D62" s="1053"/>
      <c r="E62" s="1081" t="s">
        <v>493</v>
      </c>
      <c r="F62" s="1034"/>
      <c r="G62" s="1082"/>
      <c r="H62" s="1083" t="s">
        <v>464</v>
      </c>
      <c r="I62" s="1083"/>
      <c r="J62" s="1083"/>
      <c r="K62" s="1084"/>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050"/>
      <c r="B63" s="1051"/>
      <c r="C63" s="1026"/>
      <c r="D63" s="1025"/>
      <c r="E63" s="1021"/>
      <c r="F63" s="1022"/>
      <c r="G63" s="1023"/>
      <c r="H63" s="588"/>
      <c r="I63" s="1019"/>
      <c r="J63" s="1019"/>
      <c r="K63" s="1020"/>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1024"/>
      <c r="B64" s="1025"/>
      <c r="C64" s="1026"/>
      <c r="D64" s="1025"/>
      <c r="E64" s="1021"/>
      <c r="F64" s="1022"/>
      <c r="G64" s="1023"/>
      <c r="H64" s="588"/>
      <c r="I64" s="1019"/>
      <c r="J64" s="1019"/>
      <c r="K64" s="1020"/>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1">
      <c r="A65" s="1024"/>
      <c r="B65" s="1025"/>
      <c r="C65" s="1026"/>
      <c r="D65" s="1025"/>
      <c r="E65" s="1021"/>
      <c r="F65" s="1022"/>
      <c r="G65" s="1023"/>
      <c r="H65" s="588"/>
      <c r="I65" s="1019"/>
      <c r="J65" s="1019"/>
      <c r="K65" s="1020"/>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1">
      <c r="A66" s="1024"/>
      <c r="B66" s="1025"/>
      <c r="C66" s="1026"/>
      <c r="D66" s="1025"/>
      <c r="E66" s="1021"/>
      <c r="F66" s="1022"/>
      <c r="G66" s="1023"/>
      <c r="H66" s="588"/>
      <c r="I66" s="1019"/>
      <c r="J66" s="1019"/>
      <c r="K66" s="1020"/>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1" ht="17" thickBot="1">
      <c r="A67" s="1054" t="s">
        <v>465</v>
      </c>
      <c r="B67" s="1055"/>
      <c r="C67" s="1056"/>
      <c r="D67" s="1056"/>
      <c r="E67" s="1056"/>
      <c r="F67" s="1056"/>
      <c r="G67" s="1056"/>
      <c r="H67" s="590">
        <f>H60-SUM(H63:H66)</f>
        <v>0</v>
      </c>
      <c r="I67" s="1063">
        <f>I60-SUM(I63:K66)</f>
        <v>0</v>
      </c>
      <c r="J67" s="1064"/>
      <c r="K67" s="1065"/>
      <c r="L67" s="485"/>
      <c r="M67" s="508"/>
      <c r="N67" s="508"/>
      <c r="O67" s="508"/>
      <c r="P67" s="508"/>
      <c r="Q67" s="509"/>
      <c r="R67" s="510"/>
      <c r="S67" s="510"/>
      <c r="T67" s="510"/>
      <c r="U67" s="510"/>
      <c r="V67" s="508"/>
      <c r="W67" s="511"/>
      <c r="X67" s="508"/>
      <c r="Y67" s="233"/>
      <c r="Z67" s="233"/>
      <c r="AA67" s="233"/>
      <c r="AB67" s="233"/>
      <c r="AC67" s="211"/>
      <c r="AD67" s="241"/>
      <c r="AE67" s="241"/>
      <c r="AF67" s="241"/>
      <c r="AG67" s="241"/>
      <c r="AH67" s="233"/>
      <c r="AJ67" s="233"/>
      <c r="AK67" s="233"/>
      <c r="AO67" s="87"/>
      <c r="AP67" s="87"/>
      <c r="BW67" s="1"/>
      <c r="CT67" s="1"/>
      <c r="CY67"/>
      <c r="CZ67"/>
      <c r="DE67" s="242"/>
      <c r="DF67" s="242"/>
    </row>
    <row r="68" spans="1:111">
      <c r="A68" s="481"/>
      <c r="B68" s="481"/>
      <c r="C68" s="481"/>
      <c r="D68" s="481"/>
      <c r="E68" s="481"/>
      <c r="F68" s="481"/>
      <c r="G68" s="481"/>
      <c r="H68" s="482"/>
      <c r="I68" s="491"/>
      <c r="J68" s="491"/>
      <c r="K68" s="481"/>
      <c r="L68" s="635"/>
      <c r="M68" s="635"/>
      <c r="N68" s="635"/>
      <c r="O68" s="635"/>
      <c r="P68" s="635"/>
      <c r="Q68" s="509"/>
      <c r="R68" s="510"/>
      <c r="S68" s="510"/>
      <c r="T68" s="510"/>
      <c r="U68" s="510"/>
      <c r="V68" s="508"/>
      <c r="W68" s="511"/>
      <c r="X68" s="508"/>
      <c r="Y68" s="233"/>
      <c r="Z68" s="233"/>
      <c r="AA68" s="233"/>
      <c r="AB68" s="233"/>
      <c r="AC68" s="211"/>
      <c r="AD68" s="241"/>
      <c r="AE68" s="241"/>
      <c r="AF68" s="241"/>
      <c r="AG68" s="241"/>
      <c r="AH68" s="233"/>
      <c r="AJ68" s="233"/>
      <c r="AK68" s="233"/>
      <c r="AO68" s="87"/>
      <c r="AP68" s="87"/>
      <c r="BW68" s="1"/>
      <c r="CT68" s="1"/>
      <c r="CY68"/>
      <c r="CZ68"/>
      <c r="DE68" s="242"/>
      <c r="DF68" s="242"/>
    </row>
    <row r="69" spans="1:111" hidden="1">
      <c r="A69" s="491" t="s">
        <v>203</v>
      </c>
      <c r="B69" s="491"/>
      <c r="C69" s="491"/>
      <c r="D69" s="491">
        <f>COUNTIF([0]!AUGUST,"Skema 1")</f>
        <v>15</v>
      </c>
      <c r="E69" s="492"/>
      <c r="F69" s="491" t="s">
        <v>183</v>
      </c>
      <c r="G69" s="491">
        <f>COUNTIFS($B$15:$B$45,"ma",[0]!AUGUST,"Skema 1")</f>
        <v>3</v>
      </c>
      <c r="H69" s="483"/>
      <c r="I69" s="496"/>
      <c r="J69" s="635"/>
      <c r="K69" s="635"/>
      <c r="L69" s="496"/>
      <c r="M69" s="636"/>
      <c r="N69" s="635"/>
      <c r="O69" s="636"/>
      <c r="P69" s="654" t="s">
        <v>551</v>
      </c>
      <c r="Q69" s="656" t="s">
        <v>562</v>
      </c>
      <c r="R69" s="225"/>
      <c r="S69" s="225"/>
      <c r="T69" s="225"/>
      <c r="U69" s="225"/>
      <c r="V69" s="225"/>
      <c r="W69" s="115"/>
      <c r="X69" s="115"/>
      <c r="Y69" s="233"/>
      <c r="Z69" s="233"/>
      <c r="AA69" s="233"/>
      <c r="AB69" s="233"/>
      <c r="AC69" s="233"/>
      <c r="AD69" s="211"/>
      <c r="AE69" s="241"/>
      <c r="AF69" s="241"/>
      <c r="AG69" s="241"/>
      <c r="AH69" s="241"/>
      <c r="AI69" s="233"/>
      <c r="AK69" s="233"/>
      <c r="AL69" s="233"/>
      <c r="AP69" s="87"/>
      <c r="AQ69" s="87"/>
      <c r="BX69" s="1"/>
      <c r="CU69" s="1"/>
      <c r="CY69"/>
      <c r="CZ69"/>
      <c r="DF69" s="242"/>
      <c r="DG69" s="242"/>
    </row>
    <row r="70" spans="1:111" hidden="1">
      <c r="A70" s="1085" t="s">
        <v>204</v>
      </c>
      <c r="B70" s="1085"/>
      <c r="C70" s="1085"/>
      <c r="D70" s="491">
        <f>COUNTIF([0]!AUGUST,"Skema 2")</f>
        <v>0</v>
      </c>
      <c r="E70" s="492"/>
      <c r="F70" s="491" t="s">
        <v>184</v>
      </c>
      <c r="G70" s="491">
        <f>COUNTIFS($B$15:$B$45,"ti",[0]!AUGUST,"Skema 1")</f>
        <v>3</v>
      </c>
      <c r="H70" s="483"/>
      <c r="I70" s="496" t="s">
        <v>552</v>
      </c>
      <c r="J70" s="635"/>
      <c r="K70" s="496"/>
      <c r="L70" s="638"/>
      <c r="M70" s="636"/>
      <c r="N70" s="636"/>
      <c r="O70" s="639"/>
      <c r="P70" s="654">
        <f>IF(Stamoplysninger!$B$27="Ulempetillæg udbetales med 25% af nettotimelønnen.",SUM(DO46:DR46)-SUM(DS46:DV46),0)</f>
        <v>0</v>
      </c>
      <c r="Q70" s="656"/>
      <c r="R70" s="730"/>
      <c r="S70" s="225"/>
      <c r="T70" s="225"/>
      <c r="U70" s="225"/>
      <c r="V70" s="225"/>
      <c r="W70" s="115"/>
      <c r="X70" s="115"/>
      <c r="Y70" s="233"/>
      <c r="Z70" s="233"/>
      <c r="AA70" s="233"/>
      <c r="AB70" s="233"/>
      <c r="AC70" s="233"/>
      <c r="AD70" s="211"/>
      <c r="AE70" s="241"/>
      <c r="AF70" s="241"/>
      <c r="AG70" s="241"/>
      <c r="AH70" s="241"/>
      <c r="AI70" s="233"/>
      <c r="AK70" s="233"/>
      <c r="AL70" s="233"/>
      <c r="AP70" s="87"/>
      <c r="AQ70" s="87"/>
      <c r="BX70" s="1"/>
      <c r="CU70" s="1"/>
      <c r="CY70"/>
      <c r="CZ70"/>
      <c r="DF70" s="242"/>
      <c r="DG70" s="242"/>
    </row>
    <row r="71" spans="1:111" hidden="1">
      <c r="A71" s="1085" t="s">
        <v>205</v>
      </c>
      <c r="B71" s="1085"/>
      <c r="C71" s="1085"/>
      <c r="D71" s="491">
        <f>COUNTIF([0]!AUGUST,"Skema 3")</f>
        <v>0</v>
      </c>
      <c r="E71" s="492"/>
      <c r="F71" s="491" t="s">
        <v>185</v>
      </c>
      <c r="G71" s="491">
        <f>COUNTIFS($B$15:$B$45,"on",[0]!AUGUST,"Skema 1")</f>
        <v>3</v>
      </c>
      <c r="H71" s="483"/>
      <c r="I71" s="653" t="s">
        <v>553</v>
      </c>
      <c r="J71" s="635"/>
      <c r="K71" s="496"/>
      <c r="L71" s="638"/>
      <c r="M71" s="636"/>
      <c r="N71" s="636"/>
      <c r="O71" s="636"/>
      <c r="P71" s="654"/>
      <c r="Q71" s="656">
        <f>IF(Stamoplysninger!$B$27="Ulempetillæg afspadseres med 25%(Kræver en aftale imellem ledelsen og den ansatte)",DW46+DX46+DY46+DZ46-EA46-EB46-EC46-ED46,0)</f>
        <v>0</v>
      </c>
      <c r="R71" s="731"/>
      <c r="S71" s="225"/>
      <c r="T71" s="225"/>
      <c r="U71" s="225"/>
      <c r="V71" s="225"/>
      <c r="W71" s="115"/>
      <c r="X71" s="115"/>
      <c r="Y71" s="233"/>
      <c r="Z71" s="233"/>
      <c r="AA71" s="233"/>
      <c r="AB71" s="233"/>
      <c r="AC71" s="233"/>
      <c r="AD71" s="211"/>
      <c r="AE71" s="241"/>
      <c r="AF71" s="241"/>
      <c r="AG71" s="241"/>
      <c r="AH71" s="241"/>
      <c r="AI71" s="233"/>
      <c r="AK71" s="233"/>
      <c r="AL71" s="233"/>
      <c r="AP71" s="87"/>
      <c r="AQ71" s="87"/>
      <c r="BX71" s="1"/>
      <c r="CU71" s="1"/>
      <c r="CY71"/>
      <c r="CZ71"/>
      <c r="DF71" s="242"/>
      <c r="DG71" s="242"/>
    </row>
    <row r="72" spans="1:111" hidden="1">
      <c r="A72" s="1085" t="s">
        <v>206</v>
      </c>
      <c r="B72" s="1085"/>
      <c r="C72" s="1085"/>
      <c r="D72" s="491">
        <f>COUNTIF([0]!AUGUST,"Skema 4")</f>
        <v>0</v>
      </c>
      <c r="E72" s="492"/>
      <c r="F72" s="491" t="s">
        <v>187</v>
      </c>
      <c r="G72" s="491">
        <f>COUNTIFS($B$15:$B$45,"to",[0]!AUGUST,"Skema 1")</f>
        <v>3</v>
      </c>
      <c r="H72" s="483"/>
      <c r="I72" s="653" t="s">
        <v>554</v>
      </c>
      <c r="J72" s="635"/>
      <c r="K72" s="496"/>
      <c r="L72" s="638"/>
      <c r="M72" s="641"/>
      <c r="N72" s="641"/>
      <c r="O72" s="4"/>
      <c r="P72" s="654"/>
      <c r="Q72" s="656"/>
      <c r="R72" s="225"/>
      <c r="S72" s="225"/>
      <c r="T72" s="225"/>
      <c r="U72" s="225"/>
      <c r="V72" s="225"/>
      <c r="W72" s="115"/>
      <c r="X72" s="115"/>
      <c r="Y72" s="233"/>
      <c r="Z72" s="233"/>
      <c r="AA72" s="233"/>
      <c r="AB72" s="233"/>
      <c r="AC72" s="233"/>
      <c r="AD72" s="211"/>
      <c r="AE72" s="241"/>
      <c r="AF72" s="241"/>
      <c r="AG72" s="241"/>
      <c r="AH72" s="241"/>
      <c r="AI72" s="233"/>
      <c r="AK72" s="233"/>
      <c r="AL72" s="233"/>
      <c r="AP72" s="87"/>
      <c r="AQ72" s="87"/>
      <c r="BX72" s="1"/>
      <c r="CU72" s="1"/>
      <c r="CY72"/>
      <c r="CZ72"/>
      <c r="DF72" s="242"/>
      <c r="DG72" s="242"/>
    </row>
    <row r="73" spans="1:111" hidden="1">
      <c r="A73" s="491" t="s">
        <v>111</v>
      </c>
      <c r="B73" s="491"/>
      <c r="C73" s="491"/>
      <c r="D73" s="491">
        <f>COUNTIF([0]!AUGUST,"Fagdag")+COUNTIF([0]!AUGUST,"emnedag")</f>
        <v>1</v>
      </c>
      <c r="E73" s="492"/>
      <c r="F73" s="491" t="s">
        <v>186</v>
      </c>
      <c r="G73" s="491">
        <f>COUNTIFS($B$15:$B$45,"fr",[0]!AUGUST,"Skema 1")</f>
        <v>3</v>
      </c>
      <c r="H73" s="483"/>
      <c r="I73" s="638" t="s">
        <v>555</v>
      </c>
      <c r="J73" s="635"/>
      <c r="K73" s="496"/>
      <c r="L73" s="638"/>
      <c r="M73" s="641"/>
      <c r="N73" s="641"/>
      <c r="O73" s="4"/>
      <c r="P73" s="654"/>
      <c r="Q73" s="656">
        <f>IF(Stamoplysninger!$B$31="Weekendtimer og weekendtillæg afspadseres.",EE46+EF46-EG46-EH46+EI46+EJ46,0)</f>
        <v>0</v>
      </c>
      <c r="R73" s="733"/>
      <c r="S73" s="225"/>
      <c r="T73" s="225"/>
      <c r="U73" s="225"/>
      <c r="V73" s="225"/>
      <c r="W73" s="115"/>
      <c r="X73" s="115"/>
      <c r="Y73"/>
      <c r="Z73"/>
      <c r="AO73" s="1"/>
      <c r="BL73" s="1"/>
      <c r="BW73" s="242"/>
      <c r="BX73" s="242"/>
      <c r="CY73"/>
      <c r="CZ73"/>
    </row>
    <row r="74" spans="1:111" hidden="1">
      <c r="A74" s="493" t="s">
        <v>110</v>
      </c>
      <c r="B74" s="491"/>
      <c r="C74" s="491"/>
      <c r="D74" s="491">
        <f>COUNTIF([0]!AUGUST,"Lejrskole")+COUNTIF([0]!AUGUST,"Ekskursion")</f>
        <v>0</v>
      </c>
      <c r="E74" s="492"/>
      <c r="F74" s="491"/>
      <c r="G74" s="491"/>
      <c r="H74" s="483"/>
      <c r="I74" s="638" t="s">
        <v>556</v>
      </c>
      <c r="J74" s="638"/>
      <c r="K74" s="638"/>
      <c r="L74" s="638"/>
      <c r="M74" s="642"/>
      <c r="N74" s="642"/>
      <c r="O74" s="4"/>
      <c r="P74" s="655">
        <f>IF(Stamoplysninger!$B$31="Weekendtimer og weekendtillæg udbetales.",EM46+EN46-EO46-EP46+EQ46+ER46,0)</f>
        <v>0</v>
      </c>
      <c r="Q74" s="656"/>
      <c r="R74" s="735"/>
      <c r="S74" s="225"/>
      <c r="T74" s="225"/>
      <c r="U74" s="225"/>
      <c r="V74" s="225"/>
      <c r="W74" s="115"/>
      <c r="X74" s="115"/>
      <c r="Y74"/>
      <c r="Z74"/>
      <c r="AO74" s="1"/>
      <c r="BL74" s="1"/>
      <c r="BW74" s="242"/>
      <c r="BX74" s="242"/>
      <c r="CY74"/>
      <c r="CZ74"/>
    </row>
    <row r="75" spans="1:111" hidden="1">
      <c r="A75" s="491" t="s">
        <v>109</v>
      </c>
      <c r="B75" s="491"/>
      <c r="C75" s="491"/>
      <c r="D75" s="491">
        <f>COUNTIF([0]!AUGUST,"Pæd.dag")</f>
        <v>2</v>
      </c>
      <c r="E75" s="492"/>
      <c r="F75" s="491" t="s">
        <v>188</v>
      </c>
      <c r="G75" s="491">
        <f>COUNTIFS($B$15:$B$45,"ma",[0]!AUGUST,"Skema 2")</f>
        <v>0</v>
      </c>
      <c r="H75" s="483"/>
      <c r="I75" s="638" t="s">
        <v>557</v>
      </c>
      <c r="J75" s="638"/>
      <c r="K75" s="638"/>
      <c r="L75" s="638"/>
      <c r="M75" s="642"/>
      <c r="N75" s="642"/>
      <c r="O75" s="4"/>
      <c r="P75" s="654"/>
      <c r="Q75" s="656"/>
      <c r="R75" s="225"/>
      <c r="S75" s="225"/>
      <c r="T75" s="225"/>
      <c r="U75" s="225"/>
      <c r="V75" s="225"/>
      <c r="W75" s="115"/>
      <c r="X75" s="115"/>
      <c r="Y75"/>
      <c r="Z75"/>
      <c r="AO75" s="1"/>
      <c r="BL75" s="1"/>
      <c r="BW75" s="242"/>
      <c r="BX75" s="242"/>
      <c r="CY75"/>
      <c r="CZ75"/>
    </row>
    <row r="76" spans="1:111" hidden="1">
      <c r="A76" s="491" t="s">
        <v>118</v>
      </c>
      <c r="B76" s="491"/>
      <c r="C76" s="491"/>
      <c r="D76" s="491">
        <f>COUNTIF([0]!AUGUST,"Weekend")</f>
        <v>10</v>
      </c>
      <c r="E76" s="492"/>
      <c r="F76" s="491" t="s">
        <v>189</v>
      </c>
      <c r="G76" s="491">
        <f>COUNTIFS($B$15:$B$45,"ti",[0]!AUGUST,"Skema 2")</f>
        <v>0</v>
      </c>
      <c r="H76" s="483"/>
      <c r="I76" s="638" t="s">
        <v>558</v>
      </c>
      <c r="J76" s="638"/>
      <c r="K76" s="638"/>
      <c r="L76" s="638"/>
      <c r="M76" s="643"/>
      <c r="N76" s="643"/>
      <c r="O76" s="4"/>
      <c r="P76" s="654"/>
      <c r="Q76" s="657">
        <f>IF(Stamoplysninger!$B$31="Der er indgået lokalaftale omkring weekendtimer.(Kræver aftale med TR/FSL) Weekendtillæg afspadseres.",EU46+EV46-EW46-EX46,0)</f>
        <v>0</v>
      </c>
      <c r="R76" s="737"/>
      <c r="S76" s="225"/>
      <c r="T76" s="225"/>
      <c r="U76" s="225"/>
      <c r="V76" s="225"/>
      <c r="W76" s="115"/>
      <c r="X76" s="115"/>
      <c r="Y76"/>
      <c r="Z76"/>
      <c r="AO76" s="1"/>
      <c r="BL76" s="1"/>
      <c r="BW76" s="242"/>
      <c r="BX76" s="242"/>
      <c r="CY76"/>
      <c r="CZ76"/>
    </row>
    <row r="77" spans="1:111" hidden="1">
      <c r="A77" s="491" t="s">
        <v>125</v>
      </c>
      <c r="B77" s="491"/>
      <c r="C77" s="491"/>
      <c r="D77" s="491">
        <f>COUNTIF([0]!AUGUST,"SH-dag")</f>
        <v>0</v>
      </c>
      <c r="E77" s="492"/>
      <c r="F77" s="491" t="s">
        <v>190</v>
      </c>
      <c r="G77" s="491">
        <f>COUNTIFS($B$15:$B$45,"on",[0]!AUGUST,"Skema 2")</f>
        <v>0</v>
      </c>
      <c r="H77" s="483"/>
      <c r="I77" s="638" t="s">
        <v>559</v>
      </c>
      <c r="J77" s="638"/>
      <c r="K77" s="638"/>
      <c r="L77" s="638"/>
      <c r="M77" s="643"/>
      <c r="N77" s="643"/>
      <c r="O77" s="4"/>
      <c r="P77" s="654">
        <f>IF(Stamoplysninger!$B$31="Der er indgået lokalaftale omkring weekendtimer(Kræver aftale med TR/FSL). Weekendtillæg udbetales.",EY46+EZ46-FA46-FB46,0)</f>
        <v>0</v>
      </c>
      <c r="Q77" s="656"/>
      <c r="R77" s="739"/>
      <c r="S77" s="225"/>
      <c r="T77" s="225"/>
      <c r="U77" s="225"/>
      <c r="V77" s="225"/>
      <c r="W77" s="115"/>
      <c r="X77" s="115"/>
      <c r="Y77"/>
      <c r="Z77"/>
      <c r="AO77" s="1"/>
      <c r="BL77" s="1"/>
      <c r="BW77" s="242"/>
      <c r="BX77" s="242"/>
      <c r="CY77"/>
      <c r="CZ77"/>
    </row>
    <row r="78" spans="1:111" hidden="1">
      <c r="A78" s="491" t="s">
        <v>108</v>
      </c>
      <c r="B78" s="491"/>
      <c r="C78" s="491"/>
      <c r="D78" s="491">
        <f>COUNTIF([0]!AUGUST,"Feriedag")</f>
        <v>2</v>
      </c>
      <c r="E78" s="492"/>
      <c r="F78" s="491" t="s">
        <v>191</v>
      </c>
      <c r="G78" s="491">
        <f>COUNTIFS($B$15:$B$45,"to",[0]!AUGUST,"Skema 2")</f>
        <v>0</v>
      </c>
      <c r="H78" s="483"/>
      <c r="I78" s="638" t="s">
        <v>560</v>
      </c>
      <c r="J78" s="638"/>
      <c r="K78" s="638"/>
      <c r="L78" s="638"/>
      <c r="M78" s="643"/>
      <c r="N78" s="643"/>
      <c r="O78" s="4"/>
      <c r="P78" s="654"/>
      <c r="Q78" s="610">
        <f>IF(Stamoplysninger!$B$31="Der er indgået lokalaftale omkring weekendtillæg(Kræver aftale med TR/FSL). Weekendtimerne afspadseres.",FC46+FD46-FE46-FF46,0)</f>
        <v>0</v>
      </c>
      <c r="R78" s="741"/>
      <c r="S78" s="38"/>
      <c r="T78" s="38"/>
      <c r="Y78"/>
      <c r="Z78"/>
      <c r="AO78" s="1"/>
      <c r="BL78" s="1"/>
      <c r="BW78" s="242"/>
      <c r="BX78" s="242"/>
      <c r="CY78"/>
      <c r="CZ78"/>
    </row>
    <row r="79" spans="1:111" hidden="1">
      <c r="A79" s="491" t="s">
        <v>175</v>
      </c>
      <c r="B79" s="491"/>
      <c r="C79" s="491"/>
      <c r="D79" s="491">
        <f>COUNTIF([0]!AUGUST,"Nul-dag")</f>
        <v>1</v>
      </c>
      <c r="E79" s="492"/>
      <c r="F79" s="491" t="s">
        <v>192</v>
      </c>
      <c r="G79" s="491">
        <f>COUNTIFS($B$15:$B$45,"fr",[0]!AUGUST,"Skema 2")</f>
        <v>0</v>
      </c>
      <c r="H79" s="483"/>
      <c r="I79" s="638" t="s">
        <v>561</v>
      </c>
      <c r="J79" s="638"/>
      <c r="K79" s="638"/>
      <c r="L79" s="638"/>
      <c r="M79" s="643"/>
      <c r="N79" s="643"/>
      <c r="O79" s="4"/>
      <c r="P79" s="654">
        <f>IF(Stamoplysninger!$B$31="Der er indgået lokalaftale omkring weekendtillæg(Kræver aftale med TR/FSL). Weekendtimerne udbetales.",FG46+FH46-FI46-FJ46,0)</f>
        <v>0</v>
      </c>
      <c r="Q79" s="610"/>
      <c r="R79" s="742"/>
      <c r="V79" t="s">
        <v>612</v>
      </c>
      <c r="Y79"/>
      <c r="Z79"/>
      <c r="AO79" s="1"/>
      <c r="BL79" s="1"/>
      <c r="BW79" s="242"/>
      <c r="BX79" s="242"/>
      <c r="CY79"/>
      <c r="CZ79"/>
    </row>
    <row r="80" spans="1:111" hidden="1">
      <c r="A80" s="491" t="s">
        <v>158</v>
      </c>
      <c r="B80" s="491"/>
      <c r="C80" s="491"/>
      <c r="D80" s="491">
        <f>COUNTIF([0]!AUGUST,"Ikke relevant")</f>
        <v>0</v>
      </c>
      <c r="E80" s="492"/>
      <c r="F80" s="494"/>
      <c r="G80" s="494"/>
      <c r="H80" s="489"/>
      <c r="I80" s="638" t="s">
        <v>567</v>
      </c>
      <c r="J80" s="638"/>
      <c r="K80" s="638"/>
      <c r="L80" s="638"/>
      <c r="M80" s="644"/>
      <c r="N80" s="644"/>
      <c r="O80" s="4"/>
      <c r="P80" s="637"/>
      <c r="R80" s="727">
        <f>IF(AND(C15="ikke relevant",S15="X"),V15*-1,0)</f>
        <v>0</v>
      </c>
      <c r="T80" s="727">
        <f>IF(AND(C15="ikke relevant",U15="X"),X15*-1,0)</f>
        <v>0</v>
      </c>
      <c r="V80">
        <f>IF(AND(C15="ikke relevant",H15&gt;""),R15*-1,0)</f>
        <v>0</v>
      </c>
      <c r="Y80"/>
      <c r="Z80"/>
      <c r="AO80" s="1"/>
      <c r="BL80" s="1"/>
      <c r="BW80" s="242"/>
      <c r="BX80" s="242"/>
      <c r="CY80"/>
      <c r="CZ80"/>
    </row>
    <row r="81" spans="1:111" hidden="1">
      <c r="A81" s="488" t="s">
        <v>406</v>
      </c>
      <c r="B81" s="491"/>
      <c r="C81" s="491"/>
      <c r="D81" s="491">
        <f>COUNTIF([0]!AUGUST,"Orlov")</f>
        <v>0</v>
      </c>
      <c r="E81" s="492"/>
      <c r="F81" s="491" t="s">
        <v>193</v>
      </c>
      <c r="G81" s="491">
        <f>COUNTIFS($B$15:$B$45,"ma",[0]!AUGUST,"Skema 3")</f>
        <v>0</v>
      </c>
      <c r="H81" s="483"/>
      <c r="I81" s="638"/>
      <c r="J81" s="638"/>
      <c r="K81" s="638"/>
      <c r="L81" s="496"/>
      <c r="M81" s="644"/>
      <c r="N81" s="644"/>
      <c r="O81" s="4"/>
      <c r="P81" s="637"/>
      <c r="R81" s="727">
        <f t="shared" ref="R81:R110" si="43">IF(AND(C16="ikke relevant",S16="X"),V16*-1,0)</f>
        <v>0</v>
      </c>
      <c r="T81" s="727">
        <f t="shared" ref="T81:T110" si="44">IF(AND(C16="ikke relevant",U16="X"),X16*-1,0)</f>
        <v>0</v>
      </c>
      <c r="V81">
        <f t="shared" ref="V81:V110" si="45">IF(AND(C16="ikke relevant",H16&gt;""),R16*-1,0)</f>
        <v>0</v>
      </c>
      <c r="Y81"/>
      <c r="Z81"/>
      <c r="AO81" s="1"/>
      <c r="BL81" s="1"/>
      <c r="BW81" s="242"/>
      <c r="BX81" s="242"/>
      <c r="CY81"/>
      <c r="CZ81"/>
    </row>
    <row r="82" spans="1:111" hidden="1">
      <c r="A82" s="491" t="s">
        <v>107</v>
      </c>
      <c r="B82" s="491"/>
      <c r="C82" s="491"/>
      <c r="D82" s="491">
        <f>SUM(D69:D81)</f>
        <v>31</v>
      </c>
      <c r="E82" s="491"/>
      <c r="F82" s="491" t="s">
        <v>194</v>
      </c>
      <c r="G82" s="491">
        <f>COUNTIFS($B$15:$B$45,"ti",[0]!AUGUST,"Skema 3")</f>
        <v>0</v>
      </c>
      <c r="H82" s="483"/>
      <c r="I82" s="638"/>
      <c r="J82" s="638"/>
      <c r="K82" s="638"/>
      <c r="L82" s="496"/>
      <c r="M82" s="644"/>
      <c r="N82" s="644"/>
      <c r="O82" s="4"/>
      <c r="P82" s="637"/>
      <c r="R82" s="727">
        <f t="shared" si="43"/>
        <v>0</v>
      </c>
      <c r="T82" s="727">
        <f t="shared" si="44"/>
        <v>0</v>
      </c>
      <c r="V82">
        <f t="shared" si="45"/>
        <v>0</v>
      </c>
      <c r="Y82"/>
      <c r="Z82"/>
      <c r="AO82" s="1"/>
      <c r="BL82" s="1"/>
      <c r="BW82" s="242"/>
      <c r="BX82" s="242"/>
      <c r="CY82"/>
      <c r="CZ82"/>
    </row>
    <row r="83" spans="1:111" hidden="1">
      <c r="A83" s="491" t="s">
        <v>236</v>
      </c>
      <c r="B83" s="491"/>
      <c r="C83" s="491"/>
      <c r="D83" s="491">
        <f>D82-D76-A92-D80</f>
        <v>21</v>
      </c>
      <c r="E83" s="495"/>
      <c r="F83" s="491" t="s">
        <v>195</v>
      </c>
      <c r="G83" s="491">
        <f>COUNTIFS($B$15:$B$45,"on",[0]!AUGUST,"Skema 3")</f>
        <v>0</v>
      </c>
      <c r="H83" s="483"/>
      <c r="I83" s="638"/>
      <c r="J83" s="638"/>
      <c r="K83" s="638"/>
      <c r="L83" s="496"/>
      <c r="M83" s="644"/>
      <c r="N83" s="644"/>
      <c r="O83" s="4"/>
      <c r="P83" s="637"/>
      <c r="R83" s="727">
        <f t="shared" si="43"/>
        <v>0</v>
      </c>
      <c r="T83" s="727">
        <f t="shared" si="44"/>
        <v>0</v>
      </c>
      <c r="V83">
        <f t="shared" si="45"/>
        <v>0</v>
      </c>
      <c r="Y83"/>
      <c r="Z83"/>
      <c r="AO83" s="1"/>
      <c r="BL83" s="1"/>
      <c r="BW83" s="242"/>
      <c r="BX83" s="242"/>
      <c r="CY83"/>
      <c r="CZ83"/>
    </row>
    <row r="84" spans="1:111" hidden="1">
      <c r="A84" s="491"/>
      <c r="B84" s="491"/>
      <c r="C84" s="491"/>
      <c r="D84" s="491"/>
      <c r="E84" s="491"/>
      <c r="F84" s="491" t="s">
        <v>196</v>
      </c>
      <c r="G84" s="491">
        <f>COUNTIFS($B$15:$B$45,"to",[0]!AUGUST,"Skema 3")</f>
        <v>0</v>
      </c>
      <c r="H84" s="483"/>
      <c r="I84" s="640"/>
      <c r="J84" s="638"/>
      <c r="K84" s="638"/>
      <c r="L84" s="496"/>
      <c r="M84" s="636"/>
      <c r="N84" s="636"/>
      <c r="O84" s="4"/>
      <c r="P84" s="637"/>
      <c r="R84" s="727">
        <f t="shared" si="43"/>
        <v>0</v>
      </c>
      <c r="T84" s="727">
        <f t="shared" si="44"/>
        <v>0</v>
      </c>
      <c r="V84">
        <f t="shared" si="45"/>
        <v>0</v>
      </c>
      <c r="Y84"/>
      <c r="Z84"/>
      <c r="AO84" s="1"/>
      <c r="BL84" s="1"/>
      <c r="BW84" s="242"/>
      <c r="BX84" s="242"/>
      <c r="CY84"/>
      <c r="CZ84"/>
    </row>
    <row r="85" spans="1:111" hidden="1">
      <c r="A85" s="491"/>
      <c r="B85" s="491"/>
      <c r="C85" s="491"/>
      <c r="D85" s="491"/>
      <c r="E85" s="491"/>
      <c r="F85" s="491" t="s">
        <v>197</v>
      </c>
      <c r="G85" s="491">
        <f>COUNTIFS($B$15:$B$45,"fr",[0]!AUGUST,"Skema 3")</f>
        <v>0</v>
      </c>
      <c r="H85" s="483"/>
      <c r="I85" s="491"/>
      <c r="J85" s="496"/>
      <c r="K85" s="496"/>
      <c r="L85" s="496"/>
      <c r="M85" s="4"/>
      <c r="N85" s="4"/>
      <c r="O85" s="4"/>
      <c r="P85" s="4"/>
      <c r="R85" s="727">
        <f t="shared" si="43"/>
        <v>0</v>
      </c>
      <c r="T85" s="727">
        <f t="shared" si="44"/>
        <v>0</v>
      </c>
      <c r="V85">
        <f t="shared" si="45"/>
        <v>0</v>
      </c>
      <c r="Y85"/>
      <c r="Z85"/>
      <c r="AO85" s="1"/>
      <c r="BL85" s="1"/>
      <c r="BW85" s="242"/>
      <c r="BX85" s="242"/>
      <c r="CY85"/>
      <c r="CZ85"/>
    </row>
    <row r="86" spans="1:111" hidden="1">
      <c r="A86" s="491" t="s">
        <v>289</v>
      </c>
      <c r="B86" s="491"/>
      <c r="C86" s="491"/>
      <c r="D86" s="491"/>
      <c r="E86" s="491"/>
      <c r="F86" s="491"/>
      <c r="G86" s="491"/>
      <c r="H86" s="483"/>
      <c r="I86" s="491"/>
      <c r="J86" s="496"/>
      <c r="K86" s="496"/>
      <c r="L86" s="496"/>
      <c r="M86" s="4"/>
      <c r="N86" s="4"/>
      <c r="O86" s="4"/>
      <c r="P86" s="4"/>
      <c r="R86" s="727">
        <f t="shared" si="43"/>
        <v>0</v>
      </c>
      <c r="T86" s="727">
        <f t="shared" si="44"/>
        <v>0</v>
      </c>
      <c r="V86">
        <f t="shared" si="45"/>
        <v>0</v>
      </c>
      <c r="Y86"/>
      <c r="Z86"/>
      <c r="AO86" s="1"/>
      <c r="BL86" s="1"/>
      <c r="BW86" s="242"/>
      <c r="BX86" s="242"/>
      <c r="CY86"/>
      <c r="CZ86"/>
    </row>
    <row r="87" spans="1:111" hidden="1">
      <c r="A87" s="491">
        <f>COUNTIF(C15:C16,"Skema 1")+COUNTIF(C15:C16,"Skema 2")+COUNTIF(C15:C16,"Skema 3")+COUNTIF(C15:C16,"Skema 4")+COUNTIF(C15:C16,"Fagdag")+COUNTIF(C15:C16,"Emnedag")+COUNTIF(C15:C16,"Lejrskole")+COUNTIF(C15:C16,"Ekskursion")+COUNTIF(C15:C16,"Pæd.dag")</f>
        <v>0</v>
      </c>
      <c r="B87" s="491"/>
      <c r="C87" s="491"/>
      <c r="D87" s="491"/>
      <c r="E87" s="491"/>
      <c r="F87" s="491" t="s">
        <v>198</v>
      </c>
      <c r="G87" s="491">
        <f>COUNTIFS($B$15:$B$45,"ma",[0]!AUGUST,"Skema 4")</f>
        <v>0</v>
      </c>
      <c r="H87" s="483"/>
      <c r="I87" s="491"/>
      <c r="J87" s="496"/>
      <c r="K87" s="496"/>
      <c r="L87" s="496"/>
      <c r="M87" s="4"/>
      <c r="N87" s="4"/>
      <c r="O87" s="4"/>
      <c r="P87" s="4"/>
      <c r="R87" s="727">
        <f t="shared" si="43"/>
        <v>0</v>
      </c>
      <c r="T87" s="727">
        <f t="shared" si="44"/>
        <v>0</v>
      </c>
      <c r="V87">
        <f t="shared" si="45"/>
        <v>0</v>
      </c>
      <c r="Y87"/>
      <c r="Z87"/>
      <c r="AO87" s="1">
        <f>SUM(N87:AN87)</f>
        <v>0</v>
      </c>
      <c r="BL87" s="1">
        <f>SUM(AI87:BK87)</f>
        <v>0</v>
      </c>
      <c r="BW87" s="242"/>
      <c r="BX87" s="242"/>
      <c r="CY87"/>
      <c r="CZ87"/>
    </row>
    <row r="88" spans="1:111" hidden="1">
      <c r="A88" s="491">
        <f>COUNTIF(C22:C23,"Skema 1")+COUNTIF(C22:C23,"Skema 2")+COUNTIF(C22:C23,"Skema 3")+COUNTIF(C22:C23,"Skema 4")+COUNTIF(C22:C23,"Fagdag")+COUNTIF(C22:C23,"Emnedag")+COUNTIF(C22:C23,"Lejrskole")+COUNTIF(C22:C23,"Ekskursion")+COUNTIF(C22:C23,"Pæd.dag")</f>
        <v>0</v>
      </c>
      <c r="B88" s="491"/>
      <c r="C88" s="491"/>
      <c r="D88" s="491"/>
      <c r="E88" s="491"/>
      <c r="F88" s="491" t="s">
        <v>199</v>
      </c>
      <c r="G88" s="491">
        <f>COUNTIFS($B$15:$B$45,"ti",[0]!AUGUST,"Skema 4")</f>
        <v>0</v>
      </c>
      <c r="H88" s="483"/>
      <c r="I88" s="491"/>
      <c r="J88" s="496"/>
      <c r="K88" s="496"/>
      <c r="L88" s="496"/>
      <c r="M88" s="4"/>
      <c r="N88" s="4"/>
      <c r="O88" s="4"/>
      <c r="P88" s="4"/>
      <c r="R88" s="727">
        <f t="shared" si="43"/>
        <v>0</v>
      </c>
      <c r="T88" s="727">
        <f t="shared" si="44"/>
        <v>0</v>
      </c>
      <c r="V88">
        <f t="shared" si="45"/>
        <v>0</v>
      </c>
      <c r="Y88"/>
      <c r="Z88"/>
      <c r="AO88" s="1">
        <f>SUM(N88:AN88)</f>
        <v>0</v>
      </c>
      <c r="BL88" s="1">
        <f>SUM(AI88:BK88)</f>
        <v>0</v>
      </c>
      <c r="BW88" s="242"/>
      <c r="BX88" s="242"/>
      <c r="CY88"/>
      <c r="CZ88"/>
    </row>
    <row r="89" spans="1:111" hidden="1">
      <c r="A89" s="491">
        <f>COUNTIF(C29:C30,"Skema 1")+COUNTIF(C29:C30,"Skema 2")+COUNTIF(C29:C30,"Skema 3")+COUNTIF(C29:C30,"Skema 4")+COUNTIF(C29:C30,"Fagdag")+COUNTIF(C29:C30,"Emnedag")+COUNTIF(C29:C30,"Lejrskole")+COUNTIF(C29:C30,"Ekskursion")+COUNTIF(C29:C30,"Pæd.dag")</f>
        <v>0</v>
      </c>
      <c r="B89" s="491"/>
      <c r="C89" s="491"/>
      <c r="D89" s="491"/>
      <c r="E89" s="491"/>
      <c r="F89" s="491" t="s">
        <v>200</v>
      </c>
      <c r="G89" s="491">
        <f>COUNTIFS($B$15:$B$45,"on",[0]!AUGUST,"Skema 4")</f>
        <v>0</v>
      </c>
      <c r="H89" s="483"/>
      <c r="I89" s="491"/>
      <c r="J89" s="496"/>
      <c r="K89" s="496"/>
      <c r="L89" s="496"/>
      <c r="M89" s="4"/>
      <c r="N89" s="4"/>
      <c r="O89" s="4"/>
      <c r="P89" s="4"/>
      <c r="R89" s="727">
        <f t="shared" si="43"/>
        <v>0</v>
      </c>
      <c r="T89" s="727">
        <f t="shared" si="44"/>
        <v>0</v>
      </c>
      <c r="V89">
        <f t="shared" si="45"/>
        <v>0</v>
      </c>
      <c r="Y89"/>
      <c r="Z89"/>
      <c r="AO89" s="1">
        <f>SUM(N89:AN89)</f>
        <v>0</v>
      </c>
      <c r="BL89" s="1">
        <f>SUM(AI89:BK89)</f>
        <v>0</v>
      </c>
      <c r="BW89" s="242"/>
      <c r="BX89" s="242"/>
      <c r="CY89"/>
      <c r="CZ89"/>
    </row>
    <row r="90" spans="1:111" hidden="1">
      <c r="A90" s="491">
        <f>COUNTIF(C36:C37,"Skema 1")+COUNTIF(C36:C37,"Skema 2")+COUNTIF(C36:C37,"Skema 3")+COUNTIF(C36:C37,"Skema 4")+COUNTIF(C36:C37,"Fagdag")+COUNTIF(C36:C37,"Emnedag")+COUNTIF(C36:C37,"Lejrskole")+COUNTIF(C36:C37,"Ekskursion")+COUNTIF(C36:C37,"Pæd.dag")</f>
        <v>0</v>
      </c>
      <c r="B90" s="491"/>
      <c r="C90" s="491"/>
      <c r="D90" s="491"/>
      <c r="E90" s="491"/>
      <c r="F90" s="491" t="s">
        <v>201</v>
      </c>
      <c r="G90" s="491">
        <f>COUNTIFS($B$15:$B$45,"to",[0]!AUGUST,"Skema 4")</f>
        <v>0</v>
      </c>
      <c r="H90" s="483"/>
      <c r="I90" s="491"/>
      <c r="J90" s="496"/>
      <c r="K90" s="496"/>
      <c r="L90" s="496"/>
      <c r="M90" s="4"/>
      <c r="N90" s="4"/>
      <c r="O90" s="4"/>
      <c r="P90" s="4"/>
      <c r="R90" s="727">
        <f t="shared" si="43"/>
        <v>0</v>
      </c>
      <c r="T90" s="727">
        <f t="shared" si="44"/>
        <v>0</v>
      </c>
      <c r="V90">
        <f t="shared" si="45"/>
        <v>0</v>
      </c>
      <c r="Y90"/>
      <c r="Z90"/>
      <c r="AO90" s="1">
        <f>SUM(N90:AN90)</f>
        <v>0</v>
      </c>
      <c r="BL90" s="1">
        <f>SUM(AI90:BK90)</f>
        <v>0</v>
      </c>
      <c r="BW90" s="242"/>
      <c r="BX90" s="242"/>
      <c r="CY90"/>
      <c r="CZ90"/>
    </row>
    <row r="91" spans="1:111" hidden="1">
      <c r="A91" s="491">
        <f>COUNTIF(C43:C44,"skema 1")+COUNTIF(C43:C44,"Skema 2")+COUNTIF(C43:C44,"Skema 3")+COUNTIF(C43:C44,"Skema 4")+COUNTIF(C43:C44,"Fagdag")+COUNTIF(C43:C44,"Emnedag")+COUNTIF(C43:C44,"Lejrskole")+COUNTIF(C43:C44,"Ekskursion")+COUNTIF(C43:C44,"Pæd.dag")</f>
        <v>0</v>
      </c>
      <c r="B91" s="491"/>
      <c r="C91" s="491"/>
      <c r="D91" s="491"/>
      <c r="E91" s="491"/>
      <c r="F91" s="491" t="s">
        <v>202</v>
      </c>
      <c r="G91" s="491">
        <f>COUNTIFS($B$15:$B$45,"fr",[0]!AUGUST,"Skema 4")</f>
        <v>0</v>
      </c>
      <c r="H91" s="483"/>
      <c r="I91" s="483"/>
      <c r="J91" s="486"/>
      <c r="K91" s="486"/>
      <c r="L91" s="38"/>
      <c r="R91" s="727">
        <f t="shared" si="43"/>
        <v>0</v>
      </c>
      <c r="T91" s="727">
        <f t="shared" si="44"/>
        <v>0</v>
      </c>
      <c r="V91">
        <f t="shared" si="45"/>
        <v>0</v>
      </c>
      <c r="Y91"/>
      <c r="Z91"/>
      <c r="BW91" s="242"/>
      <c r="BX91" s="242"/>
      <c r="CY91"/>
      <c r="CZ91"/>
    </row>
    <row r="92" spans="1:111" hidden="1">
      <c r="A92" s="491">
        <f>SUM(A87:A91)</f>
        <v>0</v>
      </c>
      <c r="B92" s="491"/>
      <c r="C92" s="491"/>
      <c r="D92" s="491"/>
      <c r="E92" s="491"/>
      <c r="F92" s="491"/>
      <c r="G92" s="491">
        <f>SUM(G69:G91)</f>
        <v>15</v>
      </c>
      <c r="H92" s="486"/>
      <c r="I92" s="483"/>
      <c r="J92" s="486"/>
      <c r="K92" s="486"/>
      <c r="L92" s="38"/>
      <c r="R92" s="727">
        <f t="shared" si="43"/>
        <v>0</v>
      </c>
      <c r="T92" s="727">
        <f t="shared" si="44"/>
        <v>0</v>
      </c>
      <c r="V92">
        <f t="shared" si="45"/>
        <v>0</v>
      </c>
      <c r="Y92"/>
      <c r="Z92"/>
      <c r="BW92" s="242"/>
      <c r="BX92" s="242"/>
      <c r="CY92"/>
      <c r="CZ92"/>
    </row>
    <row r="93" spans="1:111" hidden="1">
      <c r="A93" s="496"/>
      <c r="B93" s="496"/>
      <c r="C93" s="496"/>
      <c r="D93" s="496"/>
      <c r="E93" s="491"/>
      <c r="F93" s="491"/>
      <c r="G93" s="491"/>
      <c r="H93" s="486"/>
      <c r="I93" s="486"/>
      <c r="J93" s="486"/>
      <c r="K93" s="486"/>
      <c r="L93" s="38"/>
      <c r="R93" s="727">
        <f t="shared" si="43"/>
        <v>0</v>
      </c>
      <c r="T93" s="727">
        <f t="shared" si="44"/>
        <v>0</v>
      </c>
      <c r="V93">
        <f t="shared" si="45"/>
        <v>0</v>
      </c>
      <c r="Y93"/>
      <c r="Z93"/>
      <c r="BW93" s="242"/>
      <c r="BX93" s="242"/>
      <c r="CY93"/>
      <c r="CZ93"/>
    </row>
    <row r="94" spans="1:111" hidden="1">
      <c r="A94" s="497" t="s">
        <v>203</v>
      </c>
      <c r="B94" s="496"/>
      <c r="C94" s="496"/>
      <c r="D94" s="496"/>
      <c r="E94" s="491"/>
      <c r="F94" s="491"/>
      <c r="G94" s="491"/>
      <c r="H94" s="486"/>
      <c r="I94" s="38"/>
      <c r="J94" s="486"/>
      <c r="K94" s="486"/>
      <c r="L94" s="38"/>
      <c r="R94" s="727">
        <f t="shared" si="43"/>
        <v>0</v>
      </c>
      <c r="T94" s="727">
        <f t="shared" si="44"/>
        <v>0</v>
      </c>
      <c r="V94">
        <f t="shared" si="45"/>
        <v>0</v>
      </c>
      <c r="Y94"/>
      <c r="Z94"/>
      <c r="BW94" s="242"/>
      <c r="BX94" s="242"/>
      <c r="CY94"/>
      <c r="CZ94"/>
    </row>
    <row r="95" spans="1:111" hidden="1">
      <c r="A95" s="498" t="s">
        <v>204</v>
      </c>
      <c r="B95" s="496"/>
      <c r="C95" s="496"/>
      <c r="D95" s="496"/>
      <c r="E95" s="483"/>
      <c r="F95" s="483"/>
      <c r="G95" s="483"/>
      <c r="H95" s="486"/>
      <c r="I95" s="38"/>
      <c r="J95" s="38"/>
      <c r="K95" s="38"/>
      <c r="L95" s="38"/>
      <c r="R95" s="727">
        <f t="shared" si="43"/>
        <v>0</v>
      </c>
      <c r="T95" s="727">
        <f t="shared" si="44"/>
        <v>0</v>
      </c>
      <c r="V95">
        <f t="shared" si="45"/>
        <v>0</v>
      </c>
      <c r="Y95"/>
      <c r="Z95"/>
      <c r="BW95" s="242"/>
      <c r="BX95" s="242"/>
      <c r="CY95"/>
      <c r="CZ95"/>
    </row>
    <row r="96" spans="1:111" hidden="1">
      <c r="A96" s="499" t="s">
        <v>205</v>
      </c>
      <c r="B96" s="486"/>
      <c r="C96" s="486"/>
      <c r="D96" s="486"/>
      <c r="E96" s="483"/>
      <c r="F96" s="483"/>
      <c r="G96" s="483"/>
      <c r="H96" s="486"/>
      <c r="I96" s="38"/>
      <c r="J96" s="38"/>
      <c r="K96" s="38"/>
      <c r="L96" s="38"/>
      <c r="R96" s="727">
        <f t="shared" si="43"/>
        <v>0</v>
      </c>
      <c r="T96" s="727">
        <f t="shared" si="44"/>
        <v>0</v>
      </c>
      <c r="V96">
        <f t="shared" si="45"/>
        <v>0</v>
      </c>
      <c r="Y96"/>
      <c r="Z96"/>
      <c r="AD96" s="4"/>
      <c r="AE96" s="226"/>
      <c r="AF96" s="226"/>
      <c r="AG96" s="226"/>
      <c r="AH96" s="226"/>
      <c r="CY96"/>
      <c r="CZ96"/>
      <c r="DF96" s="242"/>
      <c r="DG96" s="242"/>
    </row>
    <row r="97" spans="1:111" hidden="1">
      <c r="A97" s="483" t="s">
        <v>206</v>
      </c>
      <c r="B97" s="486"/>
      <c r="C97" s="486"/>
      <c r="D97" s="486"/>
      <c r="E97" s="483"/>
      <c r="F97" s="483"/>
      <c r="G97" s="483"/>
      <c r="H97" s="486"/>
      <c r="I97" s="38"/>
      <c r="J97" s="38"/>
      <c r="K97" s="38"/>
      <c r="L97" s="38"/>
      <c r="R97" s="727">
        <f t="shared" si="43"/>
        <v>0</v>
      </c>
      <c r="T97" s="727">
        <f t="shared" si="44"/>
        <v>0</v>
      </c>
      <c r="V97">
        <f t="shared" si="45"/>
        <v>0</v>
      </c>
      <c r="Y97"/>
      <c r="Z97"/>
      <c r="AD97" s="4"/>
      <c r="AE97" s="226"/>
      <c r="AF97" s="226"/>
      <c r="AG97" s="226"/>
      <c r="AH97" s="226"/>
      <c r="CY97"/>
      <c r="CZ97"/>
      <c r="DF97" s="242"/>
      <c r="DG97" s="242"/>
    </row>
    <row r="98" spans="1:111" hidden="1">
      <c r="A98" s="120" t="s">
        <v>134</v>
      </c>
      <c r="B98" s="38"/>
      <c r="C98" s="38"/>
      <c r="D98" s="38"/>
      <c r="E98" s="120"/>
      <c r="F98" s="120"/>
      <c r="G98" s="120"/>
      <c r="H98" s="38"/>
      <c r="I98" s="38"/>
      <c r="J98" s="38"/>
      <c r="K98" s="38"/>
      <c r="L98" s="38"/>
      <c r="R98" s="727">
        <f t="shared" si="43"/>
        <v>0</v>
      </c>
      <c r="T98" s="727">
        <f t="shared" si="44"/>
        <v>0</v>
      </c>
      <c r="V98">
        <f t="shared" si="45"/>
        <v>0</v>
      </c>
    </row>
    <row r="99" spans="1:111" hidden="1">
      <c r="A99" s="120" t="s">
        <v>208</v>
      </c>
      <c r="B99" s="38"/>
      <c r="C99" s="38"/>
      <c r="D99" s="38"/>
      <c r="E99" s="120"/>
      <c r="F99" s="120"/>
      <c r="G99" s="120"/>
      <c r="H99" s="38"/>
      <c r="I99" s="38"/>
      <c r="J99" s="38"/>
      <c r="K99" s="38"/>
      <c r="L99" s="38"/>
      <c r="R99" s="727">
        <f t="shared" si="43"/>
        <v>0</v>
      </c>
      <c r="T99" s="727">
        <f t="shared" si="44"/>
        <v>0</v>
      </c>
      <c r="V99">
        <f t="shared" si="45"/>
        <v>0</v>
      </c>
    </row>
    <row r="100" spans="1:111" hidden="1">
      <c r="A100" s="120" t="s">
        <v>135</v>
      </c>
      <c r="B100" s="38"/>
      <c r="C100" s="38"/>
      <c r="D100" s="38"/>
      <c r="E100" s="120"/>
      <c r="F100" s="120"/>
      <c r="G100" s="120"/>
      <c r="H100" s="38"/>
      <c r="I100" s="38"/>
      <c r="J100" s="38"/>
      <c r="K100" s="38"/>
      <c r="L100" s="38"/>
      <c r="R100" s="727">
        <f t="shared" si="43"/>
        <v>0</v>
      </c>
      <c r="T100" s="727">
        <f t="shared" si="44"/>
        <v>0</v>
      </c>
      <c r="V100">
        <f t="shared" si="45"/>
        <v>0</v>
      </c>
    </row>
    <row r="101" spans="1:111" hidden="1">
      <c r="A101" s="462" t="s">
        <v>136</v>
      </c>
      <c r="B101" s="38"/>
      <c r="C101" s="38"/>
      <c r="D101" s="38"/>
      <c r="E101" s="120"/>
      <c r="F101" s="120"/>
      <c r="G101" s="120"/>
      <c r="H101" s="38"/>
      <c r="I101" s="38"/>
      <c r="J101" s="38"/>
      <c r="K101" s="38"/>
      <c r="L101" s="38"/>
      <c r="R101" s="727">
        <f t="shared" si="43"/>
        <v>0</v>
      </c>
      <c r="T101" s="727">
        <f t="shared" si="44"/>
        <v>0</v>
      </c>
      <c r="V101">
        <f t="shared" si="45"/>
        <v>0</v>
      </c>
    </row>
    <row r="102" spans="1:111" hidden="1">
      <c r="A102" s="463" t="s">
        <v>137</v>
      </c>
      <c r="B102" s="38"/>
      <c r="C102" s="38"/>
      <c r="D102" s="38"/>
      <c r="E102" s="120"/>
      <c r="F102" s="120"/>
      <c r="G102" s="120"/>
      <c r="H102" s="38"/>
      <c r="I102" s="38"/>
      <c r="J102" s="38"/>
      <c r="K102" s="38"/>
      <c r="L102" s="38"/>
      <c r="R102" s="727">
        <f t="shared" si="43"/>
        <v>0</v>
      </c>
      <c r="T102" s="727">
        <f t="shared" si="44"/>
        <v>0</v>
      </c>
      <c r="V102">
        <f t="shared" si="45"/>
        <v>0</v>
      </c>
    </row>
    <row r="103" spans="1:111" hidden="1">
      <c r="A103" s="464" t="s">
        <v>126</v>
      </c>
      <c r="B103" s="38"/>
      <c r="C103" s="38"/>
      <c r="D103" s="38"/>
      <c r="E103" s="38"/>
      <c r="F103" s="38"/>
      <c r="G103" s="38"/>
      <c r="H103" s="38"/>
      <c r="I103" s="38"/>
      <c r="J103" s="38"/>
      <c r="K103" s="38"/>
      <c r="L103" s="38"/>
      <c r="R103" s="727">
        <f t="shared" si="43"/>
        <v>0</v>
      </c>
      <c r="T103" s="727">
        <f t="shared" si="44"/>
        <v>0</v>
      </c>
      <c r="V103">
        <f t="shared" si="45"/>
        <v>0</v>
      </c>
    </row>
    <row r="104" spans="1:111" hidden="1">
      <c r="A104" s="465" t="s">
        <v>118</v>
      </c>
      <c r="B104" s="38"/>
      <c r="C104" s="38"/>
      <c r="D104" s="38"/>
      <c r="E104" s="38"/>
      <c r="F104" s="38"/>
      <c r="G104" s="38"/>
      <c r="H104" s="38"/>
      <c r="I104" s="38"/>
      <c r="J104" s="38"/>
      <c r="K104" s="38"/>
      <c r="L104" s="38"/>
      <c r="R104" s="727">
        <f t="shared" si="43"/>
        <v>0</v>
      </c>
      <c r="T104" s="727">
        <f t="shared" si="44"/>
        <v>0</v>
      </c>
      <c r="V104">
        <f t="shared" si="45"/>
        <v>0</v>
      </c>
    </row>
    <row r="105" spans="1:111" hidden="1">
      <c r="A105" s="466" t="s">
        <v>207</v>
      </c>
      <c r="B105" s="38"/>
      <c r="C105" s="38"/>
      <c r="D105" s="38"/>
      <c r="E105" s="38"/>
      <c r="F105" s="38"/>
      <c r="G105" s="38"/>
      <c r="H105" s="38"/>
      <c r="I105" s="38"/>
      <c r="J105" s="38"/>
      <c r="K105" s="38"/>
      <c r="L105" s="432"/>
      <c r="R105" s="727">
        <f t="shared" si="43"/>
        <v>0</v>
      </c>
      <c r="T105" s="727">
        <f t="shared" si="44"/>
        <v>0</v>
      </c>
      <c r="V105">
        <f t="shared" si="45"/>
        <v>0</v>
      </c>
    </row>
    <row r="106" spans="1:111" hidden="1">
      <c r="A106" s="467" t="s">
        <v>117</v>
      </c>
      <c r="B106" s="38"/>
      <c r="C106" s="38"/>
      <c r="D106" s="38"/>
      <c r="E106" s="38"/>
      <c r="F106" s="38"/>
      <c r="G106" s="38"/>
      <c r="H106" s="38"/>
      <c r="I106" s="38"/>
      <c r="J106" s="38"/>
      <c r="K106" s="38"/>
      <c r="L106" s="432"/>
      <c r="R106" s="727">
        <f t="shared" si="43"/>
        <v>0</v>
      </c>
      <c r="T106" s="727">
        <f t="shared" si="44"/>
        <v>0</v>
      </c>
      <c r="V106">
        <f t="shared" si="45"/>
        <v>0</v>
      </c>
    </row>
    <row r="107" spans="1:111" hidden="1">
      <c r="A107" s="467" t="s">
        <v>406</v>
      </c>
      <c r="B107" s="38"/>
      <c r="C107" s="38"/>
      <c r="D107" s="38"/>
      <c r="E107" s="38"/>
      <c r="F107" s="38"/>
      <c r="G107" s="38"/>
      <c r="H107" s="38"/>
      <c r="I107" s="38"/>
      <c r="J107" s="38"/>
      <c r="K107" s="38"/>
      <c r="L107" s="432"/>
      <c r="R107" s="727">
        <f t="shared" si="43"/>
        <v>0</v>
      </c>
      <c r="T107" s="727">
        <f t="shared" si="44"/>
        <v>0</v>
      </c>
      <c r="V107">
        <f t="shared" si="45"/>
        <v>0</v>
      </c>
    </row>
    <row r="108" spans="1:111" hidden="1">
      <c r="A108" s="174" t="s">
        <v>158</v>
      </c>
      <c r="B108" s="38"/>
      <c r="C108" s="38"/>
      <c r="D108" s="38"/>
      <c r="E108" s="38"/>
      <c r="F108" s="38"/>
      <c r="G108" s="38"/>
      <c r="H108" s="38"/>
      <c r="I108" s="432"/>
      <c r="J108" s="38"/>
      <c r="K108" s="38"/>
      <c r="L108" s="432"/>
      <c r="R108" s="727">
        <f t="shared" si="43"/>
        <v>0</v>
      </c>
      <c r="T108" s="727">
        <f t="shared" si="44"/>
        <v>0</v>
      </c>
      <c r="V108">
        <f t="shared" si="45"/>
        <v>0</v>
      </c>
    </row>
    <row r="109" spans="1:111" hidden="1">
      <c r="A109" s="38"/>
      <c r="B109" s="38"/>
      <c r="C109" s="38"/>
      <c r="D109" s="38"/>
      <c r="E109" s="38"/>
      <c r="F109" s="38"/>
      <c r="G109" s="38"/>
      <c r="H109" s="38"/>
      <c r="I109" s="432"/>
      <c r="J109" s="432"/>
      <c r="K109" s="432"/>
      <c r="L109" s="432"/>
      <c r="R109" s="727">
        <f t="shared" si="43"/>
        <v>0</v>
      </c>
      <c r="T109" s="727">
        <f t="shared" si="44"/>
        <v>0</v>
      </c>
      <c r="V109">
        <f t="shared" si="45"/>
        <v>0</v>
      </c>
    </row>
    <row r="110" spans="1:111" ht="17" hidden="1" thickBot="1">
      <c r="A110" s="38"/>
      <c r="B110" s="38"/>
      <c r="C110" s="38"/>
      <c r="D110" s="38"/>
      <c r="E110" s="38"/>
      <c r="F110" s="38"/>
      <c r="G110" s="38"/>
      <c r="H110" s="38"/>
      <c r="I110" s="432"/>
      <c r="J110" s="432"/>
      <c r="K110" s="432"/>
      <c r="L110" s="432"/>
      <c r="R110" s="727">
        <f t="shared" si="43"/>
        <v>0</v>
      </c>
      <c r="T110" s="727">
        <f t="shared" si="44"/>
        <v>0</v>
      </c>
      <c r="V110">
        <f t="shared" si="45"/>
        <v>0</v>
      </c>
    </row>
    <row r="111" spans="1:111" ht="17" hidden="1" thickBot="1">
      <c r="A111" s="38"/>
      <c r="B111" s="38"/>
      <c r="C111" s="38"/>
      <c r="D111" s="38"/>
      <c r="E111" s="38"/>
      <c r="F111" s="38"/>
      <c r="G111" s="38"/>
      <c r="H111" s="38"/>
      <c r="I111" s="432"/>
      <c r="J111" s="432"/>
      <c r="K111" s="432"/>
      <c r="L111" s="432"/>
      <c r="P111" t="s">
        <v>664</v>
      </c>
      <c r="R111" s="669">
        <f>SUM(R80:R110)</f>
        <v>0</v>
      </c>
      <c r="S111" s="669">
        <f>SUM(S80:S110)</f>
        <v>0</v>
      </c>
      <c r="T111" s="669">
        <f>SUM(T80:T110)</f>
        <v>0</v>
      </c>
      <c r="V111">
        <f>SUM(V80:V110)</f>
        <v>0</v>
      </c>
    </row>
    <row r="112" spans="1:111" hidden="1">
      <c r="A112" s="432"/>
      <c r="B112" s="432"/>
      <c r="C112" s="432"/>
      <c r="D112" s="432"/>
      <c r="E112" s="432"/>
      <c r="F112" s="432"/>
      <c r="G112" s="432"/>
      <c r="H112" s="432"/>
      <c r="I112" s="432"/>
      <c r="J112" s="432"/>
      <c r="K112" s="432"/>
      <c r="L112" s="432"/>
      <c r="R112" s="1030" t="s">
        <v>666</v>
      </c>
      <c r="T112" s="1030" t="s">
        <v>667</v>
      </c>
    </row>
    <row r="113" spans="1:20" ht="18" hidden="1" customHeight="1">
      <c r="A113" s="432"/>
      <c r="B113" s="432"/>
      <c r="C113" s="432"/>
      <c r="D113" s="432"/>
      <c r="E113" s="432"/>
      <c r="F113" s="432"/>
      <c r="G113" s="432"/>
      <c r="H113" s="432"/>
      <c r="I113" s="432"/>
      <c r="J113" s="432"/>
      <c r="K113" s="432"/>
      <c r="L113" s="432"/>
      <c r="R113" s="884"/>
      <c r="T113" s="884"/>
    </row>
    <row r="114" spans="1:20" hidden="1">
      <c r="A114" s="432"/>
      <c r="B114" s="432"/>
      <c r="C114" s="432"/>
      <c r="D114" s="432"/>
      <c r="E114" s="432"/>
      <c r="F114" s="432"/>
      <c r="G114" s="432"/>
      <c r="H114" s="432"/>
      <c r="I114" s="432"/>
      <c r="J114" s="432"/>
      <c r="K114" s="432"/>
      <c r="L114" s="432"/>
      <c r="R114" s="884"/>
      <c r="T114" s="884"/>
    </row>
    <row r="115" spans="1:20" hidden="1">
      <c r="A115" s="432"/>
      <c r="B115" s="432"/>
      <c r="C115" s="432"/>
      <c r="D115" s="432"/>
      <c r="E115" s="432"/>
      <c r="F115" s="432"/>
      <c r="G115" s="432"/>
      <c r="H115" s="432"/>
      <c r="I115" s="432"/>
      <c r="J115" s="432"/>
      <c r="K115" s="432"/>
      <c r="L115" s="432"/>
      <c r="R115" s="884"/>
      <c r="T115" s="884"/>
    </row>
    <row r="116" spans="1:20" hidden="1">
      <c r="A116" s="432"/>
      <c r="B116" s="432"/>
      <c r="C116" s="432"/>
      <c r="D116" s="432"/>
      <c r="E116" s="432"/>
      <c r="F116" s="432"/>
      <c r="G116" s="432"/>
      <c r="H116" s="432"/>
      <c r="I116" s="432"/>
      <c r="J116" s="432"/>
      <c r="K116" s="432"/>
      <c r="L116" s="432"/>
    </row>
    <row r="117" spans="1:20" hidden="1">
      <c r="A117" s="432"/>
      <c r="B117" s="432"/>
      <c r="C117" s="432"/>
      <c r="D117" s="432"/>
      <c r="E117" s="432"/>
      <c r="F117" s="432"/>
      <c r="G117" s="432"/>
      <c r="H117" s="432"/>
      <c r="I117" s="432"/>
      <c r="J117" s="432"/>
      <c r="K117" s="432"/>
      <c r="L117" s="432"/>
    </row>
    <row r="118" spans="1:20" hidden="1">
      <c r="A118" s="432"/>
      <c r="B118" s="432"/>
      <c r="C118" s="432"/>
      <c r="D118" s="432"/>
      <c r="E118" s="432"/>
      <c r="F118" s="432"/>
      <c r="G118" s="432"/>
      <c r="H118" s="432"/>
      <c r="I118" s="432"/>
      <c r="J118" s="432"/>
      <c r="K118" s="432"/>
      <c r="L118" s="432"/>
    </row>
    <row r="119" spans="1:20" hidden="1">
      <c r="A119" s="432"/>
      <c r="B119" s="432"/>
      <c r="C119" s="432"/>
      <c r="D119" s="432"/>
      <c r="E119" s="432"/>
      <c r="F119" s="432"/>
      <c r="G119" s="432"/>
      <c r="H119" s="432"/>
      <c r="I119" s="432"/>
      <c r="J119" s="432"/>
      <c r="K119" s="432"/>
      <c r="L119" s="432"/>
    </row>
    <row r="120" spans="1:20" hidden="1">
      <c r="A120" s="432"/>
      <c r="B120" s="432"/>
      <c r="C120" s="432"/>
      <c r="D120" s="432"/>
      <c r="E120" s="432"/>
      <c r="F120" s="432"/>
      <c r="G120" s="432"/>
      <c r="H120" s="432"/>
      <c r="I120" s="432"/>
      <c r="J120" s="432"/>
      <c r="K120" s="432"/>
      <c r="L120" s="432"/>
    </row>
    <row r="121" spans="1:20" hidden="1">
      <c r="A121" s="432"/>
      <c r="B121" s="432"/>
      <c r="C121" s="432"/>
      <c r="D121" s="432"/>
      <c r="E121" s="432"/>
      <c r="F121" s="432"/>
      <c r="G121" s="432"/>
      <c r="H121" s="432"/>
      <c r="I121" s="432"/>
      <c r="J121" s="432"/>
      <c r="K121" s="432"/>
      <c r="L121" s="432"/>
    </row>
    <row r="122" spans="1:20">
      <c r="A122" s="432"/>
      <c r="B122" s="432"/>
      <c r="C122" s="432"/>
      <c r="D122" s="432"/>
      <c r="E122" s="432"/>
      <c r="F122" s="432"/>
      <c r="G122" s="432"/>
      <c r="H122" s="432"/>
      <c r="I122" s="432"/>
      <c r="J122" s="432"/>
      <c r="K122" s="432"/>
      <c r="L122" s="432"/>
    </row>
    <row r="123" spans="1:20">
      <c r="A123" s="432"/>
      <c r="B123" s="432"/>
      <c r="C123" s="432"/>
      <c r="D123" s="432"/>
      <c r="E123" s="432"/>
      <c r="F123" s="432"/>
      <c r="G123" s="432"/>
      <c r="H123" s="432"/>
      <c r="I123" s="432"/>
      <c r="J123" s="432"/>
      <c r="K123" s="432"/>
      <c r="L123" s="432"/>
    </row>
    <row r="124" spans="1:20">
      <c r="A124" s="432"/>
      <c r="B124" s="432"/>
      <c r="C124" s="432"/>
      <c r="D124" s="432"/>
      <c r="E124" s="432"/>
      <c r="F124" s="432"/>
      <c r="G124" s="432"/>
      <c r="H124" s="432"/>
      <c r="I124" s="432"/>
      <c r="J124" s="432"/>
      <c r="K124" s="432"/>
      <c r="L124" s="432"/>
    </row>
    <row r="125" spans="1:20">
      <c r="A125" s="432"/>
      <c r="B125" s="432"/>
      <c r="C125" s="432"/>
      <c r="D125" s="432"/>
      <c r="E125" s="432"/>
      <c r="F125" s="432"/>
      <c r="G125" s="432"/>
      <c r="H125" s="432"/>
      <c r="I125" s="432"/>
      <c r="J125" s="432"/>
      <c r="K125" s="432"/>
      <c r="L125" s="432"/>
    </row>
    <row r="126" spans="1:20">
      <c r="A126" s="432"/>
      <c r="B126" s="432"/>
      <c r="C126" s="432"/>
      <c r="D126" s="432"/>
      <c r="E126" s="432"/>
      <c r="F126" s="432"/>
      <c r="G126" s="432"/>
      <c r="H126" s="432"/>
      <c r="I126" s="432"/>
      <c r="J126" s="432"/>
      <c r="K126" s="432"/>
      <c r="L126" s="432"/>
    </row>
    <row r="127" spans="1:20">
      <c r="A127" s="432"/>
      <c r="B127" s="432"/>
      <c r="C127" s="432"/>
      <c r="D127" s="432"/>
      <c r="E127" s="432"/>
      <c r="F127" s="432"/>
      <c r="G127" s="432"/>
      <c r="H127" s="432"/>
      <c r="I127" s="432"/>
      <c r="J127" s="432"/>
      <c r="K127" s="432"/>
      <c r="L127" s="432"/>
    </row>
    <row r="128" spans="1:20">
      <c r="A128" s="432"/>
      <c r="B128" s="432"/>
      <c r="C128" s="432"/>
      <c r="D128" s="432"/>
      <c r="E128" s="432"/>
      <c r="F128" s="432"/>
      <c r="G128" s="432"/>
      <c r="H128" s="432"/>
      <c r="I128" s="432"/>
      <c r="J128" s="432"/>
      <c r="K128" s="432"/>
      <c r="L128" s="432"/>
    </row>
    <row r="129" spans="1:12">
      <c r="A129" s="432"/>
      <c r="B129" s="432"/>
      <c r="C129" s="432"/>
      <c r="D129" s="432"/>
      <c r="E129" s="432"/>
      <c r="F129" s="432"/>
      <c r="G129" s="432"/>
      <c r="H129" s="432"/>
      <c r="I129" s="432"/>
      <c r="J129" s="432"/>
      <c r="K129" s="432"/>
      <c r="L129" s="432"/>
    </row>
    <row r="130" spans="1:12">
      <c r="A130" s="432"/>
      <c r="B130" s="432"/>
      <c r="C130" s="432"/>
      <c r="D130" s="432"/>
      <c r="E130" s="432"/>
      <c r="F130" s="432"/>
      <c r="G130" s="432"/>
      <c r="H130" s="432"/>
      <c r="I130" s="432"/>
      <c r="J130" s="432"/>
      <c r="K130" s="432"/>
      <c r="L130" s="432"/>
    </row>
    <row r="131" spans="1:12">
      <c r="A131" s="432"/>
      <c r="B131" s="432"/>
      <c r="C131" s="432"/>
      <c r="D131" s="432"/>
      <c r="E131" s="432"/>
      <c r="F131" s="432"/>
      <c r="G131" s="432"/>
      <c r="H131" s="432"/>
      <c r="I131" s="432"/>
      <c r="J131" s="432"/>
      <c r="K131" s="432"/>
      <c r="L131" s="432"/>
    </row>
    <row r="132" spans="1:12">
      <c r="A132" s="432"/>
      <c r="B132" s="432"/>
      <c r="C132" s="432"/>
      <c r="D132" s="432"/>
      <c r="E132" s="432"/>
      <c r="F132" s="432"/>
      <c r="G132" s="432"/>
      <c r="H132" s="432"/>
      <c r="I132" s="432"/>
      <c r="J132" s="432"/>
      <c r="K132" s="432"/>
      <c r="L132" s="432"/>
    </row>
    <row r="133" spans="1:12">
      <c r="A133" s="432"/>
      <c r="B133" s="432"/>
      <c r="C133" s="432"/>
      <c r="D133" s="432"/>
      <c r="E133" s="432"/>
      <c r="F133" s="432"/>
      <c r="G133" s="432"/>
      <c r="H133" s="432"/>
      <c r="I133" s="432"/>
      <c r="J133" s="432"/>
      <c r="K133" s="432"/>
      <c r="L133" s="432"/>
    </row>
    <row r="134" spans="1:12">
      <c r="A134" s="432"/>
      <c r="B134" s="432"/>
      <c r="C134" s="432"/>
      <c r="D134" s="432"/>
      <c r="E134" s="432"/>
      <c r="F134" s="432"/>
      <c r="G134" s="432"/>
      <c r="H134" s="432"/>
      <c r="I134" s="432"/>
      <c r="J134" s="432"/>
      <c r="K134" s="432"/>
      <c r="L134" s="432"/>
    </row>
    <row r="135" spans="1:12">
      <c r="A135" s="432"/>
      <c r="B135" s="432"/>
      <c r="C135" s="432"/>
      <c r="D135" s="432"/>
      <c r="E135" s="432"/>
      <c r="F135" s="432"/>
      <c r="G135" s="432"/>
      <c r="H135" s="432"/>
      <c r="I135" s="432"/>
      <c r="J135" s="432"/>
      <c r="K135" s="432"/>
      <c r="L135" s="432"/>
    </row>
    <row r="136" spans="1:12">
      <c r="A136" s="432"/>
      <c r="B136" s="432"/>
      <c r="C136" s="432"/>
      <c r="D136" s="432"/>
      <c r="E136" s="432"/>
      <c r="F136" s="432"/>
      <c r="G136" s="432"/>
      <c r="H136" s="432"/>
      <c r="I136" s="432"/>
      <c r="J136" s="432"/>
      <c r="K136" s="432"/>
      <c r="L136" s="432"/>
    </row>
    <row r="137" spans="1:12">
      <c r="A137" s="432"/>
      <c r="B137" s="432"/>
      <c r="C137" s="432"/>
      <c r="D137" s="432"/>
      <c r="E137" s="432"/>
      <c r="F137" s="432"/>
      <c r="G137" s="432"/>
      <c r="H137" s="432"/>
      <c r="I137" s="432"/>
      <c r="J137" s="432"/>
      <c r="K137" s="432"/>
      <c r="L137" s="432"/>
    </row>
    <row r="138" spans="1:12">
      <c r="A138" s="432"/>
      <c r="B138" s="432"/>
      <c r="C138" s="432"/>
      <c r="D138" s="432"/>
      <c r="E138" s="432"/>
      <c r="F138" s="432"/>
      <c r="G138" s="432"/>
      <c r="H138" s="432"/>
      <c r="I138" s="432"/>
      <c r="J138" s="432"/>
      <c r="K138" s="432"/>
      <c r="L138" s="432"/>
    </row>
    <row r="139" spans="1:12">
      <c r="A139" s="432"/>
      <c r="B139" s="432"/>
      <c r="C139" s="432"/>
      <c r="D139" s="432"/>
      <c r="E139" s="432"/>
      <c r="F139" s="432"/>
      <c r="G139" s="432"/>
      <c r="H139" s="432"/>
      <c r="I139" s="432"/>
      <c r="J139" s="432"/>
      <c r="K139" s="432"/>
      <c r="L139" s="432"/>
    </row>
    <row r="140" spans="1:12">
      <c r="A140" s="432"/>
      <c r="B140" s="432"/>
      <c r="C140" s="432"/>
      <c r="D140" s="432"/>
      <c r="E140" s="432"/>
      <c r="F140" s="432"/>
      <c r="G140" s="432"/>
      <c r="H140" s="432"/>
      <c r="I140" s="432"/>
      <c r="J140" s="432"/>
      <c r="K140" s="432"/>
      <c r="L140" s="432"/>
    </row>
    <row r="141" spans="1:12">
      <c r="A141" s="432"/>
      <c r="B141" s="432"/>
      <c r="C141" s="432"/>
      <c r="D141" s="432"/>
      <c r="E141" s="432"/>
      <c r="F141" s="432"/>
      <c r="G141" s="432"/>
      <c r="H141" s="432"/>
      <c r="I141" s="432"/>
      <c r="J141" s="432"/>
      <c r="K141" s="432"/>
    </row>
    <row r="142" spans="1:12">
      <c r="A142" s="432"/>
      <c r="B142" s="432"/>
      <c r="C142" s="432"/>
      <c r="D142" s="432"/>
      <c r="E142" s="432"/>
      <c r="F142" s="432"/>
      <c r="G142" s="432"/>
      <c r="H142" s="432"/>
      <c r="I142" s="432"/>
      <c r="J142" s="432"/>
      <c r="K142" s="432"/>
    </row>
    <row r="143" spans="1:12">
      <c r="I143" s="432"/>
      <c r="J143" s="432"/>
      <c r="K143" s="432"/>
    </row>
    <row r="144" spans="1:12">
      <c r="J144" s="432"/>
      <c r="K144" s="432"/>
    </row>
  </sheetData>
  <sheetProtection sheet="1" objects="1" scenarios="1"/>
  <mergeCells count="200">
    <mergeCell ref="A4:H4"/>
    <mergeCell ref="A5:B5"/>
    <mergeCell ref="C5:D5"/>
    <mergeCell ref="E5:F5"/>
    <mergeCell ref="G5:H5"/>
    <mergeCell ref="A6:B6"/>
    <mergeCell ref="C6:D6"/>
    <mergeCell ref="E6:F6"/>
    <mergeCell ref="G6:H6"/>
    <mergeCell ref="FC11:FF11"/>
    <mergeCell ref="FG11:FJ11"/>
    <mergeCell ref="EI12:EL12"/>
    <mergeCell ref="EK14:EL14"/>
    <mergeCell ref="EQ12:ET12"/>
    <mergeCell ref="ES14:ET14"/>
    <mergeCell ref="CN12:CR12"/>
    <mergeCell ref="CS12:CW12"/>
    <mergeCell ref="Q12:Q13"/>
    <mergeCell ref="R12:R13"/>
    <mergeCell ref="DO12:DV12"/>
    <mergeCell ref="DW12:ED12"/>
    <mergeCell ref="EE12:EH12"/>
    <mergeCell ref="EM12:EP12"/>
    <mergeCell ref="EU12:EX12"/>
    <mergeCell ref="FC12:FF12"/>
    <mergeCell ref="FG12:FJ12"/>
    <mergeCell ref="BG12:BK12"/>
    <mergeCell ref="BL12:BP12"/>
    <mergeCell ref="BQ12:BU12"/>
    <mergeCell ref="BV12:BZ12"/>
    <mergeCell ref="AA12:AE12"/>
    <mergeCell ref="BC12:BF12"/>
    <mergeCell ref="S12:X12"/>
    <mergeCell ref="A13:D14"/>
    <mergeCell ref="A7:B7"/>
    <mergeCell ref="C7:D7"/>
    <mergeCell ref="E7:F7"/>
    <mergeCell ref="G7:H7"/>
    <mergeCell ref="A8:B8"/>
    <mergeCell ref="C8:D8"/>
    <mergeCell ref="E8:F8"/>
    <mergeCell ref="G8:H8"/>
    <mergeCell ref="H13:H14"/>
    <mergeCell ref="A11:R11"/>
    <mergeCell ref="K12:L12"/>
    <mergeCell ref="K14:R14"/>
    <mergeCell ref="E12:G14"/>
    <mergeCell ref="O12:O13"/>
    <mergeCell ref="FK12:FN12"/>
    <mergeCell ref="I5:J5"/>
    <mergeCell ref="FQ14:FR14"/>
    <mergeCell ref="FW14:FX14"/>
    <mergeCell ref="DS14:DV14"/>
    <mergeCell ref="EA14:EC14"/>
    <mergeCell ref="EG14:EH14"/>
    <mergeCell ref="EO14:EP14"/>
    <mergeCell ref="EW14:EX14"/>
    <mergeCell ref="FE14:FF14"/>
    <mergeCell ref="FI14:FJ14"/>
    <mergeCell ref="FM14:FN14"/>
    <mergeCell ref="FK9:GI9"/>
    <mergeCell ref="FK10:FN10"/>
    <mergeCell ref="FU10:FX10"/>
    <mergeCell ref="FK11:FX11"/>
    <mergeCell ref="FS12:FT12"/>
    <mergeCell ref="FU12:FX12"/>
    <mergeCell ref="FY12:FZ12"/>
    <mergeCell ref="GB12:GC12"/>
    <mergeCell ref="GD12:GE12"/>
    <mergeCell ref="GF12:GG12"/>
    <mergeCell ref="GH12:GI12"/>
    <mergeCell ref="FO10:FR10"/>
    <mergeCell ref="M59:U59"/>
    <mergeCell ref="V59:X59"/>
    <mergeCell ref="M53:X53"/>
    <mergeCell ref="M54:U54"/>
    <mergeCell ref="V54:X54"/>
    <mergeCell ref="M55:U55"/>
    <mergeCell ref="V55:X55"/>
    <mergeCell ref="M56:U56"/>
    <mergeCell ref="V56:X56"/>
    <mergeCell ref="M57:U57"/>
    <mergeCell ref="V57:X57"/>
    <mergeCell ref="I55:K55"/>
    <mergeCell ref="A55:H55"/>
    <mergeCell ref="I57:K57"/>
    <mergeCell ref="M48:X48"/>
    <mergeCell ref="M49:U49"/>
    <mergeCell ref="V49:X49"/>
    <mergeCell ref="M50:U50"/>
    <mergeCell ref="V50:X50"/>
    <mergeCell ref="M51:U51"/>
    <mergeCell ref="V51:X51"/>
    <mergeCell ref="M52:U52"/>
    <mergeCell ref="V52:X52"/>
    <mergeCell ref="A59:G60"/>
    <mergeCell ref="E38:G38"/>
    <mergeCell ref="E35:G35"/>
    <mergeCell ref="E24:G24"/>
    <mergeCell ref="E25:G25"/>
    <mergeCell ref="E26:G26"/>
    <mergeCell ref="E27:G27"/>
    <mergeCell ref="E28:G28"/>
    <mergeCell ref="E29:G29"/>
    <mergeCell ref="E42:G42"/>
    <mergeCell ref="E43:G43"/>
    <mergeCell ref="E36:G36"/>
    <mergeCell ref="E37:G37"/>
    <mergeCell ref="E39:G39"/>
    <mergeCell ref="E40:G40"/>
    <mergeCell ref="E41:G41"/>
    <mergeCell ref="E30:G30"/>
    <mergeCell ref="E31:G31"/>
    <mergeCell ref="E32:G32"/>
    <mergeCell ref="E33:G33"/>
    <mergeCell ref="E45:G45"/>
    <mergeCell ref="H62:K62"/>
    <mergeCell ref="E44:G44"/>
    <mergeCell ref="A72:C72"/>
    <mergeCell ref="A48:G48"/>
    <mergeCell ref="I48:K48"/>
    <mergeCell ref="A50:G50"/>
    <mergeCell ref="I50:K50"/>
    <mergeCell ref="A52:G52"/>
    <mergeCell ref="A56:H56"/>
    <mergeCell ref="I56:K56"/>
    <mergeCell ref="A46:I46"/>
    <mergeCell ref="A71:C71"/>
    <mergeCell ref="A49:G49"/>
    <mergeCell ref="I49:K49"/>
    <mergeCell ref="A70:C70"/>
    <mergeCell ref="I52:K52"/>
    <mergeCell ref="A53:G53"/>
    <mergeCell ref="I53:K53"/>
    <mergeCell ref="A51:G51"/>
    <mergeCell ref="I51:K51"/>
    <mergeCell ref="I54:K54"/>
    <mergeCell ref="A54:H54"/>
    <mergeCell ref="I59:K59"/>
    <mergeCell ref="I60:K60"/>
    <mergeCell ref="S14:U14"/>
    <mergeCell ref="E34:G34"/>
    <mergeCell ref="E18:G18"/>
    <mergeCell ref="E19:G19"/>
    <mergeCell ref="I67:K67"/>
    <mergeCell ref="A10:D10"/>
    <mergeCell ref="E2:O2"/>
    <mergeCell ref="E21:G21"/>
    <mergeCell ref="E22:G22"/>
    <mergeCell ref="E23:G23"/>
    <mergeCell ref="E10:G10"/>
    <mergeCell ref="E15:G15"/>
    <mergeCell ref="E16:G16"/>
    <mergeCell ref="E17:G17"/>
    <mergeCell ref="N12:N13"/>
    <mergeCell ref="E3:O3"/>
    <mergeCell ref="A2:D3"/>
    <mergeCell ref="A9:X9"/>
    <mergeCell ref="S11:X11"/>
    <mergeCell ref="V14:X14"/>
    <mergeCell ref="K10:L10"/>
    <mergeCell ref="E20:G20"/>
    <mergeCell ref="A62:B62"/>
    <mergeCell ref="E62:G62"/>
    <mergeCell ref="FO12:FR12"/>
    <mergeCell ref="R112:R115"/>
    <mergeCell ref="T112:T115"/>
    <mergeCell ref="I12:I14"/>
    <mergeCell ref="J12:J14"/>
    <mergeCell ref="A61:K61"/>
    <mergeCell ref="M58:U58"/>
    <mergeCell ref="V58:X58"/>
    <mergeCell ref="EY12:FB12"/>
    <mergeCell ref="FA14:FB14"/>
    <mergeCell ref="DA12:DE12"/>
    <mergeCell ref="P12:P13"/>
    <mergeCell ref="AG12:AK12"/>
    <mergeCell ref="AL12:AP12"/>
    <mergeCell ref="AQ12:AU12"/>
    <mergeCell ref="AV12:AZ12"/>
    <mergeCell ref="CD12:CH12"/>
    <mergeCell ref="CI12:CM12"/>
    <mergeCell ref="A63:B63"/>
    <mergeCell ref="C62:D62"/>
    <mergeCell ref="A64:B64"/>
    <mergeCell ref="A65:B65"/>
    <mergeCell ref="A67:G67"/>
    <mergeCell ref="I63:K63"/>
    <mergeCell ref="I64:K64"/>
    <mergeCell ref="I65:K65"/>
    <mergeCell ref="I66:K66"/>
    <mergeCell ref="E63:G63"/>
    <mergeCell ref="E64:G64"/>
    <mergeCell ref="E65:G65"/>
    <mergeCell ref="E66:G66"/>
    <mergeCell ref="A66:B66"/>
    <mergeCell ref="C63:D63"/>
    <mergeCell ref="C64:D64"/>
    <mergeCell ref="C65:D65"/>
    <mergeCell ref="C66:D66"/>
  </mergeCells>
  <phoneticPr fontId="5" type="noConversion"/>
  <conditionalFormatting sqref="D15:H37 A15:C45 D38:E38 H38 D39:H45">
    <cfRule type="expression" dxfId="926" priority="113">
      <formula>OR($C15="Ikke relevant")</formula>
    </cfRule>
    <cfRule type="expression" dxfId="925" priority="123" stopIfTrue="1">
      <formula>OR($C15="skoledag")</formula>
    </cfRule>
    <cfRule type="expression" dxfId="924" priority="122">
      <formula>OR($C15="weekend")</formula>
    </cfRule>
    <cfRule type="expression" dxfId="923" priority="7">
      <formula>OR($C15="Skema 1")</formula>
    </cfRule>
    <cfRule type="expression" dxfId="922" priority="121">
      <formula>OR($C15="feriedag")</formula>
    </cfRule>
    <cfRule type="expression" dxfId="921" priority="120">
      <formula>OR($C15="fagdag")</formula>
    </cfRule>
    <cfRule type="expression" dxfId="920" priority="119">
      <formula>OR($C15="emnedag")</formula>
    </cfRule>
    <cfRule type="expression" dxfId="919" priority="118">
      <formula>OR($C15="lejrskole")</formula>
    </cfRule>
    <cfRule type="expression" dxfId="918" priority="117">
      <formula>OR($C15="ekskursion")</formula>
    </cfRule>
    <cfRule type="expression" dxfId="917" priority="116">
      <formula>OR($C15="SH-dag")</formula>
    </cfRule>
    <cfRule type="expression" dxfId="916" priority="115">
      <formula>OR($C15="nul-dag")</formula>
    </cfRule>
    <cfRule type="expression" dxfId="915" priority="114">
      <formula>OR($C15="pæd.dag")</formula>
    </cfRule>
    <cfRule type="expression" dxfId="914" priority="95">
      <formula>OR($C15="Orlov")</formula>
    </cfRule>
    <cfRule type="expression" dxfId="913" priority="96">
      <formula>OR($C15="skema 2")</formula>
    </cfRule>
    <cfRule type="expression" dxfId="912" priority="97">
      <formula>OR($C15="Skema 3")</formula>
    </cfRule>
    <cfRule type="expression" dxfId="911" priority="98">
      <formula>OR($C15="Skema 4")</formula>
    </cfRule>
  </conditionalFormatting>
  <conditionalFormatting sqref="E26">
    <cfRule type="expression" dxfId="910" priority="131">
      <formula>OR($D25="feriedag")</formula>
    </cfRule>
    <cfRule type="expression" dxfId="909" priority="132">
      <formula>OR($D25="weekend")</formula>
    </cfRule>
    <cfRule type="expression" dxfId="908" priority="133" stopIfTrue="1">
      <formula>OR($D25="skoledag")</formula>
    </cfRule>
    <cfRule type="expression" dxfId="907" priority="134">
      <formula>OR($D25="Ikke relevant")</formula>
    </cfRule>
    <cfRule type="expression" dxfId="906" priority="124">
      <formula>OR($D25="pæd.dag")</formula>
    </cfRule>
    <cfRule type="expression" dxfId="905" priority="125">
      <formula>OR($D25="nul-dag")</formula>
    </cfRule>
    <cfRule type="expression" dxfId="904" priority="126">
      <formula>OR($D25="SH-dag")</formula>
    </cfRule>
    <cfRule type="expression" dxfId="903" priority="127">
      <formula>OR($D25="ekskursion")</formula>
    </cfRule>
    <cfRule type="expression" dxfId="902" priority="128">
      <formula>OR($D25="lejrskole")</formula>
    </cfRule>
    <cfRule type="expression" dxfId="901" priority="129">
      <formula>OR($D25="emnedag")</formula>
    </cfRule>
    <cfRule type="expression" dxfId="900" priority="130">
      <formula>OR($D25="fagdag")</formula>
    </cfRule>
  </conditionalFormatting>
  <conditionalFormatting sqref="H63:H66">
    <cfRule type="expression" dxfId="899" priority="4">
      <formula>OR($A63&gt;0,)</formula>
    </cfRule>
  </conditionalFormatting>
  <conditionalFormatting sqref="I63:I66">
    <cfRule type="expression" dxfId="898" priority="5">
      <formula>OR($C63&gt;0,)</formula>
    </cfRule>
  </conditionalFormatting>
  <conditionalFormatting sqref="K15:K45">
    <cfRule type="expression" dxfId="897" priority="56">
      <formula>OR($C15="Pæd.dag",)</formula>
    </cfRule>
  </conditionalFormatting>
  <conditionalFormatting sqref="K15:L45">
    <cfRule type="expression" dxfId="896" priority="58">
      <formula>OR($C15="Ekskursion",)</formula>
    </cfRule>
    <cfRule type="expression" dxfId="895" priority="57">
      <formula>OR($C15="Lejrskole",)</formula>
    </cfRule>
  </conditionalFormatting>
  <conditionalFormatting sqref="K15:M45">
    <cfRule type="expression" dxfId="894" priority="55">
      <formula>OR($C15="emnedag",)</formula>
    </cfRule>
    <cfRule type="expression" dxfId="893" priority="54">
      <formula>OR($C15="fagdag",)</formula>
    </cfRule>
  </conditionalFormatting>
  <conditionalFormatting sqref="R15:R45">
    <cfRule type="expression" dxfId="892" priority="559">
      <formula>OR($H15&gt;"0",)</formula>
    </cfRule>
  </conditionalFormatting>
  <conditionalFormatting sqref="V15:V45">
    <cfRule type="expression" dxfId="891" priority="48">
      <formula>OR($S15="X",)</formula>
    </cfRule>
  </conditionalFormatting>
  <conditionalFormatting sqref="V55:X58">
    <cfRule type="expression" dxfId="890" priority="3">
      <formula>OR($M55&gt;0,)</formula>
    </cfRule>
  </conditionalFormatting>
  <conditionalFormatting sqref="W15:W45">
    <cfRule type="expression" dxfId="889" priority="47">
      <formula>OR($T15="X",)</formula>
    </cfRule>
  </conditionalFormatting>
  <conditionalFormatting sqref="X15:X45">
    <cfRule type="expression" dxfId="888" priority="8">
      <formula>OR($U15="X",)</formula>
    </cfRule>
  </conditionalFormatting>
  <dataValidations count="2">
    <dataValidation type="list" allowBlank="1" showInputMessage="1" showErrorMessage="1" sqref="U15:U43 S15:T45 A63:D66" xr:uid="{2F74D57A-A412-BB4D-ABB3-024D4B21666C}">
      <formula1>$W$1:$W$2</formula1>
    </dataValidation>
    <dataValidation type="list" allowBlank="1" showInputMessage="1" sqref="C15:C45" xr:uid="{31E212A7-3A53-3C40-B063-4A6127A2D3DE}">
      <formula1>$A$94:$A$108</formula1>
    </dataValidation>
  </dataValidations>
  <hyperlinks>
    <hyperlink ref="E5:F5" location="Arbejdstidsoversigt!A19" display="Arbejdstids-oversigt" xr:uid="{25CF1792-B6FE-2440-8A66-7B07F55661B9}"/>
    <hyperlink ref="G5:H5" location="Opgørelse!B12" display="Opgørelse" xr:uid="{6C684299-1718-1745-90FF-DA7DCA879C82}"/>
    <hyperlink ref="A6:B6" location="August!A12" display="August" xr:uid="{20FEA575-9ED7-9C48-9533-DA6C5FC9FECF}"/>
    <hyperlink ref="C6:D6" location="September!A8" display="September" xr:uid="{DC0F15F1-5AAA-1049-81FD-9E27648FEB5D}"/>
    <hyperlink ref="E6:F6" location="Oktober!A8" display="Oktober" xr:uid="{9B879433-8E05-DD40-962B-B2E2B8CB074D}"/>
    <hyperlink ref="G6:H6" location="November!A8" display="November" xr:uid="{C9156496-50D3-294B-91A4-6D688B5EC145}"/>
    <hyperlink ref="A7:B7" location="December!A8" display="December" xr:uid="{B5729638-D063-DB49-9B61-4C4E56911091}"/>
    <hyperlink ref="C7:D7" location="Januar!A8" display="Januar" xr:uid="{0AD8D9D2-AE73-7342-A6D5-A4DAE6F1CEB9}"/>
    <hyperlink ref="E7:F7" location="Februar!A8" display="Februar" xr:uid="{4FAFC5CA-EA0C-B64A-A02A-171E4B0AE551}"/>
    <hyperlink ref="A8:B8" location="April!A8" display="April" xr:uid="{28D5EEEE-5EA0-5C4B-898B-902A01C24868}"/>
    <hyperlink ref="C8:D8" location="Maj!A8" display="Maj" xr:uid="{B535C05D-5719-0B42-A7FB-F91BC18914B8}"/>
    <hyperlink ref="E8:F8" location="Juni!A8" display="Juni" xr:uid="{4696A155-54F3-FE4F-A144-F3290194AC94}"/>
    <hyperlink ref="G8:H8" location="Juli!A8" display="Juli" xr:uid="{B8602A3C-CF05-9A4A-AD38-61B21A364B25}"/>
    <hyperlink ref="G7:H7" location="Marts!A8" display="Marts" xr:uid="{DB350B2F-088B-D842-B650-7B3C54CA6214}"/>
    <hyperlink ref="I5:J5" location="Stamoplysninger!E18" display="Stamoplysninger" xr:uid="{886D7CCE-B4B8-7F45-88E8-12C578D9DAED}"/>
    <hyperlink ref="C5:D5" location="Opgaver!A8" display="Opgaver" xr:uid="{45714494-6421-0D4F-9EE4-E02377E63606}"/>
    <hyperlink ref="A5:B5" location="Skemaoplysninger!A20" display="Skemaoplysninger" xr:uid="{4A5E4CA8-C6E9-9849-A420-387F52C7BE24}"/>
  </hyperlinks>
  <pageMargins left="0.7" right="0.7" top="0.75" bottom="0.75" header="0.3" footer="0.3"/>
  <pageSetup paperSize="9" scale="59" orientation="landscape" horizontalDpi="0" verticalDpi="0"/>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AA240-6AFD-FF4A-A5CD-D05AE6A16719}">
  <sheetPr>
    <tabColor theme="4" tint="-0.249977111117893"/>
    <pageSetUpPr fitToPage="1"/>
  </sheetPr>
  <dimension ref="A1:GP121"/>
  <sheetViews>
    <sheetView topLeftCell="B12" zoomScale="150" zoomScaleNormal="90" workbookViewId="0">
      <selection activeCell="E28" sqref="E28:G28"/>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7" width="10.83203125" hidden="1" customWidth="1"/>
    <col min="188" max="229"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87"/>
      <c r="Y1" s="240"/>
      <c r="Z1" s="87"/>
      <c r="AB1" s="87"/>
      <c r="AC1" s="87"/>
      <c r="AH1" s="87"/>
      <c r="AI1" s="87"/>
      <c r="CX1" s="242"/>
      <c r="CZ1"/>
    </row>
    <row r="2" spans="1:198" ht="20">
      <c r="A2" s="89">
        <v>9</v>
      </c>
      <c r="B2" s="1252"/>
      <c r="C2" s="1252"/>
      <c r="D2" s="1252"/>
      <c r="E2" s="1252"/>
      <c r="F2" s="87"/>
      <c r="G2" s="87"/>
      <c r="H2" s="273"/>
      <c r="I2" s="272"/>
      <c r="J2" s="225"/>
      <c r="K2" s="225"/>
      <c r="L2" s="225"/>
      <c r="M2" s="225"/>
      <c r="N2" s="225"/>
      <c r="O2" s="225"/>
      <c r="P2" s="87"/>
      <c r="Q2" s="87"/>
      <c r="R2" s="87"/>
      <c r="S2" s="87"/>
      <c r="T2" s="87"/>
      <c r="U2" s="87"/>
      <c r="V2" s="87"/>
      <c r="W2" s="120" t="s">
        <v>31</v>
      </c>
      <c r="X2" s="120"/>
      <c r="Y2" s="240"/>
      <c r="Z2" s="87"/>
      <c r="AB2" s="87"/>
      <c r="AC2" s="87"/>
      <c r="AH2" s="87"/>
      <c r="AI2" s="87"/>
      <c r="CX2" s="242"/>
      <c r="CZ2"/>
    </row>
    <row r="3" spans="1:198" ht="24" customHeight="1" thickBot="1">
      <c r="A3" s="864" t="s">
        <v>689</v>
      </c>
      <c r="B3" s="864"/>
      <c r="C3" s="864"/>
      <c r="D3" s="864"/>
      <c r="E3" s="864"/>
      <c r="F3" s="864"/>
      <c r="G3" s="864"/>
      <c r="H3" s="864"/>
      <c r="I3" s="723"/>
      <c r="J3" s="723"/>
      <c r="K3" s="723"/>
      <c r="L3" s="723"/>
      <c r="M3" s="723"/>
      <c r="N3" s="723"/>
      <c r="O3" s="723"/>
      <c r="P3" s="723"/>
      <c r="Q3" s="723"/>
      <c r="R3" s="723"/>
      <c r="S3" s="723"/>
      <c r="T3" s="723"/>
      <c r="Y3"/>
      <c r="Z3"/>
      <c r="AP3" s="38"/>
      <c r="CY3"/>
      <c r="CZ3"/>
    </row>
    <row r="4" spans="1:198" ht="50" customHeight="1" thickBot="1">
      <c r="A4" s="1226" t="s">
        <v>691</v>
      </c>
      <c r="B4" s="1227"/>
      <c r="C4" s="867" t="s">
        <v>495</v>
      </c>
      <c r="D4" s="868"/>
      <c r="E4" s="869" t="s">
        <v>688</v>
      </c>
      <c r="F4" s="870"/>
      <c r="G4" s="965" t="s">
        <v>367</v>
      </c>
      <c r="H4" s="966"/>
      <c r="I4" s="871" t="s">
        <v>687</v>
      </c>
      <c r="J4" s="1018"/>
      <c r="K4" s="628"/>
      <c r="Y4"/>
      <c r="Z4"/>
      <c r="CY4"/>
      <c r="CZ4"/>
    </row>
    <row r="5" spans="1:198" ht="50" customHeight="1" thickBot="1">
      <c r="A5" s="873" t="s">
        <v>231</v>
      </c>
      <c r="B5" s="873"/>
      <c r="C5" s="1228" t="s">
        <v>233</v>
      </c>
      <c r="D5" s="1228"/>
      <c r="E5" s="873" t="s">
        <v>234</v>
      </c>
      <c r="F5" s="873"/>
      <c r="G5" s="873" t="s">
        <v>235</v>
      </c>
      <c r="H5" s="873"/>
      <c r="Y5"/>
      <c r="Z5"/>
      <c r="CY5"/>
      <c r="CZ5"/>
    </row>
    <row r="6" spans="1:198" ht="50" customHeight="1" thickBot="1">
      <c r="A6" s="873" t="s">
        <v>279</v>
      </c>
      <c r="B6" s="873"/>
      <c r="C6" s="873" t="s">
        <v>280</v>
      </c>
      <c r="D6" s="873"/>
      <c r="E6" s="873" t="s">
        <v>281</v>
      </c>
      <c r="F6" s="873"/>
      <c r="G6" s="873" t="s">
        <v>282</v>
      </c>
      <c r="H6" s="873"/>
      <c r="Y6"/>
      <c r="Z6"/>
      <c r="CY6"/>
      <c r="CZ6"/>
    </row>
    <row r="7" spans="1:198" ht="50" customHeight="1" thickBot="1">
      <c r="A7" s="873" t="s">
        <v>283</v>
      </c>
      <c r="B7" s="873"/>
      <c r="C7" s="873" t="s">
        <v>284</v>
      </c>
      <c r="D7" s="873"/>
      <c r="E7" s="873" t="s">
        <v>285</v>
      </c>
      <c r="F7" s="873"/>
      <c r="G7" s="873" t="s">
        <v>286</v>
      </c>
      <c r="H7" s="873"/>
      <c r="Y7"/>
      <c r="Z7"/>
      <c r="CY7"/>
      <c r="CZ7"/>
    </row>
    <row r="8" spans="1:198" ht="17" thickBot="1">
      <c r="A8" s="1253" t="s">
        <v>306</v>
      </c>
      <c r="B8" s="1254"/>
      <c r="C8" s="1254"/>
      <c r="D8" s="1254"/>
      <c r="E8" s="1254"/>
      <c r="F8" s="1254"/>
      <c r="G8" s="1254"/>
      <c r="H8" s="1254"/>
      <c r="I8" s="1254"/>
      <c r="J8" s="1254"/>
      <c r="K8" s="1254"/>
      <c r="L8" s="1254"/>
      <c r="M8" s="1254"/>
      <c r="N8" s="1254"/>
      <c r="O8" s="1254"/>
      <c r="P8" s="1254"/>
      <c r="Q8" s="1254"/>
      <c r="R8" s="1254"/>
      <c r="S8" s="1254"/>
      <c r="T8" s="1254"/>
      <c r="U8" s="1254"/>
      <c r="V8" s="1254"/>
      <c r="W8" s="1254"/>
      <c r="X8" s="1255"/>
      <c r="Y8"/>
      <c r="Z8" s="87"/>
      <c r="AA8" s="87"/>
      <c r="AE8" s="87"/>
      <c r="AF8" s="87"/>
      <c r="AG8" s="87"/>
      <c r="CV8" s="242"/>
      <c r="CW8" s="242"/>
      <c r="CY8"/>
      <c r="CZ8"/>
      <c r="FI8" s="1179" t="s">
        <v>584</v>
      </c>
      <c r="FJ8" s="1180"/>
      <c r="FK8" s="1180"/>
      <c r="FL8" s="1180"/>
      <c r="FM8" s="1180"/>
      <c r="FN8" s="1180"/>
      <c r="FO8" s="1180"/>
      <c r="FP8" s="1180"/>
      <c r="FQ8" s="1180"/>
      <c r="FR8" s="1180"/>
      <c r="FS8" s="1180"/>
      <c r="FT8" s="1180"/>
      <c r="FU8" s="1180"/>
      <c r="FV8" s="1180"/>
      <c r="FW8" s="1180"/>
      <c r="FX8" s="1180"/>
      <c r="FY8" s="1180"/>
      <c r="FZ8" s="1180"/>
      <c r="GA8" s="1180"/>
      <c r="GB8" s="1180"/>
      <c r="GC8" s="1181"/>
    </row>
    <row r="9" spans="1:198" ht="254" customHeight="1" thickBot="1">
      <c r="A9" s="1066" t="s">
        <v>421</v>
      </c>
      <c r="B9" s="1067"/>
      <c r="C9" s="1067"/>
      <c r="D9" s="1067"/>
      <c r="E9" s="1068" t="s">
        <v>307</v>
      </c>
      <c r="F9" s="1068"/>
      <c r="G9" s="1068"/>
      <c r="H9" s="274" t="s">
        <v>404</v>
      </c>
      <c r="I9" s="425"/>
      <c r="J9" s="425"/>
      <c r="K9" s="1078" t="s">
        <v>496</v>
      </c>
      <c r="L9" s="1078"/>
      <c r="M9" s="471" t="s">
        <v>444</v>
      </c>
      <c r="N9" s="471" t="s">
        <v>422</v>
      </c>
      <c r="O9" s="471" t="s">
        <v>423</v>
      </c>
      <c r="P9" s="472" t="s">
        <v>445</v>
      </c>
      <c r="Q9" s="472" t="s">
        <v>305</v>
      </c>
      <c r="R9" s="472" t="s">
        <v>424</v>
      </c>
      <c r="S9" s="473" t="s">
        <v>451</v>
      </c>
      <c r="T9" s="473" t="s">
        <v>425</v>
      </c>
      <c r="U9" s="473" t="s">
        <v>426</v>
      </c>
      <c r="V9" s="474" t="s">
        <v>446</v>
      </c>
      <c r="W9" s="474" t="s">
        <v>393</v>
      </c>
      <c r="X9" s="475" t="s">
        <v>392</v>
      </c>
      <c r="Y9" s="240"/>
      <c r="Z9" s="87"/>
      <c r="AB9" s="87"/>
      <c r="AC9" s="87"/>
      <c r="AH9" s="87"/>
      <c r="AI9" s="87"/>
      <c r="CX9" s="242"/>
      <c r="CZ9"/>
      <c r="FI9" s="837" t="s">
        <v>582</v>
      </c>
      <c r="FJ9" s="837"/>
      <c r="FK9" s="837"/>
      <c r="FL9" s="837"/>
      <c r="FM9" t="s">
        <v>575</v>
      </c>
      <c r="FO9" s="837" t="s">
        <v>581</v>
      </c>
      <c r="FP9" s="837"/>
      <c r="FQ9" s="837"/>
      <c r="FR9" s="837"/>
    </row>
    <row r="10" spans="1:198" ht="26" customHeight="1" thickBot="1">
      <c r="A10" s="1194" t="str">
        <f>""&amp;A12&amp;" måneds kalender for: "&amp;Stamoplysninger!E13&amp;". Måneden vedr. normperioden: "&amp;Stamoplysninger!E16&amp;" - "&amp;Stamoplysninger!G16&amp;"."</f>
        <v>September måneds kalender for: Beate Simonsen. Måneden vedr. normperioden:  - .</v>
      </c>
      <c r="B10" s="1195"/>
      <c r="C10" s="1195"/>
      <c r="D10" s="1195"/>
      <c r="E10" s="1195"/>
      <c r="F10" s="1195"/>
      <c r="G10" s="1195"/>
      <c r="H10" s="1195"/>
      <c r="I10" s="1195"/>
      <c r="J10" s="1195"/>
      <c r="K10" s="1195"/>
      <c r="L10" s="1195"/>
      <c r="M10" s="1195"/>
      <c r="N10" s="1195"/>
      <c r="O10" s="1195"/>
      <c r="P10" s="1195"/>
      <c r="Q10" s="1195"/>
      <c r="R10" s="1196"/>
      <c r="S10" s="1073" t="s">
        <v>391</v>
      </c>
      <c r="T10" s="1074"/>
      <c r="U10" s="1074"/>
      <c r="V10" s="1074"/>
      <c r="W10" s="1074"/>
      <c r="X10" s="1075"/>
      <c r="Y10" s="240"/>
      <c r="Z10" s="87"/>
      <c r="AB10" s="87"/>
      <c r="AC10" s="87"/>
      <c r="AH10" s="87"/>
      <c r="AI10" s="87"/>
      <c r="CX10" s="242"/>
      <c r="CZ10"/>
      <c r="DV10" t="s">
        <v>665</v>
      </c>
      <c r="ED10" t="s">
        <v>665</v>
      </c>
      <c r="FC10" s="1208" t="s">
        <v>654</v>
      </c>
      <c r="FD10" s="1208"/>
      <c r="FE10" s="1208"/>
      <c r="FF10" s="1208"/>
      <c r="FG10" s="1208" t="s">
        <v>654</v>
      </c>
      <c r="FH10" s="1208"/>
      <c r="FI10" s="1208"/>
      <c r="FJ10" s="1208"/>
      <c r="FK10" s="1182" t="s">
        <v>569</v>
      </c>
      <c r="FL10" s="1182"/>
      <c r="FM10" s="1182"/>
      <c r="FN10" s="1182"/>
      <c r="FO10" s="1182"/>
      <c r="FP10" s="1182"/>
      <c r="FQ10" s="1182"/>
      <c r="FR10" s="1182"/>
      <c r="FS10" s="1182"/>
      <c r="FT10" s="1182"/>
      <c r="FU10" s="1182"/>
      <c r="FV10" s="1182"/>
      <c r="FW10" s="1182"/>
      <c r="FX10" s="1182"/>
      <c r="GA10" t="s">
        <v>583</v>
      </c>
      <c r="GB10" t="s">
        <v>576</v>
      </c>
      <c r="GD10" t="s">
        <v>577</v>
      </c>
      <c r="GF10" t="s">
        <v>578</v>
      </c>
      <c r="GH10" s="511" t="s">
        <v>579</v>
      </c>
    </row>
    <row r="11" spans="1:198" ht="47" customHeight="1">
      <c r="A11" s="320">
        <f>August!A12</f>
        <v>2026</v>
      </c>
      <c r="B11" s="236"/>
      <c r="C11" s="237"/>
      <c r="D11" s="238"/>
      <c r="E11" s="1199" t="s">
        <v>455</v>
      </c>
      <c r="F11" s="1200"/>
      <c r="G11" s="1201"/>
      <c r="H11" s="317" t="s">
        <v>674</v>
      </c>
      <c r="I11" s="1031" t="s">
        <v>452</v>
      </c>
      <c r="J11" s="1032" t="s">
        <v>470</v>
      </c>
      <c r="K11" s="1197" t="s">
        <v>299</v>
      </c>
      <c r="L11" s="1198"/>
      <c r="M11" s="318" t="s">
        <v>300</v>
      </c>
      <c r="N11" s="1047" t="s">
        <v>435</v>
      </c>
      <c r="O11" s="1047" t="s">
        <v>304</v>
      </c>
      <c r="P11" s="1047" t="s">
        <v>443</v>
      </c>
      <c r="Q11" s="1047" t="s">
        <v>381</v>
      </c>
      <c r="R11" s="1215" t="s">
        <v>497</v>
      </c>
      <c r="S11" s="1223" t="s">
        <v>301</v>
      </c>
      <c r="T11" s="1224"/>
      <c r="U11" s="1224"/>
      <c r="V11" s="1224"/>
      <c r="W11" s="1224"/>
      <c r="X11" s="1225"/>
      <c r="Y11" s="209"/>
      <c r="Z11" s="209"/>
      <c r="AA11" s="1049" t="s">
        <v>258</v>
      </c>
      <c r="AB11" s="1049"/>
      <c r="AC11" s="1049"/>
      <c r="AD11" s="1049"/>
      <c r="AE11" s="1049"/>
      <c r="AF11" s="206"/>
      <c r="AG11" s="1049" t="s">
        <v>219</v>
      </c>
      <c r="AH11" s="1049"/>
      <c r="AI11" s="1049"/>
      <c r="AJ11" s="1049"/>
      <c r="AK11" s="1049"/>
      <c r="AL11" s="1049" t="s">
        <v>220</v>
      </c>
      <c r="AM11" s="1049"/>
      <c r="AN11" s="1049"/>
      <c r="AO11" s="1049"/>
      <c r="AP11" s="1049"/>
      <c r="AQ11" s="1049" t="s">
        <v>221</v>
      </c>
      <c r="AR11" s="1049"/>
      <c r="AS11" s="1049"/>
      <c r="AT11" s="1049"/>
      <c r="AU11" s="1049"/>
      <c r="AV11" s="1049" t="s">
        <v>222</v>
      </c>
      <c r="AW11" s="1049"/>
      <c r="AX11" s="1049"/>
      <c r="AY11" s="1049"/>
      <c r="AZ11" s="1049"/>
      <c r="BA11" s="293"/>
      <c r="BB11" s="206"/>
      <c r="BC11" s="1049" t="s">
        <v>261</v>
      </c>
      <c r="BD11" s="1049"/>
      <c r="BE11" s="1049"/>
      <c r="BF11" s="1049"/>
      <c r="BG11" s="1049" t="s">
        <v>224</v>
      </c>
      <c r="BH11" s="1049"/>
      <c r="BI11" s="1049"/>
      <c r="BJ11" s="1049"/>
      <c r="BK11" s="1049"/>
      <c r="BL11" s="1049" t="s">
        <v>225</v>
      </c>
      <c r="BM11" s="1049"/>
      <c r="BN11" s="1049"/>
      <c r="BO11" s="1049"/>
      <c r="BP11" s="1049"/>
      <c r="BQ11" s="1049" t="s">
        <v>226</v>
      </c>
      <c r="BR11" s="1049"/>
      <c r="BS11" s="1049"/>
      <c r="BT11" s="1049"/>
      <c r="BU11" s="1049"/>
      <c r="BV11" s="1049" t="s">
        <v>227</v>
      </c>
      <c r="BW11" s="1049"/>
      <c r="BX11" s="1049"/>
      <c r="BY11" s="1049"/>
      <c r="BZ11" s="1049"/>
      <c r="CD11" s="1049" t="s">
        <v>262</v>
      </c>
      <c r="CE11" s="1049"/>
      <c r="CF11" s="1049"/>
      <c r="CG11" s="1049"/>
      <c r="CH11" s="1049"/>
      <c r="CI11" s="1049" t="s">
        <v>264</v>
      </c>
      <c r="CJ11" s="1049"/>
      <c r="CK11" s="1049"/>
      <c r="CL11" s="1049"/>
      <c r="CM11" s="1049"/>
      <c r="CN11" s="1049" t="s">
        <v>263</v>
      </c>
      <c r="CO11" s="1049"/>
      <c r="CP11" s="1049"/>
      <c r="CQ11" s="1049"/>
      <c r="CR11" s="1049"/>
      <c r="CS11" s="1049" t="s">
        <v>265</v>
      </c>
      <c r="CT11" s="1049"/>
      <c r="CU11" s="1049"/>
      <c r="CV11" s="1049"/>
      <c r="CW11" s="1049"/>
      <c r="CX11" s="242"/>
      <c r="CZ11"/>
      <c r="DA11" s="837" t="s">
        <v>209</v>
      </c>
      <c r="DB11" s="837"/>
      <c r="DC11" s="837"/>
      <c r="DD11" s="837"/>
      <c r="DE11" s="837"/>
      <c r="DO11" s="1217" t="s">
        <v>315</v>
      </c>
      <c r="DP11" s="1218"/>
      <c r="DQ11" s="1218"/>
      <c r="DR11" s="1218"/>
      <c r="DS11" s="1218"/>
      <c r="DT11" s="1218"/>
      <c r="DU11" s="1218"/>
      <c r="DV11" s="1219"/>
      <c r="DW11" s="1220" t="s">
        <v>370</v>
      </c>
      <c r="DX11" s="1221"/>
      <c r="DY11" s="1221"/>
      <c r="DZ11" s="1221"/>
      <c r="EA11" s="1221"/>
      <c r="EB11" s="1221"/>
      <c r="EC11" s="1221"/>
      <c r="ED11" s="1222"/>
      <c r="EE11" s="1212" t="s">
        <v>316</v>
      </c>
      <c r="EF11" s="1213"/>
      <c r="EG11" s="1213"/>
      <c r="EH11" s="1214"/>
      <c r="EI11" s="1209" t="s">
        <v>655</v>
      </c>
      <c r="EJ11" s="1210"/>
      <c r="EK11" s="1210"/>
      <c r="EL11" s="1211"/>
      <c r="EM11" s="1212" t="s">
        <v>319</v>
      </c>
      <c r="EN11" s="1213"/>
      <c r="EO11" s="1213"/>
      <c r="EP11" s="1214"/>
      <c r="EQ11" s="1212" t="s">
        <v>319</v>
      </c>
      <c r="ER11" s="1213"/>
      <c r="ES11" s="1213"/>
      <c r="ET11" s="1214"/>
      <c r="EU11" s="1042" t="s">
        <v>373</v>
      </c>
      <c r="EV11" s="1043"/>
      <c r="EW11" s="1043"/>
      <c r="EX11" s="1044"/>
      <c r="EY11" s="1042" t="s">
        <v>374</v>
      </c>
      <c r="EZ11" s="1043"/>
      <c r="FA11" s="1043"/>
      <c r="FB11" s="1044"/>
      <c r="FC11" s="1042" t="s">
        <v>375</v>
      </c>
      <c r="FD11" s="1043"/>
      <c r="FE11" s="1043"/>
      <c r="FF11" s="1044"/>
      <c r="FG11" s="1042" t="s">
        <v>376</v>
      </c>
      <c r="FH11" s="1043"/>
      <c r="FI11" s="1043"/>
      <c r="FJ11" s="1044"/>
      <c r="FK11" s="1172" t="s">
        <v>658</v>
      </c>
      <c r="FL11" s="1173"/>
      <c r="FM11" s="1173"/>
      <c r="FN11" s="1174"/>
      <c r="FO11" s="1027" t="s">
        <v>659</v>
      </c>
      <c r="FP11" s="1028"/>
      <c r="FQ11" s="1028"/>
      <c r="FR11" s="1029"/>
      <c r="FS11" s="1183" t="s">
        <v>375</v>
      </c>
      <c r="FT11" s="1183"/>
      <c r="FU11" s="1172" t="s">
        <v>580</v>
      </c>
      <c r="FV11" s="1173"/>
      <c r="FW11" s="1173"/>
      <c r="FX11" s="1184"/>
      <c r="FY11" s="1185" t="s">
        <v>571</v>
      </c>
      <c r="FZ11" s="1186"/>
      <c r="GA11" t="s">
        <v>573</v>
      </c>
      <c r="GB11" s="1183" t="s">
        <v>373</v>
      </c>
      <c r="GC11" s="1183"/>
      <c r="GD11" s="1183" t="s">
        <v>374</v>
      </c>
      <c r="GE11" s="1183"/>
      <c r="GF11" s="1183" t="s">
        <v>376</v>
      </c>
      <c r="GG11" s="1183"/>
      <c r="GH11" s="1183" t="s">
        <v>372</v>
      </c>
      <c r="GI11" s="1183"/>
      <c r="GP11" s="109" t="s">
        <v>663</v>
      </c>
    </row>
    <row r="12" spans="1:198" ht="191" customHeight="1">
      <c r="A12" s="1187" t="s">
        <v>233</v>
      </c>
      <c r="B12" s="1188"/>
      <c r="C12" s="1188"/>
      <c r="D12" s="1189"/>
      <c r="E12" s="1202"/>
      <c r="F12" s="1203"/>
      <c r="G12" s="1204"/>
      <c r="H12" s="1193" t="s">
        <v>668</v>
      </c>
      <c r="I12" s="1031"/>
      <c r="J12" s="1032"/>
      <c r="K12" s="319" t="s">
        <v>498</v>
      </c>
      <c r="L12" s="319" t="s">
        <v>499</v>
      </c>
      <c r="M12" s="319" t="s">
        <v>500</v>
      </c>
      <c r="N12" s="1048"/>
      <c r="O12" s="1048"/>
      <c r="P12" s="1048"/>
      <c r="Q12" s="1048"/>
      <c r="R12" s="1216"/>
      <c r="S12" s="477" t="s">
        <v>669</v>
      </c>
      <c r="T12" s="318" t="s">
        <v>303</v>
      </c>
      <c r="U12" s="318" t="s">
        <v>672</v>
      </c>
      <c r="V12" s="430" t="s">
        <v>428</v>
      </c>
      <c r="W12" s="430" t="s">
        <v>427</v>
      </c>
      <c r="X12" s="431" t="s">
        <v>673</v>
      </c>
      <c r="Y12" s="209" t="s">
        <v>276</v>
      </c>
      <c r="Z12" s="423" t="s">
        <v>277</v>
      </c>
      <c r="AA12" s="294" t="s">
        <v>208</v>
      </c>
      <c r="AB12" t="s">
        <v>134</v>
      </c>
      <c r="AC12" t="s">
        <v>137</v>
      </c>
      <c r="AD12" t="s">
        <v>136</v>
      </c>
      <c r="AE12" t="s">
        <v>135</v>
      </c>
      <c r="AF12" t="s">
        <v>406</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223</v>
      </c>
      <c r="BB12" s="223" t="s">
        <v>210</v>
      </c>
      <c r="BC12" t="s">
        <v>260</v>
      </c>
      <c r="BD12" t="s">
        <v>259</v>
      </c>
      <c r="BE12" t="s">
        <v>245</v>
      </c>
      <c r="BF12" t="s">
        <v>246</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228</v>
      </c>
      <c r="CB12" s="228" t="s">
        <v>248</v>
      </c>
      <c r="CC12" s="294" t="s">
        <v>249</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274</v>
      </c>
      <c r="CY12" s="242" t="s">
        <v>266</v>
      </c>
      <c r="CZ12" s="242" t="s">
        <v>267</v>
      </c>
      <c r="DA12" s="242" t="s">
        <v>268</v>
      </c>
      <c r="DB12" s="242" t="s">
        <v>269</v>
      </c>
      <c r="DC12" s="242" t="s">
        <v>270</v>
      </c>
      <c r="DD12" s="242" t="s">
        <v>271</v>
      </c>
      <c r="DE12" s="242" t="s">
        <v>272</v>
      </c>
      <c r="DF12" s="242" t="s">
        <v>273</v>
      </c>
      <c r="DG12" s="242"/>
      <c r="DO12" s="626" t="s">
        <v>642</v>
      </c>
      <c r="DP12" s="294" t="s">
        <v>643</v>
      </c>
      <c r="DQ12" s="677" t="s">
        <v>644</v>
      </c>
      <c r="DR12" s="677" t="s">
        <v>645</v>
      </c>
      <c r="DS12" s="627" t="s">
        <v>670</v>
      </c>
      <c r="DT12" s="627" t="str">
        <f>DP12</f>
        <v>Ulempetillæg på weekenddage - kræver der er sat kryds i weekendarbejde. KOLONNE I. Minus ved lejrskole.</v>
      </c>
      <c r="DU12" s="679" t="s">
        <v>600</v>
      </c>
      <c r="DV12" s="678" t="str">
        <f>DR12</f>
        <v>Ulempetillæg ændringer på weekenddage. Kræver der er sat kryds i ændring i timetal og at det er en weekeend. KOLONNE I OG S. Minus lejrskole</v>
      </c>
      <c r="DW12" s="680" t="s">
        <v>646</v>
      </c>
      <c r="DX12" s="677" t="s">
        <v>647</v>
      </c>
      <c r="DY12" s="677" t="s">
        <v>648</v>
      </c>
      <c r="DZ12" s="677" t="s">
        <v>649</v>
      </c>
      <c r="EA12" s="627" t="s">
        <v>599</v>
      </c>
      <c r="EB12" s="679" t="str">
        <f>DX12</f>
        <v>Ulempetillæg på weekenddage til afspadsering. Kræver der er sat kryds i weekendarb. KOLONNE I. Minus ved lejrskole.</v>
      </c>
      <c r="EC12" s="679" t="s">
        <v>600</v>
      </c>
      <c r="ED12" s="678" t="str">
        <f>DZ12</f>
        <v>Ulempetillæg ændringer på weekenddage. Kræver der er sat kryds i ændring i timetal og at det er en weekeend. KOLONNE I OG S. Minus lejrskole</v>
      </c>
      <c r="EE12" s="632" t="s">
        <v>650</v>
      </c>
      <c r="EF12" s="630" t="s">
        <v>601</v>
      </c>
      <c r="EG12" s="631" t="s">
        <v>604</v>
      </c>
      <c r="EH12" s="633" t="s">
        <v>603</v>
      </c>
      <c r="EI12" s="715" t="s">
        <v>656</v>
      </c>
      <c r="EJ12" s="719" t="s">
        <v>660</v>
      </c>
      <c r="EK12" s="631" t="s">
        <v>604</v>
      </c>
      <c r="EL12" s="633" t="s">
        <v>603</v>
      </c>
      <c r="EM12" s="632" t="s">
        <v>650</v>
      </c>
      <c r="EN12" s="630" t="s">
        <v>653</v>
      </c>
      <c r="EO12" s="631" t="s">
        <v>604</v>
      </c>
      <c r="EP12" s="633" t="s">
        <v>603</v>
      </c>
      <c r="EQ12" s="715" t="s">
        <v>657</v>
      </c>
      <c r="ER12" s="719" t="s">
        <v>661</v>
      </c>
      <c r="ES12" s="631" t="s">
        <v>604</v>
      </c>
      <c r="ET12" s="633" t="s">
        <v>603</v>
      </c>
      <c r="EU12" s="632" t="s">
        <v>651</v>
      </c>
      <c r="EV12" s="630" t="s">
        <v>652</v>
      </c>
      <c r="EW12" s="631" t="s">
        <v>602</v>
      </c>
      <c r="EX12" s="633" t="s">
        <v>606</v>
      </c>
      <c r="EY12" s="632" t="s">
        <v>651</v>
      </c>
      <c r="EZ12" s="630" t="s">
        <v>652</v>
      </c>
      <c r="FA12" s="631" t="s">
        <v>602</v>
      </c>
      <c r="FB12" s="633" t="s">
        <v>606</v>
      </c>
      <c r="FC12" s="632" t="s">
        <v>607</v>
      </c>
      <c r="FD12" s="630" t="s">
        <v>605</v>
      </c>
      <c r="FE12" s="631" t="s">
        <v>602</v>
      </c>
      <c r="FF12" s="633" t="s">
        <v>606</v>
      </c>
      <c r="FG12" s="632" t="str">
        <f>FC12</f>
        <v>Weekendtimer på weekenddage</v>
      </c>
      <c r="FH12" s="630" t="s">
        <v>605</v>
      </c>
      <c r="FI12" s="631" t="s">
        <v>602</v>
      </c>
      <c r="FJ12" s="633" t="s">
        <v>606</v>
      </c>
      <c r="FK12" s="658" t="s">
        <v>568</v>
      </c>
      <c r="FL12" s="630" t="s">
        <v>550</v>
      </c>
      <c r="FM12" s="658" t="s">
        <v>568</v>
      </c>
      <c r="FN12" s="633" t="s">
        <v>550</v>
      </c>
      <c r="FO12" s="715" t="s">
        <v>568</v>
      </c>
      <c r="FP12" s="630" t="s">
        <v>550</v>
      </c>
      <c r="FQ12" s="658" t="s">
        <v>568</v>
      </c>
      <c r="FR12" s="633" t="s">
        <v>550</v>
      </c>
      <c r="FS12" s="659" t="s">
        <v>563</v>
      </c>
      <c r="FT12" s="660" t="s">
        <v>564</v>
      </c>
      <c r="FU12" s="658" t="s">
        <v>549</v>
      </c>
      <c r="FV12" s="630" t="s">
        <v>550</v>
      </c>
      <c r="FW12" s="662" t="s">
        <v>549</v>
      </c>
      <c r="FX12" s="663" t="s">
        <v>550</v>
      </c>
      <c r="FY12" s="667" t="s">
        <v>570</v>
      </c>
      <c r="FZ12" s="660" t="s">
        <v>570</v>
      </c>
      <c r="GA12" s="294" t="s">
        <v>572</v>
      </c>
      <c r="GB12" s="659" t="s">
        <v>574</v>
      </c>
      <c r="GC12" s="659" t="s">
        <v>574</v>
      </c>
      <c r="GD12" s="659" t="s">
        <v>574</v>
      </c>
      <c r="GE12" s="659" t="s">
        <v>574</v>
      </c>
      <c r="GF12" s="659" t="s">
        <v>565</v>
      </c>
      <c r="GG12" s="660" t="s">
        <v>566</v>
      </c>
      <c r="GH12" s="659" t="s">
        <v>565</v>
      </c>
      <c r="GI12" s="660" t="s">
        <v>566</v>
      </c>
      <c r="GJ12" s="712" t="s">
        <v>635</v>
      </c>
      <c r="GK12" s="712" t="s">
        <v>636</v>
      </c>
      <c r="GL12" s="712" t="s">
        <v>637</v>
      </c>
      <c r="GM12" s="712" t="s">
        <v>638</v>
      </c>
      <c r="GN12" s="712" t="s">
        <v>640</v>
      </c>
      <c r="GO12" s="712" t="s">
        <v>639</v>
      </c>
      <c r="GP12" s="722" t="s">
        <v>662</v>
      </c>
    </row>
    <row r="13" spans="1:198" ht="20" customHeight="1">
      <c r="A13" s="1190"/>
      <c r="B13" s="1191"/>
      <c r="C13" s="1191"/>
      <c r="D13" s="1192"/>
      <c r="E13" s="1205"/>
      <c r="F13" s="1206"/>
      <c r="G13" s="1207"/>
      <c r="H13" s="1048"/>
      <c r="I13" s="1031"/>
      <c r="J13" s="1032"/>
      <c r="K13" s="1076" t="s">
        <v>320</v>
      </c>
      <c r="L13" s="1058"/>
      <c r="M13" s="1058"/>
      <c r="N13" s="1058"/>
      <c r="O13" s="1058"/>
      <c r="P13" s="1058"/>
      <c r="Q13" s="1058"/>
      <c r="R13" s="1077"/>
      <c r="S13" s="1057" t="s">
        <v>377</v>
      </c>
      <c r="T13" s="1058"/>
      <c r="U13" s="1059"/>
      <c r="V13" s="1076" t="s">
        <v>378</v>
      </c>
      <c r="W13" s="1058"/>
      <c r="X13" s="1077"/>
      <c r="Y13" s="209"/>
      <c r="Z13" s="423"/>
      <c r="AA13" s="294"/>
      <c r="BB13" s="223"/>
      <c r="CA13" s="109"/>
      <c r="CB13" s="228"/>
      <c r="CC13" s="294"/>
      <c r="CX13" s="242"/>
      <c r="DA13" s="242"/>
      <c r="DB13" s="242"/>
      <c r="DC13" s="242"/>
      <c r="DD13" s="242"/>
      <c r="DE13" s="242"/>
      <c r="DF13" s="242"/>
      <c r="DG13" s="242"/>
      <c r="DH13" t="s">
        <v>476</v>
      </c>
      <c r="DI13" t="s">
        <v>477</v>
      </c>
      <c r="DJ13" t="s">
        <v>478</v>
      </c>
      <c r="DO13" s="628"/>
      <c r="DP13" s="714" t="s">
        <v>641</v>
      </c>
      <c r="DS13" s="1176" t="s">
        <v>160</v>
      </c>
      <c r="DT13" s="1176"/>
      <c r="DU13" s="1176"/>
      <c r="DV13" s="1177"/>
      <c r="EA13" s="1178" t="s">
        <v>160</v>
      </c>
      <c r="EB13" s="1178"/>
      <c r="EC13" s="1178"/>
      <c r="ED13" s="629"/>
      <c r="EE13" s="277"/>
      <c r="EF13" s="245"/>
      <c r="EG13" s="1045" t="s">
        <v>160</v>
      </c>
      <c r="EH13" s="1046"/>
      <c r="EI13" s="277"/>
      <c r="EJ13" s="245"/>
      <c r="EK13" s="1045" t="s">
        <v>160</v>
      </c>
      <c r="EL13" s="1046"/>
      <c r="EM13" s="277"/>
      <c r="EN13" s="245"/>
      <c r="EO13" s="1045" t="s">
        <v>160</v>
      </c>
      <c r="EP13" s="1046"/>
      <c r="EQ13" s="277"/>
      <c r="ER13" s="245"/>
      <c r="ES13" s="1045" t="s">
        <v>160</v>
      </c>
      <c r="ET13" s="1046"/>
      <c r="EU13" s="277"/>
      <c r="EV13" s="245"/>
      <c r="EW13" s="1045" t="s">
        <v>160</v>
      </c>
      <c r="EX13" s="1046"/>
      <c r="EY13" s="277"/>
      <c r="EZ13" s="245"/>
      <c r="FA13" s="1045" t="s">
        <v>160</v>
      </c>
      <c r="FB13" s="1046"/>
      <c r="FC13" s="277"/>
      <c r="FD13" s="245"/>
      <c r="FE13" s="1045" t="s">
        <v>160</v>
      </c>
      <c r="FF13" s="1046"/>
      <c r="FG13" s="277"/>
      <c r="FH13" s="245"/>
      <c r="FI13" s="1045" t="s">
        <v>160</v>
      </c>
      <c r="FJ13" s="1046"/>
      <c r="FK13" s="277"/>
      <c r="FL13" s="245"/>
      <c r="FM13" s="1045" t="s">
        <v>160</v>
      </c>
      <c r="FN13" s="1046"/>
      <c r="FO13" s="277"/>
      <c r="FP13" s="245"/>
      <c r="FQ13" s="1045" t="s">
        <v>160</v>
      </c>
      <c r="FR13" s="1046"/>
      <c r="FT13" s="622" t="s">
        <v>158</v>
      </c>
      <c r="FU13" s="277"/>
      <c r="FV13" s="245"/>
      <c r="FW13" s="1045" t="s">
        <v>160</v>
      </c>
      <c r="FX13" s="1175"/>
      <c r="FY13" s="277"/>
      <c r="FZ13" s="668" t="s">
        <v>158</v>
      </c>
      <c r="GC13" s="622" t="s">
        <v>158</v>
      </c>
      <c r="GE13" s="622" t="s">
        <v>158</v>
      </c>
      <c r="GG13" s="622" t="s">
        <v>158</v>
      </c>
      <c r="GI13" s="622" t="s">
        <v>158</v>
      </c>
    </row>
    <row r="14" spans="1:198">
      <c r="A14" s="239">
        <f>IF(ISNUMBER(A12),A12+1,1)</f>
        <v>1</v>
      </c>
      <c r="B14" s="125" t="str">
        <f t="shared" ref="B14:B43" si="0">CHOOSE(MOD(WEEKDAY(DATE(A$11,A$2,A14)),7)+1,"lø","sø","ma","ti","on","to","fr",)</f>
        <v>ti</v>
      </c>
      <c r="C14" s="126" t="s">
        <v>203</v>
      </c>
      <c r="D14" s="127" t="str">
        <f t="shared" ref="D14:D43" si="1">IF(B14="ma",(DATE(A$11,A$2,A14)-DATE(A$11,1,1)+7)/7,"")</f>
        <v/>
      </c>
      <c r="E14" s="1060"/>
      <c r="F14" s="1061"/>
      <c r="G14" s="1062"/>
      <c r="H14" s="292"/>
      <c r="I14" s="745"/>
      <c r="J14" s="746" t="str">
        <f t="shared" ref="J14:J43" si="2">IF(C14="Lejrskole","X","")</f>
        <v/>
      </c>
      <c r="K14" s="368"/>
      <c r="L14" s="368"/>
      <c r="M14" s="368"/>
      <c r="N14" s="311">
        <f>BA14</f>
        <v>8.11</v>
      </c>
      <c r="O14" s="311">
        <f>CA14</f>
        <v>4.5</v>
      </c>
      <c r="P14" s="311">
        <f>IF(Stamoplysninger!$H$34="JA",September!DG14,CX14)</f>
        <v>1.9166666666666665</v>
      </c>
      <c r="Q14" s="311">
        <f>IF(OR(OR(C14="Lejrskole",C14="Ekskursion",C14="Pæd.dag")),0,N14-O14-P14)</f>
        <v>1.6933333333333329</v>
      </c>
      <c r="R14" s="751"/>
      <c r="S14" s="315"/>
      <c r="T14" s="316"/>
      <c r="U14" s="316"/>
      <c r="V14" s="422"/>
      <c r="W14" s="422"/>
      <c r="X14" s="621"/>
      <c r="Y14">
        <f>IF($S$14="x",V14-N14,0)</f>
        <v>0</v>
      </c>
      <c r="Z14" s="424">
        <f>W14</f>
        <v>0</v>
      </c>
      <c r="AA14" s="1">
        <f t="shared" ref="AA14:AA43" si="3">IF(C14="emnedag",K14,0)</f>
        <v>0</v>
      </c>
      <c r="AB14" s="1">
        <f t="shared" ref="AB14:AB43" si="4">IF(C14="fagdag",K14,0)</f>
        <v>0</v>
      </c>
      <c r="AC14" s="1">
        <f t="shared" ref="AC14:AC43" si="5">IF(C14="Pæd.dag",K14,0)</f>
        <v>0</v>
      </c>
      <c r="AD14" s="1">
        <f t="shared" ref="AD14:AD43" si="6">IF(C14="Ekskursion",K14,0)</f>
        <v>0</v>
      </c>
      <c r="AE14" s="1">
        <f t="shared" ref="AE14:AE43" si="7">IF(C14="Lejrskole",K14,0)</f>
        <v>0</v>
      </c>
      <c r="AF14" s="1">
        <f>IF(C14="Orlov",7.4*Stamoplysninger!$E$20,0)</f>
        <v>0</v>
      </c>
      <c r="AG14" t="str">
        <f>IF(AND(C14="Skema 1",B14="ma"),Arbejdstidsoversigt!$E$77,"")</f>
        <v/>
      </c>
      <c r="AH14">
        <f>IF(AND(C14="Skema 1",B14="ti"),Arbejdstidsoversigt!$E$78,"")</f>
        <v>8.11</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8.11</v>
      </c>
      <c r="BB14" s="224">
        <f t="shared" ref="BB14:BB43" si="8">SUM(AG14:AK14)*24</f>
        <v>194.64</v>
      </c>
      <c r="BC14" s="1">
        <f>IF($C$14="Lejrskole",$L$14,0)</f>
        <v>0</v>
      </c>
      <c r="BD14" s="1">
        <f t="shared" ref="BD14:BD43" si="9">IF(C14="Ekskursion",L14,0)</f>
        <v>0</v>
      </c>
      <c r="BE14" s="1">
        <f t="shared" ref="BE14:BE43" si="10">IF(C14="fagdag",L14,0)</f>
        <v>0</v>
      </c>
      <c r="BF14" s="1">
        <f t="shared" ref="BF14:BF43" si="11">IF(C14="emnedag",L14,0)</f>
        <v>0</v>
      </c>
      <c r="BG14" s="207" t="str">
        <f>IF(AND(C14="Skema 1",B14="ma"),Skemaoplysninger!$E$46,"")</f>
        <v/>
      </c>
      <c r="BH14" s="207">
        <f>IF(AND(C14="Skema 1",B14="ti"),Skemaoplysninger!$G$46,"")</f>
        <v>0.1875</v>
      </c>
      <c r="BI14" s="207" t="str">
        <f>IF(AND(C14="Skema 1",B14="on"),Skemaoplysninger!$I$46,"")</f>
        <v/>
      </c>
      <c r="BJ14" s="207" t="str">
        <f>IF(AND(C14="Skema 1",B14="to"),Skemaoplysninger!$K$46,"")</f>
        <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4.5</v>
      </c>
      <c r="CB14" s="1">
        <f t="shared" ref="CB14:CB43" si="12">IF(C14="fagdag",M14,0)</f>
        <v>0</v>
      </c>
      <c r="CC14" s="1">
        <f t="shared" ref="CC14:CC43" si="13">IF(C14="emnedag",M14,0)</f>
        <v>0</v>
      </c>
      <c r="CD14" s="207" t="str">
        <f>IF(AND(C14="Skema 1",B14="ma"),Skemaoplysninger!$E$47,"")</f>
        <v/>
      </c>
      <c r="CE14" s="207">
        <f>IF(AND(C14="Skema 1",B14="ti"),Skemaoplysninger!$G$47,"")</f>
        <v>7.9861111111111105E-2</v>
      </c>
      <c r="CF14" s="207" t="str">
        <f>IF(AND(C14="Skema 1",B14="on"),Skemaoplysninger!$I$47,"")</f>
        <v/>
      </c>
      <c r="CG14" s="207" t="str">
        <f>IF(AND(C14="Skema 1",B14="to"),Skemaoplysninger!$K$47,"")</f>
        <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1.9166666666666665</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4" si="14">IF(DH14=0,"",DH14)</f>
        <v/>
      </c>
      <c r="DL14" t="str">
        <f>IF(DI14=0,"",DI14)</f>
        <v/>
      </c>
      <c r="DM14" t="str">
        <f>IF(DJ14=0,"",DJ14)</f>
        <v/>
      </c>
      <c r="DN14" t="str">
        <f t="shared" ref="DN14:DN19" si="15">DK14&amp;""&amp;DL14&amp;""&amp;DM14</f>
        <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3" si="16">IF(AND(I14="X",S14="X"),V14,0)</f>
        <v>0</v>
      </c>
      <c r="FZ14" s="634">
        <f t="shared" ref="FZ14:FZ43" si="17">IF(AND(AND(C14="ikke relevant",I14="X",S14="X")),V14,0)</f>
        <v>0</v>
      </c>
      <c r="GA14">
        <f t="shared" ref="GA14:GA43" si="18">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3" si="19">IF(C14="emnedag","X",0)</f>
        <v>0</v>
      </c>
      <c r="GL14">
        <f t="shared" ref="GL14:GL43" si="20">IF(C14="ekskursion","X",0)</f>
        <v>0</v>
      </c>
      <c r="GM14">
        <f t="shared" ref="GM14:GM43" si="21">IF(C14="pæd.dag","X",0)</f>
        <v>0</v>
      </c>
      <c r="GN14" s="713">
        <f t="shared" ref="GN14:GN43" si="22">IF(C14="lejrskole","X",0)</f>
        <v>0</v>
      </c>
      <c r="GO14">
        <f>COUNTIF(GJ14:GN14,"X")</f>
        <v>0</v>
      </c>
      <c r="GP14" s="647">
        <f>IF(AND(I14="X",S14="X"),V14,0)</f>
        <v>0</v>
      </c>
    </row>
    <row r="15" spans="1:198">
      <c r="A15" s="239">
        <f t="shared" ref="A15:A43" si="23">IF(ISNUMBER(A14),A14+1,1)</f>
        <v>2</v>
      </c>
      <c r="B15" s="125" t="str">
        <f t="shared" si="0"/>
        <v>on</v>
      </c>
      <c r="C15" s="126" t="s">
        <v>203</v>
      </c>
      <c r="D15" s="127" t="str">
        <f t="shared" si="1"/>
        <v/>
      </c>
      <c r="E15" s="1060"/>
      <c r="F15" s="1061"/>
      <c r="G15" s="1062"/>
      <c r="H15" s="292"/>
      <c r="I15" s="745"/>
      <c r="J15" s="746" t="str">
        <f t="shared" si="2"/>
        <v/>
      </c>
      <c r="K15" s="368"/>
      <c r="L15" s="368"/>
      <c r="M15" s="368"/>
      <c r="N15" s="311">
        <f t="shared" ref="N15:N43" si="24">BA15</f>
        <v>8.11</v>
      </c>
      <c r="O15" s="311">
        <f t="shared" ref="O15:O43" si="25">CA15</f>
        <v>2.75</v>
      </c>
      <c r="P15" s="311">
        <f>IF(Stamoplysninger!$H$34="JA",September!DG15,CX15)</f>
        <v>1.25</v>
      </c>
      <c r="Q15" s="311">
        <f t="shared" ref="Q15:Q43" si="26">IF(OR(OR(C15="Lejrskole",C15="Ekskursion",C15="Pæd.dag")),0,N15-O15-P15)</f>
        <v>4.1099999999999994</v>
      </c>
      <c r="R15" s="751"/>
      <c r="S15" s="315"/>
      <c r="T15" s="316"/>
      <c r="U15" s="316"/>
      <c r="V15" s="422"/>
      <c r="W15" s="422"/>
      <c r="X15" s="621"/>
      <c r="Y15">
        <f t="shared" ref="Y15:Y43" si="27">IF(S15="x",V15-N15,0)</f>
        <v>0</v>
      </c>
      <c r="Z15" s="424">
        <f t="shared" ref="Z15:Z43" si="28">W15</f>
        <v>0</v>
      </c>
      <c r="AA15" s="1">
        <f t="shared" si="3"/>
        <v>0</v>
      </c>
      <c r="AB15" s="1">
        <f t="shared" si="4"/>
        <v>0</v>
      </c>
      <c r="AC15" s="1">
        <f t="shared" si="5"/>
        <v>0</v>
      </c>
      <c r="AD15" s="1">
        <f t="shared" si="6"/>
        <v>0</v>
      </c>
      <c r="AE15" s="1">
        <f t="shared" si="7"/>
        <v>0</v>
      </c>
      <c r="AF15" s="1">
        <f>IF(C15="Orlov",7.4*Stamoplysninger!$E$20,0)</f>
        <v>0</v>
      </c>
      <c r="AG15" t="str">
        <f>IF(AND(C15="Skema 1",B15="ma"),Arbejdstidsoversigt!$E$77,"")</f>
        <v/>
      </c>
      <c r="AH15" t="str">
        <f>IF(AND(C15="Skema 1",B15="ti"),Arbejdstidsoversigt!$E$78,"")</f>
        <v/>
      </c>
      <c r="AI15">
        <f>IF(AND(C15="Skema 1",B15="on"),Arbejdstidsoversigt!$E$79,"")</f>
        <v>8.11</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2" si="29">SUM(AA15:AZ15)</f>
        <v>8.11</v>
      </c>
      <c r="BB15" s="224">
        <f t="shared" si="8"/>
        <v>194.64</v>
      </c>
      <c r="BC15" s="1">
        <f t="shared" ref="BC15:BC43" si="30">IF(C15="Lejrskole",L15,0)</f>
        <v>0</v>
      </c>
      <c r="BD15" s="1">
        <f t="shared" si="9"/>
        <v>0</v>
      </c>
      <c r="BE15" s="1">
        <f t="shared" si="10"/>
        <v>0</v>
      </c>
      <c r="BF15" s="1">
        <f t="shared" si="11"/>
        <v>0</v>
      </c>
      <c r="BG15" s="207" t="str">
        <f>IF(AND(C15="Skema 1",B15="ma"),Skemaoplysninger!$E$46,"")</f>
        <v/>
      </c>
      <c r="BH15" s="207" t="str">
        <f>IF(AND(C15="Skema 1",B15="ti"),Skemaoplysninger!$G$46,"")</f>
        <v/>
      </c>
      <c r="BI15" s="207">
        <f>IF(AND(C15="Skema 1",B15="on"),Skemaoplysninger!$I$46,"")</f>
        <v>0.11458333333333333</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43" si="31">SUM(BG15:BZ15)*24+SUM(BC15:BF15)</f>
        <v>2.75</v>
      </c>
      <c r="CB15" s="1">
        <f t="shared" si="12"/>
        <v>0</v>
      </c>
      <c r="CC15" s="1">
        <f t="shared" si="13"/>
        <v>0</v>
      </c>
      <c r="CD15" s="207" t="str">
        <f>IF(AND(C15="Skema 1",B15="ma"),Skemaoplysninger!$E$47,"")</f>
        <v/>
      </c>
      <c r="CE15" s="207" t="str">
        <f>IF(AND(C15="Skema 1",B15="ti"),Skemaoplysninger!$G$47,"")</f>
        <v/>
      </c>
      <c r="CF15" s="207">
        <f>IF(AND(C15="Skema 1",B15="on"),Skemaoplysninger!$I$47,"")</f>
        <v>5.2083333333333329E-2</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1.25</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3" si="32">SUM(CY15:DF15)</f>
        <v>0</v>
      </c>
      <c r="DH15" t="str">
        <f t="shared" ref="DH15:DH44" si="33">IF(AND(E15&gt;0,H15&gt;0),""&amp;E15&amp;" og "&amp;H15&amp;"","")</f>
        <v/>
      </c>
      <c r="DI15">
        <f t="shared" ref="DI15:DI43" si="34">IF(H15="",E15,"")</f>
        <v>0</v>
      </c>
      <c r="DJ15">
        <f t="shared" ref="DJ15:DJ43" si="35">IF(E15="",H15,"")</f>
        <v>0</v>
      </c>
      <c r="DK15" t="str">
        <f t="shared" si="14"/>
        <v/>
      </c>
      <c r="DL15" t="str">
        <f t="shared" si="14"/>
        <v/>
      </c>
      <c r="DM15" t="str">
        <f t="shared" si="14"/>
        <v/>
      </c>
      <c r="DN15" t="str">
        <f t="shared" si="15"/>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6"/>
        <v>0</v>
      </c>
      <c r="FZ15" s="634">
        <f t="shared" si="17"/>
        <v>0</v>
      </c>
      <c r="GA15">
        <f t="shared" si="18"/>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3" si="36">IF(C15="fagdag","X",0)</f>
        <v>0</v>
      </c>
      <c r="GK15">
        <f t="shared" si="19"/>
        <v>0</v>
      </c>
      <c r="GL15">
        <f t="shared" si="20"/>
        <v>0</v>
      </c>
      <c r="GM15">
        <f t="shared" si="21"/>
        <v>0</v>
      </c>
      <c r="GN15" s="713">
        <f t="shared" si="22"/>
        <v>0</v>
      </c>
      <c r="GO15">
        <f t="shared" ref="GO15:GO43" si="37">COUNTIF(GJ15:GN15,"X")</f>
        <v>0</v>
      </c>
      <c r="GP15" s="647">
        <f t="shared" ref="GP15:GP43" si="38">IF(AND(I15="X",S15="X"),V15,0)</f>
        <v>0</v>
      </c>
    </row>
    <row r="16" spans="1:198">
      <c r="A16" s="239">
        <f t="shared" si="23"/>
        <v>3</v>
      </c>
      <c r="B16" s="125" t="str">
        <f t="shared" si="0"/>
        <v>to</v>
      </c>
      <c r="C16" s="126" t="s">
        <v>203</v>
      </c>
      <c r="D16" s="127" t="str">
        <f t="shared" si="1"/>
        <v/>
      </c>
      <c r="E16" s="1060"/>
      <c r="F16" s="1061"/>
      <c r="G16" s="1062"/>
      <c r="H16" s="292" t="s">
        <v>751</v>
      </c>
      <c r="I16" s="745"/>
      <c r="J16" s="746" t="str">
        <f t="shared" si="2"/>
        <v/>
      </c>
      <c r="K16" s="368"/>
      <c r="L16" s="368"/>
      <c r="M16" s="368"/>
      <c r="N16" s="311">
        <f t="shared" si="24"/>
        <v>9</v>
      </c>
      <c r="O16" s="311">
        <f t="shared" si="25"/>
        <v>3.75</v>
      </c>
      <c r="P16" s="311">
        <f>IF(Stamoplysninger!$H$34="JA",September!DG16,CX16)</f>
        <v>1</v>
      </c>
      <c r="Q16" s="311">
        <f t="shared" si="26"/>
        <v>4.25</v>
      </c>
      <c r="R16" s="751">
        <v>3</v>
      </c>
      <c r="S16" s="315"/>
      <c r="T16" s="316"/>
      <c r="U16" s="316"/>
      <c r="V16" s="422"/>
      <c r="W16" s="422"/>
      <c r="X16" s="621"/>
      <c r="Y16">
        <f t="shared" si="27"/>
        <v>0</v>
      </c>
      <c r="Z16" s="424">
        <f t="shared" si="28"/>
        <v>0</v>
      </c>
      <c r="AA16" s="1">
        <f t="shared" si="3"/>
        <v>0</v>
      </c>
      <c r="AB16" s="1">
        <f t="shared" si="4"/>
        <v>0</v>
      </c>
      <c r="AC16" s="1">
        <f t="shared" si="5"/>
        <v>0</v>
      </c>
      <c r="AD16" s="1">
        <f t="shared" si="6"/>
        <v>0</v>
      </c>
      <c r="AE16" s="1">
        <f t="shared" si="7"/>
        <v>0</v>
      </c>
      <c r="AF16" s="1">
        <f>IF(C16="Orlov",7.4*Stamoplysninger!$E$20,0)</f>
        <v>0</v>
      </c>
      <c r="AG16" t="str">
        <f>IF(AND(C16="Skema 1",B16="ma"),Arbejdstidsoversigt!$E$77,"")</f>
        <v/>
      </c>
      <c r="AH16" t="str">
        <f>IF(AND(C16="Skema 1",B16="ti"),Arbejdstidsoversigt!$E$78,"")</f>
        <v/>
      </c>
      <c r="AI16" t="str">
        <f>IF(AND(C16="Skema 1",B16="on"),Arbejdstidsoversigt!$E$79,"")</f>
        <v/>
      </c>
      <c r="AJ16">
        <f>IF(AND(C16="Skema 1",B16="to"),Arbejdstidsoversigt!$E$80,"")</f>
        <v>9</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9"/>
        <v>9</v>
      </c>
      <c r="BB16" s="224">
        <f t="shared" si="8"/>
        <v>216</v>
      </c>
      <c r="BC16" s="1">
        <f t="shared" si="30"/>
        <v>0</v>
      </c>
      <c r="BD16" s="1">
        <f t="shared" si="9"/>
        <v>0</v>
      </c>
      <c r="BE16" s="1">
        <f t="shared" si="10"/>
        <v>0</v>
      </c>
      <c r="BF16" s="1">
        <f t="shared" si="11"/>
        <v>0</v>
      </c>
      <c r="BG16" s="207" t="str">
        <f>IF(AND(C16="Skema 1",B16="ma"),Skemaoplysninger!$E$46,"")</f>
        <v/>
      </c>
      <c r="BH16" s="207" t="str">
        <f>IF(AND(C16="Skema 1",B16="ti"),Skemaoplysninger!$G$46,"")</f>
        <v/>
      </c>
      <c r="BI16" s="207" t="str">
        <f>IF(AND(C16="Skema 1",B16="on"),Skemaoplysninger!$I$46,"")</f>
        <v/>
      </c>
      <c r="BJ16" s="207">
        <f>IF(AND(C16="Skema 1",B16="to"),Skemaoplysninger!$K$46,"")</f>
        <v>0.15625</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1"/>
        <v>3.75</v>
      </c>
      <c r="CB16" s="1">
        <f t="shared" si="12"/>
        <v>0</v>
      </c>
      <c r="CC16" s="1">
        <f t="shared" si="13"/>
        <v>0</v>
      </c>
      <c r="CD16" s="207" t="str">
        <f>IF(AND(C16="Skema 1",B16="ma"),Skemaoplysninger!$E$47,"")</f>
        <v/>
      </c>
      <c r="CE16" s="207" t="str">
        <f>IF(AND(C16="Skema 1",B16="ti"),Skemaoplysninger!$G$47,"")</f>
        <v/>
      </c>
      <c r="CF16" s="207" t="str">
        <f>IF(AND(C16="Skema 1",B16="on"),Skemaoplysninger!$I$47,"")</f>
        <v/>
      </c>
      <c r="CG16" s="207">
        <f>IF(AND(C16="Skema 1",B16="to"),Skemaoplysninger!$K$47,"")</f>
        <v>4.1666666666666664E-2</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1</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2"/>
        <v>0</v>
      </c>
      <c r="DH16" t="str">
        <f t="shared" si="33"/>
        <v/>
      </c>
      <c r="DI16" t="str">
        <f t="shared" si="34"/>
        <v/>
      </c>
      <c r="DJ16" t="str">
        <f t="shared" si="35"/>
        <v>Skolehjem</v>
      </c>
      <c r="DK16" t="str">
        <f t="shared" si="14"/>
        <v/>
      </c>
      <c r="DL16" t="str">
        <f t="shared" si="14"/>
        <v/>
      </c>
      <c r="DM16" t="str">
        <f t="shared" si="14"/>
        <v>Skolehjem</v>
      </c>
      <c r="DN16" t="str">
        <f t="shared" si="15"/>
        <v>Skolehjem</v>
      </c>
      <c r="DO16" s="628">
        <f>IF(AND(Stamoplysninger!$B$27="Ulempetillæg udbetales med 25% af nettotimelønnen.",H16&gt;0),(R16/4),0)</f>
        <v>0.75</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6"/>
        <v>0</v>
      </c>
      <c r="FZ16" s="634">
        <f t="shared" si="17"/>
        <v>0</v>
      </c>
      <c r="GA16">
        <f t="shared" si="18"/>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9"/>
        <v>0</v>
      </c>
      <c r="GL16">
        <f t="shared" si="20"/>
        <v>0</v>
      </c>
      <c r="GM16">
        <f t="shared" si="21"/>
        <v>0</v>
      </c>
      <c r="GN16" s="713">
        <f t="shared" si="22"/>
        <v>0</v>
      </c>
      <c r="GO16">
        <f t="shared" si="37"/>
        <v>0</v>
      </c>
      <c r="GP16" s="647">
        <f t="shared" si="38"/>
        <v>0</v>
      </c>
    </row>
    <row r="17" spans="1:198">
      <c r="A17" s="239">
        <f t="shared" si="23"/>
        <v>4</v>
      </c>
      <c r="B17" s="125" t="str">
        <f t="shared" si="0"/>
        <v>fr</v>
      </c>
      <c r="C17" s="126" t="s">
        <v>203</v>
      </c>
      <c r="D17" s="127" t="str">
        <f t="shared" si="1"/>
        <v/>
      </c>
      <c r="E17" s="1060"/>
      <c r="F17" s="1061"/>
      <c r="G17" s="1062"/>
      <c r="H17" s="292"/>
      <c r="I17" s="745"/>
      <c r="J17" s="746" t="str">
        <f t="shared" si="2"/>
        <v/>
      </c>
      <c r="K17" s="368"/>
      <c r="L17" s="368"/>
      <c r="M17" s="368"/>
      <c r="N17" s="311">
        <f t="shared" si="24"/>
        <v>7.1</v>
      </c>
      <c r="O17" s="311">
        <f t="shared" si="25"/>
        <v>3.75</v>
      </c>
      <c r="P17" s="311">
        <f>IF(Stamoplysninger!$H$34="JA",September!DG17,CX17)</f>
        <v>1</v>
      </c>
      <c r="Q17" s="311">
        <f t="shared" si="26"/>
        <v>2.3499999999999996</v>
      </c>
      <c r="R17" s="751"/>
      <c r="S17" s="315"/>
      <c r="T17" s="316"/>
      <c r="U17" s="316"/>
      <c r="V17" s="422"/>
      <c r="W17" s="422"/>
      <c r="X17" s="621"/>
      <c r="Y17">
        <f t="shared" si="27"/>
        <v>0</v>
      </c>
      <c r="Z17" s="424">
        <f t="shared" si="28"/>
        <v>0</v>
      </c>
      <c r="AA17" s="1">
        <f t="shared" si="3"/>
        <v>0</v>
      </c>
      <c r="AB17" s="1">
        <f t="shared" si="4"/>
        <v>0</v>
      </c>
      <c r="AC17" s="1">
        <f t="shared" si="5"/>
        <v>0</v>
      </c>
      <c r="AD17" s="1">
        <f t="shared" si="6"/>
        <v>0</v>
      </c>
      <c r="AE17" s="1">
        <f t="shared" si="7"/>
        <v>0</v>
      </c>
      <c r="AF17" s="1">
        <f>IF(C17="Orlov",7.4*Stamoplysninger!$E$20,0)</f>
        <v>0</v>
      </c>
      <c r="AG17" t="str">
        <f>IF(AND(C17="Skema 1",B17="ma"),Arbejdstidsoversigt!$E$77,"")</f>
        <v/>
      </c>
      <c r="AH17" t="str">
        <f>IF(AND(C17="Skema 1",B17="ti"),Arbejdstidsoversigt!$E$78,"")</f>
        <v/>
      </c>
      <c r="AI17" t="str">
        <f>IF(AND(C17="Skema 1",B17="on"),Arbejdstidsoversigt!$E$79,"")</f>
        <v/>
      </c>
      <c r="AJ17" t="str">
        <f>IF(AND(C17="Skema 1",B17="to"),Arbejdstidsoversigt!$E$80,"")</f>
        <v/>
      </c>
      <c r="AK17">
        <f>IF(AND(C17="Skema 1",B17="fr"),Arbejdstidsoversigt!$E$81,"")</f>
        <v>7.1</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9"/>
        <v>7.1</v>
      </c>
      <c r="BB17" s="224">
        <f t="shared" si="8"/>
        <v>170.39999999999998</v>
      </c>
      <c r="BC17" s="1">
        <f t="shared" si="30"/>
        <v>0</v>
      </c>
      <c r="BD17" s="1">
        <f t="shared" si="9"/>
        <v>0</v>
      </c>
      <c r="BE17" s="1">
        <f t="shared" si="10"/>
        <v>0</v>
      </c>
      <c r="BF17" s="1">
        <f t="shared" si="11"/>
        <v>0</v>
      </c>
      <c r="BG17" s="207" t="str">
        <f>IF(AND(C17="Skema 1",B17="ma"),Skemaoplysninger!$E$46,"")</f>
        <v/>
      </c>
      <c r="BH17" s="207" t="str">
        <f>IF(AND(C17="Skema 1",B17="ti"),Skemaoplysninger!$G$46,"")</f>
        <v/>
      </c>
      <c r="BI17" s="207" t="str">
        <f>IF(AND(C17="Skema 1",B17="on"),Skemaoplysninger!$I$46,"")</f>
        <v/>
      </c>
      <c r="BJ17" s="207" t="str">
        <f>IF(AND(C17="Skema 1",B17="to"),Skemaoplysninger!$K$46,"")</f>
        <v/>
      </c>
      <c r="BK17" s="207">
        <f>IF(AND(C17="Skema 1",B17="fr"),Skemaoplysninger!$M$46,"")</f>
        <v>0.15625</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1"/>
        <v>3.75</v>
      </c>
      <c r="CB17" s="1">
        <f t="shared" si="12"/>
        <v>0</v>
      </c>
      <c r="CC17" s="1">
        <f t="shared" si="13"/>
        <v>0</v>
      </c>
      <c r="CD17" s="207" t="str">
        <f>IF(AND(C17="Skema 1",B17="ma"),Skemaoplysninger!$E$47,"")</f>
        <v/>
      </c>
      <c r="CE17" s="207" t="str">
        <f>IF(AND(C17="Skema 1",B17="ti"),Skemaoplysninger!$G$47,"")</f>
        <v/>
      </c>
      <c r="CF17" s="207" t="str">
        <f>IF(AND(C17="Skema 1",B17="on"),Skemaoplysninger!$I$47,"")</f>
        <v/>
      </c>
      <c r="CG17" s="207" t="str">
        <f>IF(AND(C17="Skema 1",B17="to"),Skemaoplysninger!$K$47,"")</f>
        <v/>
      </c>
      <c r="CH17" s="207">
        <f>IF(AND(C17="Skema 1",B17="fr"),Skemaoplysninger!$M$47,"")</f>
        <v>4.1666666666666664E-2</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1</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2"/>
        <v>0</v>
      </c>
      <c r="DH17" t="str">
        <f t="shared" si="33"/>
        <v/>
      </c>
      <c r="DI17">
        <f t="shared" si="34"/>
        <v>0</v>
      </c>
      <c r="DJ17">
        <f>IF(E17="",H17,"")</f>
        <v>0</v>
      </c>
      <c r="DK17" t="str">
        <f t="shared" si="14"/>
        <v/>
      </c>
      <c r="DL17" t="str">
        <f t="shared" si="14"/>
        <v/>
      </c>
      <c r="DM17" t="str">
        <f t="shared" si="14"/>
        <v/>
      </c>
      <c r="DN17" t="str">
        <f t="shared" si="1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6"/>
        <v>0</v>
      </c>
      <c r="FZ17" s="634">
        <f t="shared" si="17"/>
        <v>0</v>
      </c>
      <c r="GA17">
        <f t="shared" si="18"/>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9"/>
        <v>0</v>
      </c>
      <c r="GL17">
        <f t="shared" si="20"/>
        <v>0</v>
      </c>
      <c r="GM17">
        <f t="shared" si="21"/>
        <v>0</v>
      </c>
      <c r="GN17" s="713">
        <f t="shared" si="22"/>
        <v>0</v>
      </c>
      <c r="GO17">
        <f t="shared" si="37"/>
        <v>0</v>
      </c>
      <c r="GP17" s="647">
        <f t="shared" si="38"/>
        <v>0</v>
      </c>
    </row>
    <row r="18" spans="1:198">
      <c r="A18" s="239">
        <f t="shared" si="23"/>
        <v>5</v>
      </c>
      <c r="B18" s="125" t="str">
        <f t="shared" si="0"/>
        <v>lø</v>
      </c>
      <c r="C18" s="126" t="s">
        <v>118</v>
      </c>
      <c r="D18" s="127" t="str">
        <f t="shared" si="1"/>
        <v/>
      </c>
      <c r="E18" s="1060"/>
      <c r="F18" s="1061"/>
      <c r="G18" s="1062"/>
      <c r="H18" s="292"/>
      <c r="I18" s="746" t="str">
        <f>IF(GO18=1,"X","")</f>
        <v/>
      </c>
      <c r="J18" s="746" t="str">
        <f t="shared" si="2"/>
        <v/>
      </c>
      <c r="K18" s="368"/>
      <c r="L18" s="368"/>
      <c r="M18" s="368"/>
      <c r="N18" s="311">
        <f t="shared" si="24"/>
        <v>0</v>
      </c>
      <c r="O18" s="311">
        <f t="shared" si="25"/>
        <v>0</v>
      </c>
      <c r="P18" s="311">
        <f>IF(Stamoplysninger!$H$34="JA",September!DG18,CX18)</f>
        <v>0</v>
      </c>
      <c r="Q18" s="311">
        <f t="shared" si="26"/>
        <v>0</v>
      </c>
      <c r="R18" s="751"/>
      <c r="S18" s="315"/>
      <c r="T18" s="316"/>
      <c r="U18" s="316"/>
      <c r="V18" s="422"/>
      <c r="W18" s="422"/>
      <c r="X18" s="621"/>
      <c r="Y18">
        <f t="shared" si="27"/>
        <v>0</v>
      </c>
      <c r="Z18" s="424">
        <f t="shared" si="28"/>
        <v>0</v>
      </c>
      <c r="AA18" s="1">
        <f t="shared" si="3"/>
        <v>0</v>
      </c>
      <c r="AB18" s="1">
        <f t="shared" si="4"/>
        <v>0</v>
      </c>
      <c r="AC18" s="1">
        <f t="shared" si="5"/>
        <v>0</v>
      </c>
      <c r="AD18" s="1">
        <f t="shared" si="6"/>
        <v>0</v>
      </c>
      <c r="AE18" s="1">
        <f t="shared" si="7"/>
        <v>0</v>
      </c>
      <c r="AF18" s="1">
        <f>IF(C18="Orlov",7.4*Stamoplysninger!$E$20,0)</f>
        <v>0</v>
      </c>
      <c r="AG18" t="str">
        <f>IF(AND(C18="Skema 1",B18="ma"),Arbejdstidsoversigt!$E$77,"")</f>
        <v/>
      </c>
      <c r="AH18" t="str">
        <f>IF(AND(C18="Skema 1",B18="ti"),Arbejdstidsoversigt!$E$78,"")</f>
        <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9"/>
        <v>0</v>
      </c>
      <c r="BB18" s="224">
        <f t="shared" si="8"/>
        <v>0</v>
      </c>
      <c r="BC18" s="1">
        <f t="shared" si="30"/>
        <v>0</v>
      </c>
      <c r="BD18" s="1">
        <f t="shared" si="9"/>
        <v>0</v>
      </c>
      <c r="BE18" s="1">
        <f t="shared" si="10"/>
        <v>0</v>
      </c>
      <c r="BF18" s="1">
        <f t="shared" si="11"/>
        <v>0</v>
      </c>
      <c r="BG18" s="207" t="str">
        <f>IF(AND(C18="Skema 1",B18="ma"),Skemaoplysninger!$E$46,"")</f>
        <v/>
      </c>
      <c r="BH18" s="207" t="str">
        <f>IF(AND(C18="Skema 1",B18="ti"),Skemaoplysninger!$G$46,"")</f>
        <v/>
      </c>
      <c r="BI18" s="207" t="str">
        <f>IF(AND(C18="Skema 1",B18="on"),Skemaoplysninger!$I$46,"")</f>
        <v/>
      </c>
      <c r="BJ18" s="207" t="str">
        <f>IF(AND(C18="Skema 1",B18="to"),Skemaoplysninger!$K$46,"")</f>
        <v/>
      </c>
      <c r="BK18" s="207" t="str">
        <f>IF(AND(C18="Skema 1",B18="fr"),Skemaoplysninger!$M$46,"")</f>
        <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1"/>
        <v>0</v>
      </c>
      <c r="CB18" s="1">
        <f t="shared" si="12"/>
        <v>0</v>
      </c>
      <c r="CC18" s="1">
        <f t="shared" si="13"/>
        <v>0</v>
      </c>
      <c r="CD18" s="207" t="str">
        <f>IF(AND(C18="Skema 1",B18="ma"),Skemaoplysninger!$E$47,"")</f>
        <v/>
      </c>
      <c r="CE18" s="207" t="str">
        <f>IF(AND(C18="Skema 1",B18="ti"),Skemaoplysninger!$G$47,"")</f>
        <v/>
      </c>
      <c r="CF18" s="207" t="str">
        <f>IF(AND(C18="Skema 1",B18="on"),Skemaoplysninger!$I$47,"")</f>
        <v/>
      </c>
      <c r="CG18" s="207" t="str">
        <f>IF(AND(C18="Skema 1",B18="to"),Skemaoplysninger!$K$47,"")</f>
        <v/>
      </c>
      <c r="CH18" s="207" t="str">
        <f>IF(AND(C18="Skema 1",B18="fr"),Skemaoplysninger!$M$47,"")</f>
        <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2"/>
        <v>0</v>
      </c>
      <c r="DH18" t="str">
        <f t="shared" si="33"/>
        <v/>
      </c>
      <c r="DI18">
        <f t="shared" si="34"/>
        <v>0</v>
      </c>
      <c r="DJ18">
        <f t="shared" si="35"/>
        <v>0</v>
      </c>
      <c r="DK18" t="str">
        <f t="shared" si="14"/>
        <v/>
      </c>
      <c r="DL18" t="str">
        <f t="shared" si="14"/>
        <v/>
      </c>
      <c r="DM18" t="str">
        <f t="shared" si="14"/>
        <v/>
      </c>
      <c r="DN18" t="str">
        <f t="shared" si="15"/>
        <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6"/>
        <v>0</v>
      </c>
      <c r="FZ18" s="634">
        <f t="shared" si="17"/>
        <v>0</v>
      </c>
      <c r="GA18">
        <f t="shared" si="18"/>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9"/>
        <v>0</v>
      </c>
      <c r="GL18">
        <f t="shared" si="20"/>
        <v>0</v>
      </c>
      <c r="GM18">
        <f t="shared" si="21"/>
        <v>0</v>
      </c>
      <c r="GN18" s="713">
        <f t="shared" si="22"/>
        <v>0</v>
      </c>
      <c r="GO18">
        <f t="shared" si="37"/>
        <v>0</v>
      </c>
      <c r="GP18" s="647">
        <f t="shared" si="38"/>
        <v>0</v>
      </c>
    </row>
    <row r="19" spans="1:198" ht="16" customHeight="1">
      <c r="A19" s="239">
        <f t="shared" si="23"/>
        <v>6</v>
      </c>
      <c r="B19" s="125" t="str">
        <f t="shared" si="0"/>
        <v>sø</v>
      </c>
      <c r="C19" s="126" t="s">
        <v>118</v>
      </c>
      <c r="D19" s="127" t="str">
        <f t="shared" si="1"/>
        <v/>
      </c>
      <c r="E19" s="1060"/>
      <c r="F19" s="1061"/>
      <c r="G19" s="1062"/>
      <c r="H19" s="292"/>
      <c r="I19" s="746" t="str">
        <f>IF(GO19=1,"X","")</f>
        <v/>
      </c>
      <c r="J19" s="746" t="str">
        <f t="shared" si="2"/>
        <v/>
      </c>
      <c r="K19" s="368"/>
      <c r="L19" s="368"/>
      <c r="M19" s="368"/>
      <c r="N19" s="311">
        <f t="shared" si="24"/>
        <v>0</v>
      </c>
      <c r="O19" s="311">
        <f t="shared" si="25"/>
        <v>0</v>
      </c>
      <c r="P19" s="311">
        <f>IF(Stamoplysninger!$H$34="JA",September!DG19,CX19)</f>
        <v>0</v>
      </c>
      <c r="Q19" s="311">
        <f t="shared" si="26"/>
        <v>0</v>
      </c>
      <c r="R19" s="751"/>
      <c r="S19" s="315"/>
      <c r="T19" s="316"/>
      <c r="U19" s="316"/>
      <c r="V19" s="422"/>
      <c r="W19" s="422"/>
      <c r="X19" s="621"/>
      <c r="Y19">
        <f t="shared" si="27"/>
        <v>0</v>
      </c>
      <c r="Z19" s="424">
        <f t="shared" si="28"/>
        <v>0</v>
      </c>
      <c r="AA19" s="1">
        <f t="shared" si="3"/>
        <v>0</v>
      </c>
      <c r="AB19" s="1">
        <f t="shared" si="4"/>
        <v>0</v>
      </c>
      <c r="AC19" s="1">
        <f t="shared" si="5"/>
        <v>0</v>
      </c>
      <c r="AD19" s="1">
        <f t="shared" si="6"/>
        <v>0</v>
      </c>
      <c r="AE19" s="1">
        <f t="shared" si="7"/>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9"/>
        <v>0</v>
      </c>
      <c r="BB19" s="224">
        <f t="shared" si="8"/>
        <v>0</v>
      </c>
      <c r="BC19" s="1">
        <f t="shared" si="30"/>
        <v>0</v>
      </c>
      <c r="BD19" s="1">
        <f t="shared" si="9"/>
        <v>0</v>
      </c>
      <c r="BE19" s="1">
        <f t="shared" si="10"/>
        <v>0</v>
      </c>
      <c r="BF19" s="1">
        <f t="shared" si="11"/>
        <v>0</v>
      </c>
      <c r="BG19" s="207" t="str">
        <f>IF(AND(C19="Skema 1",B19="ma"),Skemaoplysninger!$E$46,"")</f>
        <v/>
      </c>
      <c r="BH19" s="207" t="str">
        <f>IF(AND(C19="Skema 1",B19="ti"),Skemaoplysninger!$G$46,"")</f>
        <v/>
      </c>
      <c r="BI19" s="207" t="str">
        <f>IF(AND(C19="Skema 1",B19="on"),Skemaoplysninger!$I$46,"")</f>
        <v/>
      </c>
      <c r="BJ19" s="207" t="str">
        <f>IF(AND(C19="Skema 1",B19="to"),Skemaoplysninger!$K$46,"")</f>
        <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1"/>
        <v>0</v>
      </c>
      <c r="CB19" s="1">
        <f t="shared" si="12"/>
        <v>0</v>
      </c>
      <c r="CC19" s="1">
        <f t="shared" si="13"/>
        <v>0</v>
      </c>
      <c r="CD19" s="207" t="str">
        <f>IF(AND(C19="Skema 1",B19="ma"),Skemaoplysninger!$E$47,"")</f>
        <v/>
      </c>
      <c r="CE19" s="207" t="str">
        <f>IF(AND(C19="Skema 1",B19="ti"),Skemaoplysninger!$G$47,"")</f>
        <v/>
      </c>
      <c r="CF19" s="207" t="str">
        <f>IF(AND(C19="Skema 1",B19="on"),Skemaoplysninger!$I$47,"")</f>
        <v/>
      </c>
      <c r="CG19" s="207" t="str">
        <f>IF(AND(C19="Skema 1",B19="to"),Skemaoplysninger!$K$47,"")</f>
        <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2"/>
        <v>0</v>
      </c>
      <c r="DH19" t="str">
        <f t="shared" si="33"/>
        <v/>
      </c>
      <c r="DI19">
        <f t="shared" si="34"/>
        <v>0</v>
      </c>
      <c r="DJ19">
        <f t="shared" si="35"/>
        <v>0</v>
      </c>
      <c r="DK19" t="str">
        <f t="shared" si="14"/>
        <v/>
      </c>
      <c r="DL19" t="str">
        <f t="shared" si="14"/>
        <v/>
      </c>
      <c r="DM19" t="str">
        <f t="shared" si="14"/>
        <v/>
      </c>
      <c r="DN19" t="str">
        <f t="shared" si="15"/>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6"/>
        <v>0</v>
      </c>
      <c r="FZ19" s="634">
        <f t="shared" si="17"/>
        <v>0</v>
      </c>
      <c r="GA19">
        <f t="shared" si="18"/>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9"/>
        <v>0</v>
      </c>
      <c r="GL19">
        <f t="shared" si="20"/>
        <v>0</v>
      </c>
      <c r="GM19">
        <f t="shared" si="21"/>
        <v>0</v>
      </c>
      <c r="GN19" s="713">
        <f t="shared" si="22"/>
        <v>0</v>
      </c>
      <c r="GO19">
        <f t="shared" si="37"/>
        <v>0</v>
      </c>
      <c r="GP19" s="647">
        <f t="shared" si="38"/>
        <v>0</v>
      </c>
    </row>
    <row r="20" spans="1:198" ht="16" customHeight="1">
      <c r="A20" s="239">
        <f t="shared" si="23"/>
        <v>7</v>
      </c>
      <c r="B20" s="125" t="str">
        <f t="shared" si="0"/>
        <v>ma</v>
      </c>
      <c r="C20" s="126" t="s">
        <v>135</v>
      </c>
      <c r="D20" s="127">
        <f t="shared" si="1"/>
        <v>36.571428571428569</v>
      </c>
      <c r="E20" s="1060" t="s">
        <v>781</v>
      </c>
      <c r="F20" s="1061"/>
      <c r="G20" s="1062"/>
      <c r="H20" s="292"/>
      <c r="I20" s="745"/>
      <c r="J20" s="746" t="str">
        <f t="shared" si="2"/>
        <v>X</v>
      </c>
      <c r="K20" s="368">
        <v>14.33</v>
      </c>
      <c r="L20" s="368">
        <v>6</v>
      </c>
      <c r="M20" s="368"/>
      <c r="N20" s="311">
        <f t="shared" si="24"/>
        <v>14.33</v>
      </c>
      <c r="O20" s="311">
        <f t="shared" si="25"/>
        <v>6</v>
      </c>
      <c r="P20" s="311">
        <f>IF(Stamoplysninger!$H$34="JA",September!DG20,CX20)</f>
        <v>0</v>
      </c>
      <c r="Q20" s="311">
        <f t="shared" si="26"/>
        <v>0</v>
      </c>
      <c r="R20" s="751"/>
      <c r="S20" s="315"/>
      <c r="T20" s="316"/>
      <c r="U20" s="316"/>
      <c r="V20" s="422"/>
      <c r="W20" s="422"/>
      <c r="X20" s="621"/>
      <c r="Y20">
        <f t="shared" si="27"/>
        <v>0</v>
      </c>
      <c r="Z20" s="424">
        <f t="shared" si="28"/>
        <v>0</v>
      </c>
      <c r="AA20" s="1">
        <f t="shared" si="3"/>
        <v>0</v>
      </c>
      <c r="AB20" s="1">
        <f t="shared" si="4"/>
        <v>0</v>
      </c>
      <c r="AC20" s="1">
        <f t="shared" si="5"/>
        <v>0</v>
      </c>
      <c r="AD20" s="1">
        <f t="shared" si="6"/>
        <v>0</v>
      </c>
      <c r="AE20" s="1">
        <f t="shared" si="7"/>
        <v>14.33</v>
      </c>
      <c r="AF20" s="1">
        <f>IF(C20="Orlov",7.4*Stamoplysninger!$E$20,0)</f>
        <v>0</v>
      </c>
      <c r="AG20" t="str">
        <f>IF(AND(C20="Skema 1",B20="ma"),Arbejdstidsoversigt!$E$77,"")</f>
        <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9"/>
        <v>14.33</v>
      </c>
      <c r="BB20" s="224">
        <f t="shared" si="8"/>
        <v>0</v>
      </c>
      <c r="BC20" s="1">
        <f t="shared" si="30"/>
        <v>6</v>
      </c>
      <c r="BD20" s="1">
        <f t="shared" si="9"/>
        <v>0</v>
      </c>
      <c r="BE20" s="1">
        <f t="shared" si="10"/>
        <v>0</v>
      </c>
      <c r="BF20" s="1">
        <f t="shared" si="11"/>
        <v>0</v>
      </c>
      <c r="BG20" s="207" t="str">
        <f>IF(AND(C20="Skema 1",B20="ma"),Skemaoplysninger!$E$46,"")</f>
        <v/>
      </c>
      <c r="BH20" s="207" t="str">
        <f>IF(AND(C20="Skema 1",B20="ti"),Skemaoplysninger!$G$46,"")</f>
        <v/>
      </c>
      <c r="BI20" s="207" t="str">
        <f>IF(AND(C20="Skema 1",B20="on"),Skemaoplysninger!$I$46,"")</f>
        <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1"/>
        <v>6</v>
      </c>
      <c r="CB20" s="1">
        <f t="shared" si="12"/>
        <v>0</v>
      </c>
      <c r="CC20" s="1">
        <f t="shared" si="13"/>
        <v>0</v>
      </c>
      <c r="CD20" s="207" t="str">
        <f>IF(AND(C20="Skema 1",B20="ma"),Skemaoplysninger!$E$47,"")</f>
        <v/>
      </c>
      <c r="CE20" s="207" t="str">
        <f>IF(AND(C20="Skema 1",B20="ti"),Skemaoplysninger!$G$47,"")</f>
        <v/>
      </c>
      <c r="CF20" s="207" t="str">
        <f>IF(AND(C20="Skema 1",B20="on"),Skemaoplysninger!$I$47,"")</f>
        <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2"/>
        <v>0</v>
      </c>
      <c r="DH20" t="str">
        <f t="shared" si="33"/>
        <v/>
      </c>
      <c r="DI20" t="str">
        <f t="shared" si="34"/>
        <v>Bornholm afsted kl 08:00</v>
      </c>
      <c r="DJ20" t="str">
        <f t="shared" si="35"/>
        <v/>
      </c>
      <c r="DK20" t="str">
        <f t="shared" si="14"/>
        <v/>
      </c>
      <c r="DL20" t="str">
        <f t="shared" si="14"/>
        <v>Bornholm afsted kl 08:00</v>
      </c>
      <c r="DM20" t="str">
        <f t="shared" si="14"/>
        <v/>
      </c>
      <c r="DN20" t="str">
        <f t="shared" ref="DN20:DN43" si="39">DK20&amp;""&amp;DL20&amp;""&amp;DM20</f>
        <v>Bornholm afsted kl 08:00</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6"/>
        <v>0</v>
      </c>
      <c r="FZ20" s="634">
        <f t="shared" si="17"/>
        <v>0</v>
      </c>
      <c r="GA20">
        <f t="shared" si="18"/>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9"/>
        <v>0</v>
      </c>
      <c r="GL20">
        <f t="shared" si="20"/>
        <v>0</v>
      </c>
      <c r="GM20">
        <f t="shared" si="21"/>
        <v>0</v>
      </c>
      <c r="GN20" s="713" t="str">
        <f t="shared" si="22"/>
        <v>X</v>
      </c>
      <c r="GO20">
        <f t="shared" si="37"/>
        <v>1</v>
      </c>
      <c r="GP20" s="647">
        <f t="shared" si="38"/>
        <v>0</v>
      </c>
    </row>
    <row r="21" spans="1:198">
      <c r="A21" s="239">
        <f t="shared" si="23"/>
        <v>8</v>
      </c>
      <c r="B21" s="125" t="str">
        <f t="shared" si="0"/>
        <v>ti</v>
      </c>
      <c r="C21" s="126" t="s">
        <v>135</v>
      </c>
      <c r="D21" s="127" t="str">
        <f t="shared" si="1"/>
        <v/>
      </c>
      <c r="E21" s="1060" t="s">
        <v>782</v>
      </c>
      <c r="F21" s="1061"/>
      <c r="G21" s="1062"/>
      <c r="H21" s="292"/>
      <c r="I21" s="745"/>
      <c r="J21" s="746" t="str">
        <f t="shared" si="2"/>
        <v>X</v>
      </c>
      <c r="K21" s="368">
        <v>17.329999999999998</v>
      </c>
      <c r="L21" s="368">
        <v>6</v>
      </c>
      <c r="M21" s="368"/>
      <c r="N21" s="311">
        <f t="shared" si="24"/>
        <v>17.329999999999998</v>
      </c>
      <c r="O21" s="311">
        <f t="shared" si="25"/>
        <v>6</v>
      </c>
      <c r="P21" s="311">
        <f>IF(Stamoplysninger!$H$34="JA",September!DG21,CX21)</f>
        <v>0</v>
      </c>
      <c r="Q21" s="311">
        <f t="shared" si="26"/>
        <v>0</v>
      </c>
      <c r="R21" s="751"/>
      <c r="S21" s="315"/>
      <c r="T21" s="316"/>
      <c r="U21" s="316"/>
      <c r="V21" s="422"/>
      <c r="W21" s="422"/>
      <c r="X21" s="621"/>
      <c r="Y21">
        <f t="shared" si="27"/>
        <v>0</v>
      </c>
      <c r="Z21" s="424">
        <f t="shared" si="28"/>
        <v>0</v>
      </c>
      <c r="AA21" s="1">
        <f t="shared" si="3"/>
        <v>0</v>
      </c>
      <c r="AB21" s="1">
        <f t="shared" si="4"/>
        <v>0</v>
      </c>
      <c r="AC21" s="1">
        <f t="shared" si="5"/>
        <v>0</v>
      </c>
      <c r="AD21" s="1">
        <f t="shared" si="6"/>
        <v>0</v>
      </c>
      <c r="AE21" s="1">
        <f t="shared" si="7"/>
        <v>17.329999999999998</v>
      </c>
      <c r="AF21" s="1">
        <f>IF(C21="Orlov",7.4*Stamoplysninger!$E$20,0)</f>
        <v>0</v>
      </c>
      <c r="AG21" t="str">
        <f>IF(AND(C21="Skema 1",B21="ma"),Arbejdstidsoversigt!$E$77,"")</f>
        <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9"/>
        <v>17.329999999999998</v>
      </c>
      <c r="BB21" s="224">
        <f t="shared" si="8"/>
        <v>0</v>
      </c>
      <c r="BC21" s="1">
        <f t="shared" si="30"/>
        <v>6</v>
      </c>
      <c r="BD21" s="1">
        <f t="shared" si="9"/>
        <v>0</v>
      </c>
      <c r="BE21" s="1">
        <f t="shared" si="10"/>
        <v>0</v>
      </c>
      <c r="BF21" s="1">
        <f t="shared" si="11"/>
        <v>0</v>
      </c>
      <c r="BG21" s="207" t="str">
        <f>IF(AND(C21="Skema 1",B21="ma"),Skemaoplysninger!$E$46,"")</f>
        <v/>
      </c>
      <c r="BH21" s="207" t="str">
        <f>IF(AND(C21="Skema 1",B21="ti"),Skemaoplysninger!$G$46,"")</f>
        <v/>
      </c>
      <c r="BI21" s="207" t="str">
        <f>IF(AND(C21="Skema 1",B21="on"),Skemaoplysninger!$I$46,"")</f>
        <v/>
      </c>
      <c r="BJ21" s="207" t="str">
        <f>IF(AND(C21="Skema 1",B21="to"),Skemaoplysninger!$K$46,"")</f>
        <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1"/>
        <v>6</v>
      </c>
      <c r="CB21" s="1">
        <f t="shared" si="12"/>
        <v>0</v>
      </c>
      <c r="CC21" s="1">
        <f t="shared" si="13"/>
        <v>0</v>
      </c>
      <c r="CD21" s="207" t="str">
        <f>IF(AND(C21="Skema 1",B21="ma"),Skemaoplysninger!$E$47,"")</f>
        <v/>
      </c>
      <c r="CE21" s="207" t="str">
        <f>IF(AND(C21="Skema 1",B21="ti"),Skemaoplysninger!$G$47,"")</f>
        <v/>
      </c>
      <c r="CF21" s="207" t="str">
        <f>IF(AND(C21="Skema 1",B21="on"),Skemaoplysninger!$I$47,"")</f>
        <v/>
      </c>
      <c r="CG21" s="207" t="str">
        <f>IF(AND(C21="Skema 1",B21="to"),Skemaoplysninger!$K$47,"")</f>
        <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2"/>
        <v>0</v>
      </c>
      <c r="DH21" t="str">
        <f t="shared" si="33"/>
        <v/>
      </c>
      <c r="DI21" t="str">
        <f t="shared" si="34"/>
        <v xml:space="preserve">Bornholm  </v>
      </c>
      <c r="DJ21" t="str">
        <f t="shared" si="35"/>
        <v/>
      </c>
      <c r="DK21" t="str">
        <f t="shared" si="14"/>
        <v/>
      </c>
      <c r="DL21" t="str">
        <f t="shared" si="14"/>
        <v xml:space="preserve">Bornholm  </v>
      </c>
      <c r="DM21" t="str">
        <f t="shared" si="14"/>
        <v/>
      </c>
      <c r="DN21" t="str">
        <f t="shared" si="39"/>
        <v xml:space="preserve">Bornholm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6"/>
        <v>0</v>
      </c>
      <c r="FZ21" s="634">
        <f t="shared" si="17"/>
        <v>0</v>
      </c>
      <c r="GA21">
        <f t="shared" si="18"/>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9"/>
        <v>0</v>
      </c>
      <c r="GL21">
        <f t="shared" si="20"/>
        <v>0</v>
      </c>
      <c r="GM21">
        <f t="shared" si="21"/>
        <v>0</v>
      </c>
      <c r="GN21" s="713" t="str">
        <f t="shared" si="22"/>
        <v>X</v>
      </c>
      <c r="GO21">
        <f t="shared" si="37"/>
        <v>1</v>
      </c>
      <c r="GP21" s="647">
        <f t="shared" si="38"/>
        <v>0</v>
      </c>
    </row>
    <row r="22" spans="1:198">
      <c r="A22" s="239">
        <f t="shared" si="23"/>
        <v>9</v>
      </c>
      <c r="B22" s="125" t="str">
        <f t="shared" si="0"/>
        <v>on</v>
      </c>
      <c r="C22" s="126" t="s">
        <v>135</v>
      </c>
      <c r="D22" s="127" t="str">
        <f t="shared" si="1"/>
        <v/>
      </c>
      <c r="E22" s="1060" t="s">
        <v>782</v>
      </c>
      <c r="F22" s="1061"/>
      <c r="G22" s="1062"/>
      <c r="H22" s="292"/>
      <c r="I22" s="745"/>
      <c r="J22" s="746" t="str">
        <f t="shared" si="2"/>
        <v>X</v>
      </c>
      <c r="K22" s="368">
        <v>17.329999999999998</v>
      </c>
      <c r="L22" s="368">
        <v>6</v>
      </c>
      <c r="M22" s="368"/>
      <c r="N22" s="311">
        <f t="shared" si="24"/>
        <v>17.329999999999998</v>
      </c>
      <c r="O22" s="311">
        <f t="shared" si="25"/>
        <v>6</v>
      </c>
      <c r="P22" s="311">
        <f>IF(Stamoplysninger!$H$34="JA",September!DG22,CX22)</f>
        <v>0</v>
      </c>
      <c r="Q22" s="311">
        <f t="shared" si="26"/>
        <v>0</v>
      </c>
      <c r="R22" s="751"/>
      <c r="S22" s="315"/>
      <c r="T22" s="316"/>
      <c r="U22" s="316"/>
      <c r="V22" s="422"/>
      <c r="W22" s="422"/>
      <c r="X22" s="621"/>
      <c r="Y22">
        <f t="shared" si="27"/>
        <v>0</v>
      </c>
      <c r="Z22" s="424">
        <f t="shared" si="28"/>
        <v>0</v>
      </c>
      <c r="AA22" s="1">
        <f t="shared" si="3"/>
        <v>0</v>
      </c>
      <c r="AB22" s="1">
        <f t="shared" si="4"/>
        <v>0</v>
      </c>
      <c r="AC22" s="1">
        <f t="shared" si="5"/>
        <v>0</v>
      </c>
      <c r="AD22" s="1">
        <f t="shared" si="6"/>
        <v>0</v>
      </c>
      <c r="AE22" s="1">
        <f t="shared" si="7"/>
        <v>17.329999999999998</v>
      </c>
      <c r="AF22" s="1">
        <f>IF(C22="Orlov",7.4*Stamoplysninger!$E$20,0)</f>
        <v>0</v>
      </c>
      <c r="AG22" t="str">
        <f>IF(AND(C22="Skema 1",B22="ma"),Arbejdstidsoversigt!$E$77,"")</f>
        <v/>
      </c>
      <c r="AH22" t="str">
        <f>IF(AND(C22="Skema 1",B22="ti"),Arbejdstidsoversigt!$E$78,"")</f>
        <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9"/>
        <v>17.329999999999998</v>
      </c>
      <c r="BB22" s="224">
        <f t="shared" si="8"/>
        <v>0</v>
      </c>
      <c r="BC22" s="1">
        <f t="shared" si="30"/>
        <v>6</v>
      </c>
      <c r="BD22" s="1">
        <f t="shared" si="9"/>
        <v>0</v>
      </c>
      <c r="BE22" s="1">
        <f t="shared" si="10"/>
        <v>0</v>
      </c>
      <c r="BF22" s="1">
        <f t="shared" si="11"/>
        <v>0</v>
      </c>
      <c r="BG22" s="207" t="str">
        <f>IF(AND(C22="Skema 1",B22="ma"),Skemaoplysninger!$E$46,"")</f>
        <v/>
      </c>
      <c r="BH22" s="207" t="str">
        <f>IF(AND(C22="Skema 1",B22="ti"),Skemaoplysninger!$G$46,"")</f>
        <v/>
      </c>
      <c r="BI22" s="207" t="str">
        <f>IF(AND(C22="Skema 1",B22="on"),Skemaoplysninger!$I$46,"")</f>
        <v/>
      </c>
      <c r="BJ22" s="207" t="str">
        <f>IF(AND(C22="Skema 1",B22="to"),Skemaoplysninger!$K$46,"")</f>
        <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1"/>
        <v>6</v>
      </c>
      <c r="CB22" s="1">
        <f t="shared" si="12"/>
        <v>0</v>
      </c>
      <c r="CC22" s="1">
        <f t="shared" si="13"/>
        <v>0</v>
      </c>
      <c r="CD22" s="207" t="str">
        <f>IF(AND(C22="Skema 1",B22="ma"),Skemaoplysninger!$E$47,"")</f>
        <v/>
      </c>
      <c r="CE22" s="207" t="str">
        <f>IF(AND(C22="Skema 1",B22="ti"),Skemaoplysninger!$G$47,"")</f>
        <v/>
      </c>
      <c r="CF22" s="207" t="str">
        <f>IF(AND(C22="Skema 1",B22="on"),Skemaoplysninger!$I$47,"")</f>
        <v/>
      </c>
      <c r="CG22" s="207" t="str">
        <f>IF(AND(C22="Skema 1",B22="to"),Skemaoplysninger!$K$47,"")</f>
        <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2"/>
        <v>0</v>
      </c>
      <c r="DH22" t="str">
        <f t="shared" si="33"/>
        <v/>
      </c>
      <c r="DI22" t="str">
        <f t="shared" si="34"/>
        <v xml:space="preserve">Bornholm  </v>
      </c>
      <c r="DJ22" t="str">
        <f t="shared" si="35"/>
        <v/>
      </c>
      <c r="DK22" t="str">
        <f t="shared" si="14"/>
        <v/>
      </c>
      <c r="DL22" t="str">
        <f t="shared" si="14"/>
        <v xml:space="preserve">Bornholm  </v>
      </c>
      <c r="DM22" t="str">
        <f t="shared" si="14"/>
        <v/>
      </c>
      <c r="DN22" t="str">
        <f t="shared" si="39"/>
        <v xml:space="preserve">Bornholm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6"/>
        <v>0</v>
      </c>
      <c r="FZ22" s="634">
        <f t="shared" si="17"/>
        <v>0</v>
      </c>
      <c r="GA22">
        <f t="shared" si="18"/>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9"/>
        <v>0</v>
      </c>
      <c r="GL22">
        <f t="shared" si="20"/>
        <v>0</v>
      </c>
      <c r="GM22">
        <f t="shared" si="21"/>
        <v>0</v>
      </c>
      <c r="GN22" s="713" t="str">
        <f t="shared" si="22"/>
        <v>X</v>
      </c>
      <c r="GO22">
        <f t="shared" si="37"/>
        <v>1</v>
      </c>
      <c r="GP22" s="647">
        <f t="shared" si="38"/>
        <v>0</v>
      </c>
    </row>
    <row r="23" spans="1:198">
      <c r="A23" s="239">
        <f t="shared" si="23"/>
        <v>10</v>
      </c>
      <c r="B23" s="125" t="str">
        <f t="shared" si="0"/>
        <v>to</v>
      </c>
      <c r="C23" s="126" t="s">
        <v>135</v>
      </c>
      <c r="D23" s="127" t="str">
        <f t="shared" si="1"/>
        <v/>
      </c>
      <c r="E23" s="1060" t="s">
        <v>782</v>
      </c>
      <c r="F23" s="1061"/>
      <c r="G23" s="1062"/>
      <c r="H23" s="292"/>
      <c r="I23" s="745"/>
      <c r="J23" s="746" t="str">
        <f t="shared" si="2"/>
        <v>X</v>
      </c>
      <c r="K23" s="368">
        <v>17.329999999999998</v>
      </c>
      <c r="L23" s="368">
        <v>6</v>
      </c>
      <c r="M23" s="368"/>
      <c r="N23" s="311">
        <f t="shared" si="24"/>
        <v>17.329999999999998</v>
      </c>
      <c r="O23" s="311">
        <f t="shared" si="25"/>
        <v>6</v>
      </c>
      <c r="P23" s="311">
        <f>IF(Stamoplysninger!$H$34="JA",September!DG23,CX23)</f>
        <v>0</v>
      </c>
      <c r="Q23" s="311">
        <f t="shared" si="26"/>
        <v>0</v>
      </c>
      <c r="R23" s="751"/>
      <c r="S23" s="315"/>
      <c r="T23" s="316"/>
      <c r="U23" s="316"/>
      <c r="V23" s="422"/>
      <c r="W23" s="422"/>
      <c r="X23" s="621"/>
      <c r="Y23">
        <f t="shared" si="27"/>
        <v>0</v>
      </c>
      <c r="Z23" s="424">
        <f t="shared" si="28"/>
        <v>0</v>
      </c>
      <c r="AA23" s="1">
        <f t="shared" si="3"/>
        <v>0</v>
      </c>
      <c r="AB23" s="1">
        <f t="shared" si="4"/>
        <v>0</v>
      </c>
      <c r="AC23" s="1">
        <f t="shared" si="5"/>
        <v>0</v>
      </c>
      <c r="AD23" s="1">
        <f t="shared" si="6"/>
        <v>0</v>
      </c>
      <c r="AE23" s="1">
        <f t="shared" si="7"/>
        <v>17.329999999999998</v>
      </c>
      <c r="AF23" s="1">
        <f>IF(C23="Orlov",7.4*Stamoplysninger!$E$20,0)</f>
        <v>0</v>
      </c>
      <c r="AG23" t="str">
        <f>IF(AND(C23="Skema 1",B23="ma"),Arbejdstidsoversigt!$E$77,"")</f>
        <v/>
      </c>
      <c r="AH23" t="str">
        <f>IF(AND(C23="Skema 1",B23="ti"),Arbejdstidsoversigt!$E$78,"")</f>
        <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9"/>
        <v>17.329999999999998</v>
      </c>
      <c r="BB23" s="224">
        <f t="shared" si="8"/>
        <v>0</v>
      </c>
      <c r="BC23" s="1">
        <f t="shared" si="30"/>
        <v>6</v>
      </c>
      <c r="BD23" s="1">
        <f t="shared" si="9"/>
        <v>0</v>
      </c>
      <c r="BE23" s="1">
        <f t="shared" si="10"/>
        <v>0</v>
      </c>
      <c r="BF23" s="1">
        <f t="shared" si="11"/>
        <v>0</v>
      </c>
      <c r="BG23" s="207" t="str">
        <f>IF(AND(C23="Skema 1",B23="ma"),Skemaoplysninger!$E$46,"")</f>
        <v/>
      </c>
      <c r="BH23" s="207" t="str">
        <f>IF(AND(C23="Skema 1",B23="ti"),Skemaoplysninger!$G$46,"")</f>
        <v/>
      </c>
      <c r="BI23" s="207" t="str">
        <f>IF(AND(C23="Skema 1",B23="on"),Skemaoplysninger!$I$46,"")</f>
        <v/>
      </c>
      <c r="BJ23" s="207" t="str">
        <f>IF(AND(C23="Skema 1",B23="to"),Skemaoplysninger!$K$46,"")</f>
        <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1"/>
        <v>6</v>
      </c>
      <c r="CB23" s="1">
        <f t="shared" si="12"/>
        <v>0</v>
      </c>
      <c r="CC23" s="1">
        <f t="shared" si="13"/>
        <v>0</v>
      </c>
      <c r="CD23" s="207" t="str">
        <f>IF(AND(C23="Skema 1",B23="ma"),Skemaoplysninger!$E$47,"")</f>
        <v/>
      </c>
      <c r="CE23" s="207" t="str">
        <f>IF(AND(C23="Skema 1",B23="ti"),Skemaoplysninger!$G$47,"")</f>
        <v/>
      </c>
      <c r="CF23" s="207" t="str">
        <f>IF(AND(C23="Skema 1",B23="on"),Skemaoplysninger!$I$47,"")</f>
        <v/>
      </c>
      <c r="CG23" s="207" t="str">
        <f>IF(AND(C23="Skema 1",B23="to"),Skemaoplysninger!$K$47,"")</f>
        <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2"/>
        <v>0</v>
      </c>
      <c r="DH23" t="str">
        <f t="shared" si="33"/>
        <v/>
      </c>
      <c r="DI23" t="str">
        <f t="shared" si="34"/>
        <v xml:space="preserve">Bornholm  </v>
      </c>
      <c r="DJ23" t="str">
        <f t="shared" si="35"/>
        <v/>
      </c>
      <c r="DK23" t="str">
        <f t="shared" si="14"/>
        <v/>
      </c>
      <c r="DL23" t="str">
        <f t="shared" si="14"/>
        <v xml:space="preserve">Bornholm  </v>
      </c>
      <c r="DM23" t="str">
        <f t="shared" si="14"/>
        <v/>
      </c>
      <c r="DN23" t="str">
        <f t="shared" si="39"/>
        <v xml:space="preserve">Bornholm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6"/>
        <v>0</v>
      </c>
      <c r="FZ23" s="634">
        <f t="shared" si="17"/>
        <v>0</v>
      </c>
      <c r="GA23">
        <f t="shared" si="18"/>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9"/>
        <v>0</v>
      </c>
      <c r="GL23">
        <f t="shared" si="20"/>
        <v>0</v>
      </c>
      <c r="GM23">
        <f t="shared" si="21"/>
        <v>0</v>
      </c>
      <c r="GN23" s="713" t="str">
        <f t="shared" si="22"/>
        <v>X</v>
      </c>
      <c r="GO23">
        <f t="shared" si="37"/>
        <v>1</v>
      </c>
      <c r="GP23" s="647">
        <f t="shared" si="38"/>
        <v>0</v>
      </c>
    </row>
    <row r="24" spans="1:198">
      <c r="A24" s="239">
        <f t="shared" si="23"/>
        <v>11</v>
      </c>
      <c r="B24" s="125" t="str">
        <f t="shared" si="0"/>
        <v>fr</v>
      </c>
      <c r="C24" s="126" t="s">
        <v>135</v>
      </c>
      <c r="D24" s="127" t="str">
        <f t="shared" si="1"/>
        <v/>
      </c>
      <c r="E24" s="1060" t="s">
        <v>783</v>
      </c>
      <c r="F24" s="1061"/>
      <c r="G24" s="1062"/>
      <c r="H24" s="292"/>
      <c r="I24" s="745"/>
      <c r="J24" s="746" t="str">
        <f t="shared" si="2"/>
        <v>X</v>
      </c>
      <c r="K24" s="368">
        <v>17.329999999999998</v>
      </c>
      <c r="L24" s="368">
        <v>6</v>
      </c>
      <c r="M24" s="368"/>
      <c r="N24" s="311">
        <f t="shared" si="24"/>
        <v>17.329999999999998</v>
      </c>
      <c r="O24" s="311">
        <f t="shared" si="25"/>
        <v>6</v>
      </c>
      <c r="P24" s="311">
        <f>IF(Stamoplysninger!$H$34="JA",September!DG24,CX24)</f>
        <v>0</v>
      </c>
      <c r="Q24" s="311">
        <f t="shared" si="26"/>
        <v>0</v>
      </c>
      <c r="R24" s="751"/>
      <c r="S24" s="315"/>
      <c r="T24" s="316"/>
      <c r="U24" s="316"/>
      <c r="V24" s="422"/>
      <c r="W24" s="422"/>
      <c r="X24" s="621"/>
      <c r="Y24">
        <f t="shared" si="27"/>
        <v>0</v>
      </c>
      <c r="Z24" s="424">
        <f t="shared" si="28"/>
        <v>0</v>
      </c>
      <c r="AA24" s="1">
        <f t="shared" si="3"/>
        <v>0</v>
      </c>
      <c r="AB24" s="1">
        <f t="shared" si="4"/>
        <v>0</v>
      </c>
      <c r="AC24" s="1">
        <f t="shared" si="5"/>
        <v>0</v>
      </c>
      <c r="AD24" s="1">
        <f t="shared" si="6"/>
        <v>0</v>
      </c>
      <c r="AE24" s="1">
        <f t="shared" si="7"/>
        <v>17.329999999999998</v>
      </c>
      <c r="AF24" s="1">
        <f>IF(C24="Orlov",7.4*Stamoplysninger!$E$20,0)</f>
        <v>0</v>
      </c>
      <c r="AG24" t="str">
        <f>IF(AND(C24="Skema 1",B24="ma"),Arbejdstidsoversigt!$E$77,"")</f>
        <v/>
      </c>
      <c r="AH24" t="str">
        <f>IF(AND(C24="Skema 1",B24="ti"),Arbejdstidsoversigt!$E$78,"")</f>
        <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9"/>
        <v>17.329999999999998</v>
      </c>
      <c r="BB24" s="224">
        <f t="shared" si="8"/>
        <v>0</v>
      </c>
      <c r="BC24" s="1">
        <f t="shared" si="30"/>
        <v>6</v>
      </c>
      <c r="BD24" s="1">
        <f t="shared" si="9"/>
        <v>0</v>
      </c>
      <c r="BE24" s="1">
        <f t="shared" si="10"/>
        <v>0</v>
      </c>
      <c r="BF24" s="1">
        <f t="shared" si="11"/>
        <v>0</v>
      </c>
      <c r="BG24" s="207" t="str">
        <f>IF(AND(C24="Skema 1",B24="ma"),Skemaoplysninger!$E$46,"")</f>
        <v/>
      </c>
      <c r="BH24" s="207" t="str">
        <f>IF(AND(C24="Skema 1",B24="ti"),Skemaoplysninger!$G$46,"")</f>
        <v/>
      </c>
      <c r="BI24" s="207" t="str">
        <f>IF(AND(C24="Skema 1",B24="on"),Skemaoplysninger!$I$46,"")</f>
        <v/>
      </c>
      <c r="BJ24" s="207" t="str">
        <f>IF(AND(C24="Skema 1",B24="to"),Skemaoplysninger!$K$46,"")</f>
        <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1"/>
        <v>6</v>
      </c>
      <c r="CB24" s="1">
        <f t="shared" si="12"/>
        <v>0</v>
      </c>
      <c r="CC24" s="1">
        <f t="shared" si="13"/>
        <v>0</v>
      </c>
      <c r="CD24" s="207" t="str">
        <f>IF(AND(C24="Skema 1",B24="ma"),Skemaoplysninger!$E$47,"")</f>
        <v/>
      </c>
      <c r="CE24" s="207" t="str">
        <f>IF(AND(C24="Skema 1",B24="ti"),Skemaoplysninger!$G$47,"")</f>
        <v/>
      </c>
      <c r="CF24" s="207" t="str">
        <f>IF(AND(C24="Skema 1",B24="on"),Skemaoplysninger!$I$47,"")</f>
        <v/>
      </c>
      <c r="CG24" s="207" t="str">
        <f>IF(AND(C24="Skema 1",B24="to"),Skemaoplysninger!$K$47,"")</f>
        <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2"/>
        <v>0</v>
      </c>
      <c r="DH24" t="str">
        <f t="shared" si="33"/>
        <v/>
      </c>
      <c r="DI24" t="str">
        <f t="shared" si="34"/>
        <v>Bornholm - Forventet hjemkomst kl. 19:00</v>
      </c>
      <c r="DJ24" t="str">
        <f t="shared" si="35"/>
        <v/>
      </c>
      <c r="DK24" t="str">
        <f t="shared" si="14"/>
        <v/>
      </c>
      <c r="DL24" t="str">
        <f t="shared" si="14"/>
        <v>Bornholm - Forventet hjemkomst kl. 19:00</v>
      </c>
      <c r="DM24" t="str">
        <f t="shared" si="14"/>
        <v/>
      </c>
      <c r="DN24" t="str">
        <f t="shared" si="39"/>
        <v>Bornholm - Forventet hjemkomst kl. 19:00</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6"/>
        <v>0</v>
      </c>
      <c r="FZ24" s="634">
        <f t="shared" si="17"/>
        <v>0</v>
      </c>
      <c r="GA24">
        <f t="shared" si="18"/>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9"/>
        <v>0</v>
      </c>
      <c r="GL24">
        <f t="shared" si="20"/>
        <v>0</v>
      </c>
      <c r="GM24">
        <f t="shared" si="21"/>
        <v>0</v>
      </c>
      <c r="GN24" s="713" t="str">
        <f t="shared" si="22"/>
        <v>X</v>
      </c>
      <c r="GO24">
        <f t="shared" si="37"/>
        <v>1</v>
      </c>
      <c r="GP24" s="647">
        <f t="shared" si="38"/>
        <v>0</v>
      </c>
    </row>
    <row r="25" spans="1:198">
      <c r="A25" s="239">
        <f>IF(ISNUMBER(A24),A24+1,1)</f>
        <v>12</v>
      </c>
      <c r="B25" s="125" t="str">
        <f t="shared" si="0"/>
        <v>lø</v>
      </c>
      <c r="C25" s="126" t="s">
        <v>118</v>
      </c>
      <c r="D25" s="127" t="str">
        <f t="shared" si="1"/>
        <v/>
      </c>
      <c r="E25" s="1060"/>
      <c r="F25" s="1061"/>
      <c r="G25" s="1062"/>
      <c r="H25" s="292"/>
      <c r="I25" s="746" t="str">
        <f>IF(GO25=1,"X","")</f>
        <v/>
      </c>
      <c r="J25" s="746" t="str">
        <f t="shared" si="2"/>
        <v/>
      </c>
      <c r="K25" s="368"/>
      <c r="L25" s="368"/>
      <c r="M25" s="368"/>
      <c r="N25" s="311">
        <f t="shared" si="24"/>
        <v>0</v>
      </c>
      <c r="O25" s="311">
        <f t="shared" si="25"/>
        <v>0</v>
      </c>
      <c r="P25" s="311">
        <f>IF(Stamoplysninger!$H$34="JA",September!DG25,CX25)</f>
        <v>0</v>
      </c>
      <c r="Q25" s="311">
        <f t="shared" si="26"/>
        <v>0</v>
      </c>
      <c r="R25" s="751"/>
      <c r="S25" s="315"/>
      <c r="T25" s="316"/>
      <c r="U25" s="316"/>
      <c r="V25" s="422"/>
      <c r="W25" s="422"/>
      <c r="X25" s="621"/>
      <c r="Y25">
        <f t="shared" si="27"/>
        <v>0</v>
      </c>
      <c r="Z25" s="424">
        <f t="shared" si="28"/>
        <v>0</v>
      </c>
      <c r="AA25" s="1">
        <f t="shared" si="3"/>
        <v>0</v>
      </c>
      <c r="AB25" s="1">
        <f t="shared" si="4"/>
        <v>0</v>
      </c>
      <c r="AC25" s="1">
        <f t="shared" si="5"/>
        <v>0</v>
      </c>
      <c r="AD25" s="1">
        <f t="shared" si="6"/>
        <v>0</v>
      </c>
      <c r="AE25" s="1">
        <f t="shared" si="7"/>
        <v>0</v>
      </c>
      <c r="AF25" s="1">
        <f>IF(C25="Orlov",7.4*Stamoplysninger!$E$20,0)</f>
        <v>0</v>
      </c>
      <c r="AG25" t="str">
        <f>IF(AND(C25="Skema 1",B25="ma"),Arbejdstidsoversigt!$E$77,"")</f>
        <v/>
      </c>
      <c r="AH25" t="str">
        <f>IF(AND(C25="Skema 1",B25="ti"),Arbejdstidsoversigt!$E$78,"")</f>
        <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9"/>
        <v>0</v>
      </c>
      <c r="BB25" s="224">
        <f t="shared" si="8"/>
        <v>0</v>
      </c>
      <c r="BC25" s="1">
        <f t="shared" si="30"/>
        <v>0</v>
      </c>
      <c r="BD25" s="1">
        <f t="shared" si="9"/>
        <v>0</v>
      </c>
      <c r="BE25" s="1">
        <f t="shared" si="10"/>
        <v>0</v>
      </c>
      <c r="BF25" s="1">
        <f t="shared" si="11"/>
        <v>0</v>
      </c>
      <c r="BG25" s="207" t="str">
        <f>IF(AND(C25="Skema 1",B25="ma"),Skemaoplysninger!$E$46,"")</f>
        <v/>
      </c>
      <c r="BH25" s="207" t="str">
        <f>IF(AND(C25="Skema 1",B25="ti"),Skemaoplysninger!$G$46,"")</f>
        <v/>
      </c>
      <c r="BI25" s="207" t="str">
        <f>IF(AND(C25="Skema 1",B25="on"),Skemaoplysninger!$I$46,"")</f>
        <v/>
      </c>
      <c r="BJ25" s="207" t="str">
        <f>IF(AND(C25="Skema 1",B25="to"),Skemaoplysninger!$K$46,"")</f>
        <v/>
      </c>
      <c r="BK25" s="207" t="str">
        <f>IF(AND(C25="Skema 1",B25="fr"),Skemaoplysninger!$M$46,"")</f>
        <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1"/>
        <v>0</v>
      </c>
      <c r="CB25" s="1">
        <f t="shared" si="12"/>
        <v>0</v>
      </c>
      <c r="CC25" s="1">
        <f t="shared" si="13"/>
        <v>0</v>
      </c>
      <c r="CD25" s="207" t="str">
        <f>IF(AND(C25="Skema 1",B25="ma"),Skemaoplysninger!$E$47,"")</f>
        <v/>
      </c>
      <c r="CE25" s="207" t="str">
        <f>IF(AND(C25="Skema 1",B25="ti"),Skemaoplysninger!$G$47,"")</f>
        <v/>
      </c>
      <c r="CF25" s="207" t="str">
        <f>IF(AND(C25="Skema 1",B25="on"),Skemaoplysninger!$I$47,"")</f>
        <v/>
      </c>
      <c r="CG25" s="207" t="str">
        <f>IF(AND(C25="Skema 1",B25="to"),Skemaoplysninger!$K$47,"")</f>
        <v/>
      </c>
      <c r="CH25" s="207" t="str">
        <f>IF(AND(C25="Skema 1",B25="fr"),Skemaoplysninger!$M$47,"")</f>
        <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2"/>
        <v>0</v>
      </c>
      <c r="DH25" t="str">
        <f t="shared" si="33"/>
        <v/>
      </c>
      <c r="DI25">
        <f t="shared" si="34"/>
        <v>0</v>
      </c>
      <c r="DJ25">
        <f t="shared" si="35"/>
        <v>0</v>
      </c>
      <c r="DK25" t="str">
        <f t="shared" si="14"/>
        <v/>
      </c>
      <c r="DL25" t="str">
        <f t="shared" si="14"/>
        <v/>
      </c>
      <c r="DM25" t="str">
        <f t="shared" si="14"/>
        <v/>
      </c>
      <c r="DN25" t="str">
        <f t="shared" si="39"/>
        <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6"/>
        <v>0</v>
      </c>
      <c r="FZ25" s="634">
        <f t="shared" si="17"/>
        <v>0</v>
      </c>
      <c r="GA25">
        <f t="shared" si="18"/>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9"/>
        <v>0</v>
      </c>
      <c r="GL25">
        <f t="shared" si="20"/>
        <v>0</v>
      </c>
      <c r="GM25">
        <f t="shared" si="21"/>
        <v>0</v>
      </c>
      <c r="GN25" s="713">
        <f t="shared" si="22"/>
        <v>0</v>
      </c>
      <c r="GO25">
        <f t="shared" si="37"/>
        <v>0</v>
      </c>
      <c r="GP25" s="647">
        <f t="shared" si="38"/>
        <v>0</v>
      </c>
    </row>
    <row r="26" spans="1:198">
      <c r="A26" s="239">
        <f>IF(ISNUMBER(A25),A25+1,1)</f>
        <v>13</v>
      </c>
      <c r="B26" s="125" t="str">
        <f t="shared" si="0"/>
        <v>sø</v>
      </c>
      <c r="C26" s="126" t="s">
        <v>118</v>
      </c>
      <c r="D26" s="127" t="str">
        <f t="shared" si="1"/>
        <v/>
      </c>
      <c r="E26" s="1123"/>
      <c r="F26" s="1124"/>
      <c r="G26" s="1125"/>
      <c r="H26" s="291"/>
      <c r="I26" s="746" t="str">
        <f>IF(GO26=1,"X","")</f>
        <v/>
      </c>
      <c r="J26" s="746" t="str">
        <f t="shared" si="2"/>
        <v/>
      </c>
      <c r="K26" s="368"/>
      <c r="L26" s="368"/>
      <c r="M26" s="368"/>
      <c r="N26" s="311">
        <f t="shared" si="24"/>
        <v>0</v>
      </c>
      <c r="O26" s="311">
        <f t="shared" si="25"/>
        <v>0</v>
      </c>
      <c r="P26" s="311">
        <f>IF(Stamoplysninger!$H$34="JA",September!DG26,CX26)</f>
        <v>0</v>
      </c>
      <c r="Q26" s="311">
        <f t="shared" si="26"/>
        <v>0</v>
      </c>
      <c r="R26" s="751"/>
      <c r="S26" s="315"/>
      <c r="T26" s="316"/>
      <c r="U26" s="316"/>
      <c r="V26" s="422"/>
      <c r="W26" s="422"/>
      <c r="X26" s="621"/>
      <c r="Y26">
        <f t="shared" si="27"/>
        <v>0</v>
      </c>
      <c r="Z26" s="424">
        <f t="shared" si="28"/>
        <v>0</v>
      </c>
      <c r="AA26" s="1">
        <f t="shared" si="3"/>
        <v>0</v>
      </c>
      <c r="AB26" s="1">
        <f t="shared" si="4"/>
        <v>0</v>
      </c>
      <c r="AC26" s="1">
        <f t="shared" si="5"/>
        <v>0</v>
      </c>
      <c r="AD26" s="1">
        <f t="shared" si="6"/>
        <v>0</v>
      </c>
      <c r="AE26" s="1">
        <f t="shared" si="7"/>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9"/>
        <v>0</v>
      </c>
      <c r="BB26" s="224">
        <f t="shared" si="8"/>
        <v>0</v>
      </c>
      <c r="BC26" s="1">
        <f t="shared" si="30"/>
        <v>0</v>
      </c>
      <c r="BD26" s="1">
        <f t="shared" si="9"/>
        <v>0</v>
      </c>
      <c r="BE26" s="1">
        <f t="shared" si="10"/>
        <v>0</v>
      </c>
      <c r="BF26" s="1">
        <f t="shared" si="11"/>
        <v>0</v>
      </c>
      <c r="BG26" s="207" t="str">
        <f>IF(AND(C26="Skema 1",B26="ma"),Skemaoplysninger!$E$46,"")</f>
        <v/>
      </c>
      <c r="BH26" s="207" t="str">
        <f>IF(AND(C26="Skema 1",B26="ti"),Skemaoplysninger!$G$46,"")</f>
        <v/>
      </c>
      <c r="BI26" s="207" t="str">
        <f>IF(AND(C26="Skema 1",B26="on"),Skemaoplysninger!$I$46,"")</f>
        <v/>
      </c>
      <c r="BJ26" s="207" t="str">
        <f>IF(AND(C26="Skema 1",B26="to"),Skemaoplysninger!$K$46,"")</f>
        <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1"/>
        <v>0</v>
      </c>
      <c r="CB26" s="1">
        <f t="shared" si="12"/>
        <v>0</v>
      </c>
      <c r="CC26" s="1">
        <f t="shared" si="13"/>
        <v>0</v>
      </c>
      <c r="CD26" s="207" t="str">
        <f>IF(AND(C26="Skema 1",B26="ma"),Skemaoplysninger!$E$47,"")</f>
        <v/>
      </c>
      <c r="CE26" s="207" t="str">
        <f>IF(AND(C26="Skema 1",B26="ti"),Skemaoplysninger!$G$47,"")</f>
        <v/>
      </c>
      <c r="CF26" s="207" t="str">
        <f>IF(AND(C26="Skema 1",B26="on"),Skemaoplysninger!$I$47,"")</f>
        <v/>
      </c>
      <c r="CG26" s="207" t="str">
        <f>IF(AND(C26="Skema 1",B26="to"),Skemaoplysninger!$K$47,"")</f>
        <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2"/>
        <v>0</v>
      </c>
      <c r="DH26" t="str">
        <f t="shared" si="33"/>
        <v/>
      </c>
      <c r="DI26">
        <f t="shared" si="34"/>
        <v>0</v>
      </c>
      <c r="DJ26">
        <f t="shared" si="35"/>
        <v>0</v>
      </c>
      <c r="DK26" t="str">
        <f t="shared" si="14"/>
        <v/>
      </c>
      <c r="DL26" t="str">
        <f t="shared" si="14"/>
        <v/>
      </c>
      <c r="DM26" t="str">
        <f t="shared" si="14"/>
        <v/>
      </c>
      <c r="DN26" t="str">
        <f t="shared" si="39"/>
        <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6"/>
        <v>0</v>
      </c>
      <c r="FZ26" s="634">
        <f t="shared" si="17"/>
        <v>0</v>
      </c>
      <c r="GA26">
        <f t="shared" si="18"/>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9"/>
        <v>0</v>
      </c>
      <c r="GL26">
        <f t="shared" si="20"/>
        <v>0</v>
      </c>
      <c r="GM26">
        <f t="shared" si="21"/>
        <v>0</v>
      </c>
      <c r="GN26" s="713">
        <f t="shared" si="22"/>
        <v>0</v>
      </c>
      <c r="GO26">
        <f t="shared" si="37"/>
        <v>0</v>
      </c>
      <c r="GP26" s="647">
        <f t="shared" si="38"/>
        <v>0</v>
      </c>
    </row>
    <row r="27" spans="1:198">
      <c r="A27" s="239">
        <f t="shared" si="23"/>
        <v>14</v>
      </c>
      <c r="B27" s="125" t="str">
        <f t="shared" si="0"/>
        <v>ma</v>
      </c>
      <c r="C27" s="126" t="s">
        <v>203</v>
      </c>
      <c r="D27" s="127">
        <f t="shared" si="1"/>
        <v>37.571428571428569</v>
      </c>
      <c r="E27" s="1123"/>
      <c r="F27" s="1124"/>
      <c r="G27" s="1125"/>
      <c r="H27" s="291"/>
      <c r="I27" s="745"/>
      <c r="J27" s="746" t="str">
        <f t="shared" si="2"/>
        <v/>
      </c>
      <c r="K27" s="368"/>
      <c r="L27" s="368"/>
      <c r="M27" s="368"/>
      <c r="N27" s="311">
        <f t="shared" si="24"/>
        <v>8.11</v>
      </c>
      <c r="O27" s="311">
        <f t="shared" si="25"/>
        <v>4.5</v>
      </c>
      <c r="P27" s="311">
        <f>IF(Stamoplysninger!$H$34="JA",September!DG27,CX27)</f>
        <v>1.9166666666666665</v>
      </c>
      <c r="Q27" s="311">
        <f t="shared" si="26"/>
        <v>1.6933333333333329</v>
      </c>
      <c r="R27" s="751"/>
      <c r="S27" s="315"/>
      <c r="T27" s="316"/>
      <c r="U27" s="316"/>
      <c r="V27" s="422"/>
      <c r="W27" s="422"/>
      <c r="X27" s="621"/>
      <c r="Y27">
        <f t="shared" si="27"/>
        <v>0</v>
      </c>
      <c r="Z27" s="424">
        <f t="shared" si="28"/>
        <v>0</v>
      </c>
      <c r="AA27" s="1">
        <f t="shared" si="3"/>
        <v>0</v>
      </c>
      <c r="AB27" s="1">
        <f t="shared" si="4"/>
        <v>0</v>
      </c>
      <c r="AC27" s="1">
        <f t="shared" si="5"/>
        <v>0</v>
      </c>
      <c r="AD27" s="1">
        <f t="shared" si="6"/>
        <v>0</v>
      </c>
      <c r="AE27" s="1">
        <f t="shared" si="7"/>
        <v>0</v>
      </c>
      <c r="AF27" s="1">
        <f>IF(C27="Orlov",7.4*Stamoplysninger!$E$20,0)</f>
        <v>0</v>
      </c>
      <c r="AG27">
        <f>IF(AND(C27="Skema 1",B27="ma"),Arbejdstidsoversigt!$E$77,"")</f>
        <v>8.11</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9"/>
        <v>8.11</v>
      </c>
      <c r="BB27" s="224">
        <f t="shared" si="8"/>
        <v>194.64</v>
      </c>
      <c r="BC27" s="1">
        <f t="shared" si="30"/>
        <v>0</v>
      </c>
      <c r="BD27" s="1">
        <f t="shared" si="9"/>
        <v>0</v>
      </c>
      <c r="BE27" s="1">
        <f t="shared" si="10"/>
        <v>0</v>
      </c>
      <c r="BF27" s="1">
        <f t="shared" si="11"/>
        <v>0</v>
      </c>
      <c r="BG27" s="207">
        <f>IF(AND(C27="Skema 1",B27="ma"),Skemaoplysninger!$E$46,"")</f>
        <v>0.1875</v>
      </c>
      <c r="BH27" s="207" t="str">
        <f>IF(AND(C27="Skema 1",B27="ti"),Skemaoplysninger!$G$46,"")</f>
        <v/>
      </c>
      <c r="BI27" s="207" t="str">
        <f>IF(AND(C27="Skema 1",B27="on"),Skemaoplysninger!$I$46,"")</f>
        <v/>
      </c>
      <c r="BJ27" s="207" t="str">
        <f>IF(AND(C27="Skema 1",B27="to"),Skemaoplysninger!$K$46,"")</f>
        <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1"/>
        <v>4.5</v>
      </c>
      <c r="CB27" s="1">
        <f t="shared" si="12"/>
        <v>0</v>
      </c>
      <c r="CC27" s="1">
        <f t="shared" si="13"/>
        <v>0</v>
      </c>
      <c r="CD27" s="207">
        <f>IF(AND(C27="Skema 1",B27="ma"),Skemaoplysninger!$E$47,"")</f>
        <v>7.9861111111111105E-2</v>
      </c>
      <c r="CE27" s="207" t="str">
        <f>IF(AND(C27="Skema 1",B27="ti"),Skemaoplysninger!$G$47,"")</f>
        <v/>
      </c>
      <c r="CF27" s="207" t="str">
        <f>IF(AND(C27="Skema 1",B27="on"),Skemaoplysninger!$I$47,"")</f>
        <v/>
      </c>
      <c r="CG27" s="207" t="str">
        <f>IF(AND(C27="Skema 1",B27="to"),Skemaoplysninger!$K$47,"")</f>
        <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1.9166666666666665</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2"/>
        <v>0</v>
      </c>
      <c r="DH27" t="str">
        <f t="shared" si="33"/>
        <v/>
      </c>
      <c r="DI27">
        <f t="shared" si="34"/>
        <v>0</v>
      </c>
      <c r="DJ27">
        <f t="shared" si="35"/>
        <v>0</v>
      </c>
      <c r="DK27" t="str">
        <f t="shared" si="14"/>
        <v/>
      </c>
      <c r="DL27" t="str">
        <f t="shared" si="14"/>
        <v/>
      </c>
      <c r="DM27" t="str">
        <f t="shared" si="14"/>
        <v/>
      </c>
      <c r="DN27" t="str">
        <f t="shared" si="39"/>
        <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6"/>
        <v>0</v>
      </c>
      <c r="FZ27" s="634">
        <f t="shared" si="17"/>
        <v>0</v>
      </c>
      <c r="GA27">
        <f t="shared" si="18"/>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9"/>
        <v>0</v>
      </c>
      <c r="GL27">
        <f t="shared" si="20"/>
        <v>0</v>
      </c>
      <c r="GM27">
        <f t="shared" si="21"/>
        <v>0</v>
      </c>
      <c r="GN27" s="713">
        <f t="shared" si="22"/>
        <v>0</v>
      </c>
      <c r="GO27">
        <f t="shared" si="37"/>
        <v>0</v>
      </c>
      <c r="GP27" s="647">
        <f t="shared" si="38"/>
        <v>0</v>
      </c>
    </row>
    <row r="28" spans="1:198">
      <c r="A28" s="239">
        <f t="shared" si="23"/>
        <v>15</v>
      </c>
      <c r="B28" s="125" t="str">
        <f t="shared" si="0"/>
        <v>ti</v>
      </c>
      <c r="C28" s="126" t="s">
        <v>203</v>
      </c>
      <c r="D28" s="127" t="str">
        <f t="shared" si="1"/>
        <v/>
      </c>
      <c r="E28" s="1123"/>
      <c r="F28" s="1124"/>
      <c r="G28" s="1125"/>
      <c r="H28" s="291"/>
      <c r="I28" s="745"/>
      <c r="J28" s="746" t="str">
        <f t="shared" si="2"/>
        <v/>
      </c>
      <c r="K28" s="368"/>
      <c r="L28" s="368"/>
      <c r="M28" s="368"/>
      <c r="N28" s="311">
        <f t="shared" si="24"/>
        <v>8.11</v>
      </c>
      <c r="O28" s="311">
        <f t="shared" si="25"/>
        <v>4.5</v>
      </c>
      <c r="P28" s="311">
        <f>IF(Stamoplysninger!$H$34="JA",September!DG28,CX28)</f>
        <v>1.9166666666666665</v>
      </c>
      <c r="Q28" s="311">
        <f t="shared" si="26"/>
        <v>1.6933333333333329</v>
      </c>
      <c r="R28" s="751"/>
      <c r="S28" s="315"/>
      <c r="T28" s="316"/>
      <c r="U28" s="316"/>
      <c r="V28" s="422"/>
      <c r="W28" s="422"/>
      <c r="X28" s="621"/>
      <c r="Y28">
        <f t="shared" si="27"/>
        <v>0</v>
      </c>
      <c r="Z28" s="424">
        <f t="shared" si="28"/>
        <v>0</v>
      </c>
      <c r="AA28" s="1">
        <f t="shared" si="3"/>
        <v>0</v>
      </c>
      <c r="AB28" s="1">
        <f t="shared" si="4"/>
        <v>0</v>
      </c>
      <c r="AC28" s="1">
        <f t="shared" si="5"/>
        <v>0</v>
      </c>
      <c r="AD28" s="1">
        <f t="shared" si="6"/>
        <v>0</v>
      </c>
      <c r="AE28" s="1">
        <f t="shared" si="7"/>
        <v>0</v>
      </c>
      <c r="AF28" s="1">
        <f>IF(C28="Orlov",7.4*Stamoplysninger!$E$20,0)</f>
        <v>0</v>
      </c>
      <c r="AG28" t="str">
        <f>IF(AND(C28="Skema 1",B28="ma"),Arbejdstidsoversigt!$E$77,"")</f>
        <v/>
      </c>
      <c r="AH28">
        <f>IF(AND(C28="Skema 1",B28="ti"),Arbejdstidsoversigt!$E$78,"")</f>
        <v>8.11</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9"/>
        <v>8.11</v>
      </c>
      <c r="BB28" s="224">
        <f t="shared" si="8"/>
        <v>194.64</v>
      </c>
      <c r="BC28" s="1">
        <f t="shared" si="30"/>
        <v>0</v>
      </c>
      <c r="BD28" s="1">
        <f t="shared" si="9"/>
        <v>0</v>
      </c>
      <c r="BE28" s="1">
        <f t="shared" si="10"/>
        <v>0</v>
      </c>
      <c r="BF28" s="1">
        <f t="shared" si="11"/>
        <v>0</v>
      </c>
      <c r="BG28" s="207" t="str">
        <f>IF(AND(C28="Skema 1",B28="ma"),Skemaoplysninger!$E$46,"")</f>
        <v/>
      </c>
      <c r="BH28" s="207">
        <f>IF(AND(C28="Skema 1",B28="ti"),Skemaoplysninger!$G$46,"")</f>
        <v>0.1875</v>
      </c>
      <c r="BI28" s="207" t="str">
        <f>IF(AND(C28="Skema 1",B28="on"),Skemaoplysninger!$I$46,"")</f>
        <v/>
      </c>
      <c r="BJ28" s="207" t="str">
        <f>IF(AND(C28="Skema 1",B28="to"),Skemaoplysninger!$K$46,"")</f>
        <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1"/>
        <v>4.5</v>
      </c>
      <c r="CB28" s="1">
        <f t="shared" si="12"/>
        <v>0</v>
      </c>
      <c r="CC28" s="1">
        <f t="shared" si="13"/>
        <v>0</v>
      </c>
      <c r="CD28" s="207" t="str">
        <f>IF(AND(C28="Skema 1",B28="ma"),Skemaoplysninger!$E$47,"")</f>
        <v/>
      </c>
      <c r="CE28" s="207">
        <f>IF(AND(C28="Skema 1",B28="ti"),Skemaoplysninger!$G$47,"")</f>
        <v>7.9861111111111105E-2</v>
      </c>
      <c r="CF28" s="207" t="str">
        <f>IF(AND(C28="Skema 1",B28="on"),Skemaoplysninger!$I$47,"")</f>
        <v/>
      </c>
      <c r="CG28" s="207" t="str">
        <f>IF(AND(C28="Skema 1",B28="to"),Skemaoplysninger!$K$47,"")</f>
        <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1.9166666666666665</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2"/>
        <v>0</v>
      </c>
      <c r="DH28" t="str">
        <f t="shared" si="33"/>
        <v/>
      </c>
      <c r="DI28">
        <f t="shared" si="34"/>
        <v>0</v>
      </c>
      <c r="DJ28">
        <f t="shared" si="35"/>
        <v>0</v>
      </c>
      <c r="DK28" t="str">
        <f t="shared" si="14"/>
        <v/>
      </c>
      <c r="DL28" t="str">
        <f t="shared" si="14"/>
        <v/>
      </c>
      <c r="DM28" t="str">
        <f t="shared" si="14"/>
        <v/>
      </c>
      <c r="DN28" t="str">
        <f t="shared" si="39"/>
        <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6"/>
        <v>0</v>
      </c>
      <c r="FZ28" s="634">
        <f t="shared" si="17"/>
        <v>0</v>
      </c>
      <c r="GA28">
        <f t="shared" si="18"/>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9"/>
        <v>0</v>
      </c>
      <c r="GL28">
        <f t="shared" si="20"/>
        <v>0</v>
      </c>
      <c r="GM28">
        <f t="shared" si="21"/>
        <v>0</v>
      </c>
      <c r="GN28" s="713">
        <f t="shared" si="22"/>
        <v>0</v>
      </c>
      <c r="GO28">
        <f t="shared" si="37"/>
        <v>0</v>
      </c>
      <c r="GP28" s="647">
        <f t="shared" si="38"/>
        <v>0</v>
      </c>
    </row>
    <row r="29" spans="1:198">
      <c r="A29" s="239">
        <f>IF(ISNUMBER(A28),A28+1,1)</f>
        <v>16</v>
      </c>
      <c r="B29" s="125" t="str">
        <f t="shared" si="0"/>
        <v>on</v>
      </c>
      <c r="C29" s="126" t="s">
        <v>203</v>
      </c>
      <c r="D29" s="127" t="str">
        <f t="shared" si="1"/>
        <v/>
      </c>
      <c r="E29" s="1060"/>
      <c r="F29" s="1061"/>
      <c r="G29" s="1062"/>
      <c r="H29" s="292"/>
      <c r="I29" s="745"/>
      <c r="J29" s="746" t="str">
        <f t="shared" si="2"/>
        <v/>
      </c>
      <c r="K29" s="368"/>
      <c r="L29" s="368"/>
      <c r="M29" s="368"/>
      <c r="N29" s="311">
        <f t="shared" si="24"/>
        <v>8.11</v>
      </c>
      <c r="O29" s="311">
        <f t="shared" si="25"/>
        <v>2.75</v>
      </c>
      <c r="P29" s="311">
        <f>IF(Stamoplysninger!$H$34="JA",September!DG29,CX29)</f>
        <v>1.25</v>
      </c>
      <c r="Q29" s="311">
        <f t="shared" si="26"/>
        <v>4.1099999999999994</v>
      </c>
      <c r="R29" s="751"/>
      <c r="S29" s="315"/>
      <c r="T29" s="316"/>
      <c r="U29" s="316"/>
      <c r="V29" s="422"/>
      <c r="W29" s="422"/>
      <c r="X29" s="621"/>
      <c r="Y29">
        <f t="shared" si="27"/>
        <v>0</v>
      </c>
      <c r="Z29" s="424">
        <f t="shared" si="28"/>
        <v>0</v>
      </c>
      <c r="AA29" s="1">
        <f t="shared" si="3"/>
        <v>0</v>
      </c>
      <c r="AB29" s="1">
        <f t="shared" si="4"/>
        <v>0</v>
      </c>
      <c r="AC29" s="1">
        <f t="shared" si="5"/>
        <v>0</v>
      </c>
      <c r="AD29" s="1">
        <f t="shared" si="6"/>
        <v>0</v>
      </c>
      <c r="AE29" s="1">
        <f t="shared" si="7"/>
        <v>0</v>
      </c>
      <c r="AF29" s="1">
        <f>IF(C29="Orlov",7.4*Stamoplysninger!$E$20,0)</f>
        <v>0</v>
      </c>
      <c r="AG29" t="str">
        <f>IF(AND(C29="Skema 1",B29="ma"),Arbejdstidsoversigt!$E$77,"")</f>
        <v/>
      </c>
      <c r="AH29" t="str">
        <f>IF(AND(C29="Skema 1",B29="ti"),Arbejdstidsoversigt!$E$78,"")</f>
        <v/>
      </c>
      <c r="AI29">
        <f>IF(AND(C29="Skema 1",B29="on"),Arbejdstidsoversigt!$E$79,"")</f>
        <v>8.11</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9"/>
        <v>8.11</v>
      </c>
      <c r="BB29" s="224">
        <f t="shared" si="8"/>
        <v>194.64</v>
      </c>
      <c r="BC29" s="1">
        <f t="shared" si="30"/>
        <v>0</v>
      </c>
      <c r="BD29" s="1">
        <f t="shared" si="9"/>
        <v>0</v>
      </c>
      <c r="BE29" s="1">
        <f t="shared" si="10"/>
        <v>0</v>
      </c>
      <c r="BF29" s="1">
        <f t="shared" si="11"/>
        <v>0</v>
      </c>
      <c r="BG29" s="207" t="str">
        <f>IF(AND(C29="Skema 1",B29="ma"),Skemaoplysninger!$E$46,"")</f>
        <v/>
      </c>
      <c r="BH29" s="207" t="str">
        <f>IF(AND(C29="Skema 1",B29="ti"),Skemaoplysninger!$G$46,"")</f>
        <v/>
      </c>
      <c r="BI29" s="207">
        <f>IF(AND(C29="Skema 1",B29="on"),Skemaoplysninger!$I$46,"")</f>
        <v>0.11458333333333333</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1"/>
        <v>2.75</v>
      </c>
      <c r="CB29" s="1">
        <f t="shared" si="12"/>
        <v>0</v>
      </c>
      <c r="CC29" s="1">
        <f t="shared" si="13"/>
        <v>0</v>
      </c>
      <c r="CD29" s="207" t="str">
        <f>IF(AND(C29="Skema 1",B29="ma"),Skemaoplysninger!$E$47,"")</f>
        <v/>
      </c>
      <c r="CE29" s="207" t="str">
        <f>IF(AND(C29="Skema 1",B29="ti"),Skemaoplysninger!$G$47,"")</f>
        <v/>
      </c>
      <c r="CF29" s="207">
        <f>IF(AND(C29="Skema 1",B29="on"),Skemaoplysninger!$I$47,"")</f>
        <v>5.2083333333333329E-2</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1.25</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2"/>
        <v>0</v>
      </c>
      <c r="DH29" t="str">
        <f t="shared" si="33"/>
        <v/>
      </c>
      <c r="DI29">
        <f t="shared" si="34"/>
        <v>0</v>
      </c>
      <c r="DJ29">
        <f t="shared" si="35"/>
        <v>0</v>
      </c>
      <c r="DK29" t="str">
        <f t="shared" si="14"/>
        <v/>
      </c>
      <c r="DL29" t="str">
        <f t="shared" si="14"/>
        <v/>
      </c>
      <c r="DM29" t="str">
        <f t="shared" si="14"/>
        <v/>
      </c>
      <c r="DN29" t="str">
        <f t="shared" si="39"/>
        <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6"/>
        <v>0</v>
      </c>
      <c r="FZ29" s="634">
        <f t="shared" si="17"/>
        <v>0</v>
      </c>
      <c r="GA29">
        <f t="shared" si="18"/>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9"/>
        <v>0</v>
      </c>
      <c r="GL29">
        <f t="shared" si="20"/>
        <v>0</v>
      </c>
      <c r="GM29">
        <f t="shared" si="21"/>
        <v>0</v>
      </c>
      <c r="GN29" s="713">
        <f t="shared" si="22"/>
        <v>0</v>
      </c>
      <c r="GO29">
        <f t="shared" si="37"/>
        <v>0</v>
      </c>
      <c r="GP29" s="647">
        <f t="shared" si="38"/>
        <v>0</v>
      </c>
    </row>
    <row r="30" spans="1:198">
      <c r="A30" s="239">
        <f t="shared" si="23"/>
        <v>17</v>
      </c>
      <c r="B30" s="125" t="str">
        <f t="shared" si="0"/>
        <v>to</v>
      </c>
      <c r="C30" s="126" t="s">
        <v>203</v>
      </c>
      <c r="D30" s="127" t="str">
        <f t="shared" si="1"/>
        <v/>
      </c>
      <c r="E30" s="1060" t="s">
        <v>769</v>
      </c>
      <c r="F30" s="1061"/>
      <c r="G30" s="1062"/>
      <c r="H30" s="292"/>
      <c r="I30" s="745"/>
      <c r="J30" s="746" t="str">
        <f t="shared" si="2"/>
        <v/>
      </c>
      <c r="K30" s="368"/>
      <c r="L30" s="368"/>
      <c r="M30" s="368"/>
      <c r="N30" s="311">
        <f t="shared" si="24"/>
        <v>9</v>
      </c>
      <c r="O30" s="311">
        <f t="shared" si="25"/>
        <v>3.75</v>
      </c>
      <c r="P30" s="311">
        <f>IF(Stamoplysninger!$H$34="JA",September!DG30,CX30)</f>
        <v>1</v>
      </c>
      <c r="Q30" s="311">
        <f t="shared" si="26"/>
        <v>4.25</v>
      </c>
      <c r="R30" s="751"/>
      <c r="S30" s="315"/>
      <c r="T30" s="316"/>
      <c r="U30" s="316"/>
      <c r="V30" s="422"/>
      <c r="W30" s="422"/>
      <c r="X30" s="621"/>
      <c r="Y30">
        <f t="shared" si="27"/>
        <v>0</v>
      </c>
      <c r="Z30" s="424">
        <f t="shared" si="28"/>
        <v>0</v>
      </c>
      <c r="AA30" s="1">
        <f t="shared" si="3"/>
        <v>0</v>
      </c>
      <c r="AB30" s="1">
        <f t="shared" si="4"/>
        <v>0</v>
      </c>
      <c r="AC30" s="1">
        <f t="shared" si="5"/>
        <v>0</v>
      </c>
      <c r="AD30" s="1">
        <f t="shared" si="6"/>
        <v>0</v>
      </c>
      <c r="AE30" s="1">
        <f t="shared" si="7"/>
        <v>0</v>
      </c>
      <c r="AF30" s="1">
        <f>IF(C30="Orlov",7.4*Stamoplysninger!$E$20,0)</f>
        <v>0</v>
      </c>
      <c r="AG30" t="str">
        <f>IF(AND(C30="Skema 1",B30="ma"),Arbejdstidsoversigt!$E$77,"")</f>
        <v/>
      </c>
      <c r="AH30" t="str">
        <f>IF(AND(C30="Skema 1",B30="ti"),Arbejdstidsoversigt!$E$78,"")</f>
        <v/>
      </c>
      <c r="AI30" t="str">
        <f>IF(AND(C30="Skema 1",B30="on"),Arbejdstidsoversigt!$E$79,"")</f>
        <v/>
      </c>
      <c r="AJ30">
        <f>IF(AND(C30="Skema 1",B30="to"),Arbejdstidsoversigt!$E$80,"")</f>
        <v>9</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9"/>
        <v>9</v>
      </c>
      <c r="BB30" s="224">
        <f t="shared" si="8"/>
        <v>216</v>
      </c>
      <c r="BC30" s="1">
        <f t="shared" si="30"/>
        <v>0</v>
      </c>
      <c r="BD30" s="1">
        <f t="shared" si="9"/>
        <v>0</v>
      </c>
      <c r="BE30" s="1">
        <f t="shared" si="10"/>
        <v>0</v>
      </c>
      <c r="BF30" s="1">
        <f t="shared" si="11"/>
        <v>0</v>
      </c>
      <c r="BG30" s="207" t="str">
        <f>IF(AND(C30="Skema 1",B30="ma"),Skemaoplysninger!$E$46,"")</f>
        <v/>
      </c>
      <c r="BH30" s="207" t="str">
        <f>IF(AND(C30="Skema 1",B30="ti"),Skemaoplysninger!$G$46,"")</f>
        <v/>
      </c>
      <c r="BI30" s="207" t="str">
        <f>IF(AND(C30="Skema 1",B30="on"),Skemaoplysninger!$I$46,"")</f>
        <v/>
      </c>
      <c r="BJ30" s="207">
        <f>IF(AND(C30="Skema 1",B30="to"),Skemaoplysninger!$K$46,"")</f>
        <v>0.15625</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1"/>
        <v>3.75</v>
      </c>
      <c r="CB30" s="1">
        <f t="shared" si="12"/>
        <v>0</v>
      </c>
      <c r="CC30" s="1">
        <f t="shared" si="13"/>
        <v>0</v>
      </c>
      <c r="CD30" s="207" t="str">
        <f>IF(AND(C30="Skema 1",B30="ma"),Skemaoplysninger!$E$47,"")</f>
        <v/>
      </c>
      <c r="CE30" s="207" t="str">
        <f>IF(AND(C30="Skema 1",B30="ti"),Skemaoplysninger!$G$47,"")</f>
        <v/>
      </c>
      <c r="CF30" s="207" t="str">
        <f>IF(AND(C30="Skema 1",B30="on"),Skemaoplysninger!$I$47,"")</f>
        <v/>
      </c>
      <c r="CG30" s="207">
        <f>IF(AND(C30="Skema 1",B30="to"),Skemaoplysninger!$K$47,"")</f>
        <v>4.1666666666666664E-2</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1</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2"/>
        <v>0</v>
      </c>
      <c r="DH30" t="str">
        <f t="shared" si="33"/>
        <v/>
      </c>
      <c r="DI30" t="str">
        <f t="shared" si="34"/>
        <v>Lærermøde</v>
      </c>
      <c r="DJ30" t="str">
        <f t="shared" si="35"/>
        <v/>
      </c>
      <c r="DK30" t="str">
        <f t="shared" si="14"/>
        <v/>
      </c>
      <c r="DL30" t="str">
        <f t="shared" si="14"/>
        <v>Lærermøde</v>
      </c>
      <c r="DM30" t="str">
        <f t="shared" si="14"/>
        <v/>
      </c>
      <c r="DN30" t="str">
        <f t="shared" si="39"/>
        <v>Lærermøde</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6"/>
        <v>0</v>
      </c>
      <c r="FZ30" s="634">
        <f t="shared" si="17"/>
        <v>0</v>
      </c>
      <c r="GA30">
        <f t="shared" si="18"/>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9"/>
        <v>0</v>
      </c>
      <c r="GL30">
        <f t="shared" si="20"/>
        <v>0</v>
      </c>
      <c r="GM30">
        <f t="shared" si="21"/>
        <v>0</v>
      </c>
      <c r="GN30" s="713">
        <f t="shared" si="22"/>
        <v>0</v>
      </c>
      <c r="GO30">
        <f t="shared" si="37"/>
        <v>0</v>
      </c>
      <c r="GP30" s="647">
        <f t="shared" si="38"/>
        <v>0</v>
      </c>
    </row>
    <row r="31" spans="1:198">
      <c r="A31" s="239">
        <f t="shared" si="23"/>
        <v>18</v>
      </c>
      <c r="B31" s="125" t="str">
        <f t="shared" si="0"/>
        <v>fr</v>
      </c>
      <c r="C31" s="126" t="s">
        <v>203</v>
      </c>
      <c r="D31" s="127" t="str">
        <f t="shared" si="1"/>
        <v/>
      </c>
      <c r="E31" s="1060"/>
      <c r="F31" s="1061"/>
      <c r="G31" s="1062"/>
      <c r="H31" s="292"/>
      <c r="I31" s="745"/>
      <c r="J31" s="746" t="str">
        <f t="shared" si="2"/>
        <v/>
      </c>
      <c r="K31" s="368"/>
      <c r="L31" s="368"/>
      <c r="M31" s="368"/>
      <c r="N31" s="311">
        <f t="shared" si="24"/>
        <v>7.1</v>
      </c>
      <c r="O31" s="311">
        <f t="shared" si="25"/>
        <v>3.75</v>
      </c>
      <c r="P31" s="311">
        <f>IF(Stamoplysninger!$H$34="JA",September!DG31,CX31)</f>
        <v>1</v>
      </c>
      <c r="Q31" s="311">
        <f t="shared" si="26"/>
        <v>2.3499999999999996</v>
      </c>
      <c r="R31" s="751"/>
      <c r="S31" s="315"/>
      <c r="T31" s="316"/>
      <c r="U31" s="316"/>
      <c r="V31" s="422"/>
      <c r="W31" s="422"/>
      <c r="X31" s="621"/>
      <c r="Y31">
        <f t="shared" si="27"/>
        <v>0</v>
      </c>
      <c r="Z31" s="424">
        <f t="shared" si="28"/>
        <v>0</v>
      </c>
      <c r="AA31" s="1">
        <f t="shared" si="3"/>
        <v>0</v>
      </c>
      <c r="AB31" s="1">
        <f t="shared" si="4"/>
        <v>0</v>
      </c>
      <c r="AC31" s="1">
        <f t="shared" si="5"/>
        <v>0</v>
      </c>
      <c r="AD31" s="1">
        <f t="shared" si="6"/>
        <v>0</v>
      </c>
      <c r="AE31" s="1">
        <f t="shared" si="7"/>
        <v>0</v>
      </c>
      <c r="AF31" s="1">
        <f>IF(C31="Orlov",7.4*Stamoplysninger!$E$20,0)</f>
        <v>0</v>
      </c>
      <c r="AG31" t="str">
        <f>IF(AND(C31="Skema 1",B31="ma"),Arbejdstidsoversigt!$E$77,"")</f>
        <v/>
      </c>
      <c r="AH31" t="str">
        <f>IF(AND(C31="Skema 1",B31="ti"),Arbejdstidsoversigt!$E$78,"")</f>
        <v/>
      </c>
      <c r="AI31" t="str">
        <f>IF(AND(C31="Skema 1",B31="on"),Arbejdstidsoversigt!$E$79,"")</f>
        <v/>
      </c>
      <c r="AJ31" t="str">
        <f>IF(AND(C31="Skema 1",B31="to"),Arbejdstidsoversigt!$E$80,"")</f>
        <v/>
      </c>
      <c r="AK31">
        <f>IF(AND(C31="Skema 1",B31="fr"),Arbejdstidsoversigt!$E$81,"")</f>
        <v>7.1</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9"/>
        <v>7.1</v>
      </c>
      <c r="BB31" s="224">
        <f t="shared" si="8"/>
        <v>170.39999999999998</v>
      </c>
      <c r="BC31" s="1">
        <f t="shared" si="30"/>
        <v>0</v>
      </c>
      <c r="BD31" s="1">
        <f t="shared" si="9"/>
        <v>0</v>
      </c>
      <c r="BE31" s="1">
        <f t="shared" si="10"/>
        <v>0</v>
      </c>
      <c r="BF31" s="1">
        <f t="shared" si="11"/>
        <v>0</v>
      </c>
      <c r="BG31" s="207" t="str">
        <f>IF(AND(C31="Skema 1",B31="ma"),Skemaoplysninger!$E$46,"")</f>
        <v/>
      </c>
      <c r="BH31" s="207" t="str">
        <f>IF(AND(C31="Skema 1",B31="ti"),Skemaoplysninger!$G$46,"")</f>
        <v/>
      </c>
      <c r="BI31" s="207" t="str">
        <f>IF(AND(C31="Skema 1",B31="on"),Skemaoplysninger!$I$46,"")</f>
        <v/>
      </c>
      <c r="BJ31" s="207" t="str">
        <f>IF(AND(C31="Skema 1",B31="to"),Skemaoplysninger!$K$46,"")</f>
        <v/>
      </c>
      <c r="BK31" s="207">
        <f>IF(AND(C31="Skema 1",B31="fr"),Skemaoplysninger!$M$46,"")</f>
        <v>0.15625</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1"/>
        <v>3.75</v>
      </c>
      <c r="CB31" s="1">
        <f t="shared" si="12"/>
        <v>0</v>
      </c>
      <c r="CC31" s="1">
        <f t="shared" si="13"/>
        <v>0</v>
      </c>
      <c r="CD31" s="207" t="str">
        <f>IF(AND(C31="Skema 1",B31="ma"),Skemaoplysninger!$E$47,"")</f>
        <v/>
      </c>
      <c r="CE31" s="207" t="str">
        <f>IF(AND(C31="Skema 1",B31="ti"),Skemaoplysninger!$G$47,"")</f>
        <v/>
      </c>
      <c r="CF31" s="207" t="str">
        <f>IF(AND(C31="Skema 1",B31="on"),Skemaoplysninger!$I$47,"")</f>
        <v/>
      </c>
      <c r="CG31" s="207" t="str">
        <f>IF(AND(C31="Skema 1",B31="to"),Skemaoplysninger!$K$47,"")</f>
        <v/>
      </c>
      <c r="CH31" s="207">
        <f>IF(AND(C31="Skema 1",B31="fr"),Skemaoplysninger!$M$47,"")</f>
        <v>4.1666666666666664E-2</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1</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2"/>
        <v>0</v>
      </c>
      <c r="DH31" t="str">
        <f t="shared" si="33"/>
        <v/>
      </c>
      <c r="DI31">
        <f t="shared" si="34"/>
        <v>0</v>
      </c>
      <c r="DJ31">
        <f t="shared" si="35"/>
        <v>0</v>
      </c>
      <c r="DK31" t="str">
        <f t="shared" si="14"/>
        <v/>
      </c>
      <c r="DL31" t="str">
        <f t="shared" si="14"/>
        <v/>
      </c>
      <c r="DM31" t="str">
        <f t="shared" si="14"/>
        <v/>
      </c>
      <c r="DN31" t="str">
        <f t="shared" si="39"/>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6"/>
        <v>0</v>
      </c>
      <c r="FZ31" s="634">
        <f t="shared" si="17"/>
        <v>0</v>
      </c>
      <c r="GA31">
        <f t="shared" si="18"/>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9"/>
        <v>0</v>
      </c>
      <c r="GL31">
        <f t="shared" si="20"/>
        <v>0</v>
      </c>
      <c r="GM31">
        <f t="shared" si="21"/>
        <v>0</v>
      </c>
      <c r="GN31" s="713">
        <f t="shared" si="22"/>
        <v>0</v>
      </c>
      <c r="GO31">
        <f t="shared" si="37"/>
        <v>0</v>
      </c>
      <c r="GP31" s="647">
        <f t="shared" si="38"/>
        <v>0</v>
      </c>
    </row>
    <row r="32" spans="1:198">
      <c r="A32" s="239">
        <f t="shared" si="23"/>
        <v>19</v>
      </c>
      <c r="B32" s="125" t="str">
        <f t="shared" si="0"/>
        <v>lø</v>
      </c>
      <c r="C32" s="126" t="s">
        <v>118</v>
      </c>
      <c r="D32" s="127" t="str">
        <f t="shared" si="1"/>
        <v/>
      </c>
      <c r="E32" s="1060"/>
      <c r="F32" s="1061"/>
      <c r="G32" s="1062"/>
      <c r="H32" s="292"/>
      <c r="I32" s="746" t="str">
        <f>IF(GO32=1,"X","")</f>
        <v/>
      </c>
      <c r="J32" s="746" t="str">
        <f t="shared" si="2"/>
        <v/>
      </c>
      <c r="K32" s="368"/>
      <c r="L32" s="368"/>
      <c r="M32" s="368"/>
      <c r="N32" s="311">
        <f t="shared" si="24"/>
        <v>0</v>
      </c>
      <c r="O32" s="311">
        <f t="shared" si="25"/>
        <v>0</v>
      </c>
      <c r="P32" s="311">
        <f>IF(Stamoplysninger!$H$34="JA",September!DG32,CX32)</f>
        <v>0</v>
      </c>
      <c r="Q32" s="311">
        <f t="shared" si="26"/>
        <v>0</v>
      </c>
      <c r="R32" s="751"/>
      <c r="S32" s="315"/>
      <c r="T32" s="316"/>
      <c r="U32" s="316"/>
      <c r="V32" s="422"/>
      <c r="W32" s="422"/>
      <c r="X32" s="621"/>
      <c r="Y32">
        <f t="shared" si="27"/>
        <v>0</v>
      </c>
      <c r="Z32" s="424">
        <f t="shared" si="28"/>
        <v>0</v>
      </c>
      <c r="AA32" s="1">
        <f t="shared" si="3"/>
        <v>0</v>
      </c>
      <c r="AB32" s="1">
        <f t="shared" si="4"/>
        <v>0</v>
      </c>
      <c r="AC32" s="1">
        <f t="shared" si="5"/>
        <v>0</v>
      </c>
      <c r="AD32" s="1">
        <f t="shared" si="6"/>
        <v>0</v>
      </c>
      <c r="AE32" s="1">
        <f t="shared" si="7"/>
        <v>0</v>
      </c>
      <c r="AF32" s="1">
        <f>IF(C32="Orlov",7.4*Stamoplysninger!$E$20,0)</f>
        <v>0</v>
      </c>
      <c r="AG32" t="str">
        <f>IF(AND(C32="Skema 1",B32="ma"),Arbejdstidsoversigt!$E$77,"")</f>
        <v/>
      </c>
      <c r="AH32" t="str">
        <f>IF(AND(C32="Skema 1",B32="ti"),Arbejdstidsoversigt!$E$78,"")</f>
        <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9"/>
        <v>0</v>
      </c>
      <c r="BB32" s="224">
        <f t="shared" si="8"/>
        <v>0</v>
      </c>
      <c r="BC32" s="1">
        <f t="shared" si="30"/>
        <v>0</v>
      </c>
      <c r="BD32" s="1">
        <f t="shared" si="9"/>
        <v>0</v>
      </c>
      <c r="BE32" s="1">
        <f t="shared" si="10"/>
        <v>0</v>
      </c>
      <c r="BF32" s="1">
        <f t="shared" si="11"/>
        <v>0</v>
      </c>
      <c r="BG32" s="207" t="str">
        <f>IF(AND(C32="Skema 1",B32="ma"),Skemaoplysninger!$E$46,"")</f>
        <v/>
      </c>
      <c r="BH32" s="207" t="str">
        <f>IF(AND(C32="Skema 1",B32="ti"),Skemaoplysninger!$G$46,"")</f>
        <v/>
      </c>
      <c r="BI32" s="207" t="str">
        <f>IF(AND(C32="Skema 1",B32="on"),Skemaoplysninger!$I$46,"")</f>
        <v/>
      </c>
      <c r="BJ32" s="207" t="str">
        <f>IF(AND(C32="Skema 1",B32="to"),Skemaoplysninger!$K$46,"")</f>
        <v/>
      </c>
      <c r="BK32" s="207" t="str">
        <f>IF(AND(C32="Skema 1",B32="fr"),Skemaoplysninger!$M$46,"")</f>
        <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1"/>
        <v>0</v>
      </c>
      <c r="CB32" s="1">
        <f t="shared" si="12"/>
        <v>0</v>
      </c>
      <c r="CC32" s="1">
        <f t="shared" si="13"/>
        <v>0</v>
      </c>
      <c r="CD32" s="207" t="str">
        <f>IF(AND(C32="Skema 1",B32="ma"),Skemaoplysninger!$E$47,"")</f>
        <v/>
      </c>
      <c r="CE32" s="207" t="str">
        <f>IF(AND(C32="Skema 1",B32="ti"),Skemaoplysninger!$G$47,"")</f>
        <v/>
      </c>
      <c r="CF32" s="207" t="str">
        <f>IF(AND(C32="Skema 1",B32="on"),Skemaoplysninger!$I$47,"")</f>
        <v/>
      </c>
      <c r="CG32" s="207" t="str">
        <f>IF(AND(C32="Skema 1",B32="to"),Skemaoplysninger!$K$47,"")</f>
        <v/>
      </c>
      <c r="CH32" s="207" t="str">
        <f>IF(AND(C32="Skema 1",B32="fr"),Skemaoplysninger!$M$47,"")</f>
        <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2"/>
        <v>0</v>
      </c>
      <c r="DH32" t="str">
        <f t="shared" si="33"/>
        <v/>
      </c>
      <c r="DI32">
        <f t="shared" si="34"/>
        <v>0</v>
      </c>
      <c r="DJ32">
        <f t="shared" si="35"/>
        <v>0</v>
      </c>
      <c r="DK32" t="str">
        <f t="shared" si="14"/>
        <v/>
      </c>
      <c r="DL32" t="str">
        <f t="shared" si="14"/>
        <v/>
      </c>
      <c r="DM32" t="str">
        <f t="shared" si="14"/>
        <v/>
      </c>
      <c r="DN32" t="str">
        <f t="shared" si="39"/>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6"/>
        <v>0</v>
      </c>
      <c r="FZ32" s="634">
        <f t="shared" si="17"/>
        <v>0</v>
      </c>
      <c r="GA32">
        <f t="shared" si="18"/>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9"/>
        <v>0</v>
      </c>
      <c r="GL32">
        <f t="shared" si="20"/>
        <v>0</v>
      </c>
      <c r="GM32">
        <f t="shared" si="21"/>
        <v>0</v>
      </c>
      <c r="GN32" s="713">
        <f t="shared" si="22"/>
        <v>0</v>
      </c>
      <c r="GO32">
        <f t="shared" si="37"/>
        <v>0</v>
      </c>
      <c r="GP32" s="647">
        <f t="shared" si="38"/>
        <v>0</v>
      </c>
    </row>
    <row r="33" spans="1:198">
      <c r="A33" s="239">
        <f t="shared" si="23"/>
        <v>20</v>
      </c>
      <c r="B33" s="125" t="str">
        <f t="shared" si="0"/>
        <v>sø</v>
      </c>
      <c r="C33" s="126" t="s">
        <v>118</v>
      </c>
      <c r="D33" s="127" t="str">
        <f t="shared" si="1"/>
        <v/>
      </c>
      <c r="E33" s="1060"/>
      <c r="F33" s="1061"/>
      <c r="G33" s="1062"/>
      <c r="H33" s="292"/>
      <c r="I33" s="746" t="str">
        <f>IF(GO33=1,"X","")</f>
        <v/>
      </c>
      <c r="J33" s="746" t="str">
        <f t="shared" si="2"/>
        <v/>
      </c>
      <c r="K33" s="368"/>
      <c r="L33" s="368"/>
      <c r="M33" s="368"/>
      <c r="N33" s="311">
        <f t="shared" si="24"/>
        <v>0</v>
      </c>
      <c r="O33" s="311">
        <f t="shared" si="25"/>
        <v>0</v>
      </c>
      <c r="P33" s="311">
        <f>IF(Stamoplysninger!$H$34="JA",September!DG33,CX33)</f>
        <v>0</v>
      </c>
      <c r="Q33" s="311">
        <f t="shared" si="26"/>
        <v>0</v>
      </c>
      <c r="R33" s="751"/>
      <c r="S33" s="315"/>
      <c r="T33" s="316"/>
      <c r="U33" s="316"/>
      <c r="V33" s="422"/>
      <c r="W33" s="422"/>
      <c r="X33" s="621"/>
      <c r="Y33">
        <f t="shared" si="27"/>
        <v>0</v>
      </c>
      <c r="Z33" s="424">
        <f t="shared" si="28"/>
        <v>0</v>
      </c>
      <c r="AA33" s="1">
        <f t="shared" si="3"/>
        <v>0</v>
      </c>
      <c r="AB33" s="1">
        <f t="shared" si="4"/>
        <v>0</v>
      </c>
      <c r="AC33" s="1">
        <f t="shared" si="5"/>
        <v>0</v>
      </c>
      <c r="AD33" s="1">
        <f t="shared" si="6"/>
        <v>0</v>
      </c>
      <c r="AE33" s="1">
        <f t="shared" si="7"/>
        <v>0</v>
      </c>
      <c r="AF33" s="1">
        <f>IF(C33="Orlov",7.4*Stamoplysninger!$E$20,0)</f>
        <v>0</v>
      </c>
      <c r="AG33" t="str">
        <f>IF(AND(C33="Skema 1",B33="ma"),Arbejdstidsoversigt!$E$77,"")</f>
        <v/>
      </c>
      <c r="AH33" t="str">
        <f>IF(AND(C33="Skema 1",B33="ti"),Arbejdstidsoversigt!$E$78,"")</f>
        <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9"/>
        <v>0</v>
      </c>
      <c r="BB33" s="224">
        <f t="shared" si="8"/>
        <v>0</v>
      </c>
      <c r="BC33" s="1">
        <f t="shared" si="30"/>
        <v>0</v>
      </c>
      <c r="BD33" s="1">
        <f t="shared" si="9"/>
        <v>0</v>
      </c>
      <c r="BE33" s="1">
        <f t="shared" si="10"/>
        <v>0</v>
      </c>
      <c r="BF33" s="1">
        <f t="shared" si="11"/>
        <v>0</v>
      </c>
      <c r="BG33" s="207" t="str">
        <f>IF(AND(C33="Skema 1",B33="ma"),Skemaoplysninger!$E$46,"")</f>
        <v/>
      </c>
      <c r="BH33" s="207" t="str">
        <f>IF(AND(C33="Skema 1",B33="ti"),Skemaoplysninger!$G$46,"")</f>
        <v/>
      </c>
      <c r="BI33" s="207" t="str">
        <f>IF(AND(C33="Skema 1",B33="on"),Skemaoplysninger!$I$46,"")</f>
        <v/>
      </c>
      <c r="BJ33" s="207" t="str">
        <f>IF(AND(C33="Skema 1",B33="to"),Skemaoplysninger!$K$46,"")</f>
        <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1"/>
        <v>0</v>
      </c>
      <c r="CB33" s="1">
        <f t="shared" si="12"/>
        <v>0</v>
      </c>
      <c r="CC33" s="1">
        <f t="shared" si="13"/>
        <v>0</v>
      </c>
      <c r="CD33" s="207" t="str">
        <f>IF(AND(C33="Skema 1",B33="ma"),Skemaoplysninger!$E$47,"")</f>
        <v/>
      </c>
      <c r="CE33" s="207" t="str">
        <f>IF(AND(C33="Skema 1",B33="ti"),Skemaoplysninger!$G$47,"")</f>
        <v/>
      </c>
      <c r="CF33" s="207" t="str">
        <f>IF(AND(C33="Skema 1",B33="on"),Skemaoplysninger!$I$47,"")</f>
        <v/>
      </c>
      <c r="CG33" s="207" t="str">
        <f>IF(AND(C33="Skema 1",B33="to"),Skemaoplysninger!$K$47,"")</f>
        <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2"/>
        <v>0</v>
      </c>
      <c r="DH33" t="str">
        <f t="shared" si="33"/>
        <v/>
      </c>
      <c r="DI33">
        <f t="shared" si="34"/>
        <v>0</v>
      </c>
      <c r="DJ33">
        <f t="shared" si="35"/>
        <v>0</v>
      </c>
      <c r="DK33" t="str">
        <f t="shared" si="14"/>
        <v/>
      </c>
      <c r="DL33" t="str">
        <f t="shared" si="14"/>
        <v/>
      </c>
      <c r="DM33" t="str">
        <f t="shared" si="14"/>
        <v/>
      </c>
      <c r="DN33" t="str">
        <f t="shared" si="39"/>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6"/>
        <v>0</v>
      </c>
      <c r="FZ33" s="634">
        <f t="shared" si="17"/>
        <v>0</v>
      </c>
      <c r="GA33">
        <f t="shared" si="18"/>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9"/>
        <v>0</v>
      </c>
      <c r="GL33">
        <f t="shared" si="20"/>
        <v>0</v>
      </c>
      <c r="GM33">
        <f t="shared" si="21"/>
        <v>0</v>
      </c>
      <c r="GN33" s="713">
        <f t="shared" si="22"/>
        <v>0</v>
      </c>
      <c r="GO33">
        <f t="shared" si="37"/>
        <v>0</v>
      </c>
      <c r="GP33" s="647">
        <f t="shared" si="38"/>
        <v>0</v>
      </c>
    </row>
    <row r="34" spans="1:198">
      <c r="A34" s="239">
        <f t="shared" si="23"/>
        <v>21</v>
      </c>
      <c r="B34" s="125" t="str">
        <f t="shared" si="0"/>
        <v>ma</v>
      </c>
      <c r="C34" s="126" t="s">
        <v>203</v>
      </c>
      <c r="D34" s="127">
        <f t="shared" si="1"/>
        <v>38.571428571428569</v>
      </c>
      <c r="E34" s="1060"/>
      <c r="F34" s="1061"/>
      <c r="G34" s="1062"/>
      <c r="H34" s="292"/>
      <c r="I34" s="745"/>
      <c r="J34" s="746" t="str">
        <f t="shared" si="2"/>
        <v/>
      </c>
      <c r="K34" s="368"/>
      <c r="L34" s="368"/>
      <c r="M34" s="368"/>
      <c r="N34" s="311">
        <f t="shared" si="24"/>
        <v>8.11</v>
      </c>
      <c r="O34" s="311">
        <f t="shared" si="25"/>
        <v>4.5</v>
      </c>
      <c r="P34" s="311">
        <f>IF(Stamoplysninger!$H$34="JA",September!DG34,CX34)</f>
        <v>1.9166666666666665</v>
      </c>
      <c r="Q34" s="311">
        <f t="shared" si="26"/>
        <v>1.6933333333333329</v>
      </c>
      <c r="R34" s="751"/>
      <c r="S34" s="315"/>
      <c r="T34" s="316"/>
      <c r="U34" s="316"/>
      <c r="V34" s="422"/>
      <c r="W34" s="422"/>
      <c r="X34" s="621"/>
      <c r="Y34">
        <f t="shared" si="27"/>
        <v>0</v>
      </c>
      <c r="Z34" s="424">
        <f t="shared" si="28"/>
        <v>0</v>
      </c>
      <c r="AA34" s="1">
        <f t="shared" si="3"/>
        <v>0</v>
      </c>
      <c r="AB34" s="1">
        <f t="shared" si="4"/>
        <v>0</v>
      </c>
      <c r="AC34" s="1">
        <f t="shared" si="5"/>
        <v>0</v>
      </c>
      <c r="AD34" s="1">
        <f t="shared" si="6"/>
        <v>0</v>
      </c>
      <c r="AE34" s="1">
        <f t="shared" si="7"/>
        <v>0</v>
      </c>
      <c r="AF34" s="1">
        <f>IF(C34="Orlov",7.4*Stamoplysninger!$E$20,0)</f>
        <v>0</v>
      </c>
      <c r="AG34">
        <f>IF(AND(C34="Skema 1",B34="ma"),Arbejdstidsoversigt!$E$77,"")</f>
        <v>8.11</v>
      </c>
      <c r="AH34" t="str">
        <f>IF(AND(C34="Skema 1",B34="ti"),Arbejdstidsoversigt!$E$78,"")</f>
        <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9"/>
        <v>8.11</v>
      </c>
      <c r="BB34" s="224">
        <f t="shared" si="8"/>
        <v>194.64</v>
      </c>
      <c r="BC34" s="1">
        <f t="shared" si="30"/>
        <v>0</v>
      </c>
      <c r="BD34" s="1">
        <f t="shared" si="9"/>
        <v>0</v>
      </c>
      <c r="BE34" s="1">
        <f t="shared" si="10"/>
        <v>0</v>
      </c>
      <c r="BF34" s="1">
        <f t="shared" si="11"/>
        <v>0</v>
      </c>
      <c r="BG34" s="207">
        <f>IF(AND(C34="Skema 1",B34="ma"),Skemaoplysninger!$E$46,"")</f>
        <v>0.1875</v>
      </c>
      <c r="BH34" s="207" t="str">
        <f>IF(AND(C34="Skema 1",B34="ti"),Skemaoplysninger!$G$46,"")</f>
        <v/>
      </c>
      <c r="BI34" s="207" t="str">
        <f>IF(AND(C34="Skema 1",B34="on"),Skemaoplysninger!$I$46,"")</f>
        <v/>
      </c>
      <c r="BJ34" s="207" t="str">
        <f>IF(AND(C34="Skema 1",B34="to"),Skemaoplysninger!$K$46,"")</f>
        <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1"/>
        <v>4.5</v>
      </c>
      <c r="CB34" s="1">
        <f t="shared" si="12"/>
        <v>0</v>
      </c>
      <c r="CC34" s="1">
        <f t="shared" si="13"/>
        <v>0</v>
      </c>
      <c r="CD34" s="207">
        <f>IF(AND(C34="Skema 1",B34="ma"),Skemaoplysninger!$E$47,"")</f>
        <v>7.9861111111111105E-2</v>
      </c>
      <c r="CE34" s="207" t="str">
        <f>IF(AND(C34="Skema 1",B34="ti"),Skemaoplysninger!$G$47,"")</f>
        <v/>
      </c>
      <c r="CF34" s="207" t="str">
        <f>IF(AND(C34="Skema 1",B34="on"),Skemaoplysninger!$I$47,"")</f>
        <v/>
      </c>
      <c r="CG34" s="207" t="str">
        <f>IF(AND(C34="Skema 1",B34="to"),Skemaoplysninger!$K$47,"")</f>
        <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1.9166666666666665</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2"/>
        <v>0</v>
      </c>
      <c r="DH34" t="str">
        <f t="shared" si="33"/>
        <v/>
      </c>
      <c r="DI34">
        <f t="shared" si="34"/>
        <v>0</v>
      </c>
      <c r="DJ34">
        <f t="shared" si="35"/>
        <v>0</v>
      </c>
      <c r="DK34" t="str">
        <f t="shared" si="14"/>
        <v/>
      </c>
      <c r="DL34" t="str">
        <f t="shared" si="14"/>
        <v/>
      </c>
      <c r="DM34" t="str">
        <f t="shared" si="14"/>
        <v/>
      </c>
      <c r="DN34" t="str">
        <f t="shared" si="39"/>
        <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6"/>
        <v>0</v>
      </c>
      <c r="FZ34" s="634">
        <f t="shared" si="17"/>
        <v>0</v>
      </c>
      <c r="GA34">
        <f t="shared" si="18"/>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9"/>
        <v>0</v>
      </c>
      <c r="GL34">
        <f t="shared" si="20"/>
        <v>0</v>
      </c>
      <c r="GM34">
        <f t="shared" si="21"/>
        <v>0</v>
      </c>
      <c r="GN34" s="713">
        <f t="shared" si="22"/>
        <v>0</v>
      </c>
      <c r="GO34">
        <f t="shared" si="37"/>
        <v>0</v>
      </c>
      <c r="GP34" s="647">
        <f t="shared" si="38"/>
        <v>0</v>
      </c>
    </row>
    <row r="35" spans="1:198">
      <c r="A35" s="239">
        <f t="shared" si="23"/>
        <v>22</v>
      </c>
      <c r="B35" s="125" t="str">
        <f t="shared" si="0"/>
        <v>ti</v>
      </c>
      <c r="C35" s="126" t="s">
        <v>203</v>
      </c>
      <c r="D35" s="127" t="str">
        <f t="shared" si="1"/>
        <v/>
      </c>
      <c r="E35" s="1060"/>
      <c r="F35" s="1061"/>
      <c r="G35" s="1062"/>
      <c r="H35" s="292"/>
      <c r="I35" s="745"/>
      <c r="J35" s="746" t="str">
        <f t="shared" si="2"/>
        <v/>
      </c>
      <c r="K35" s="368"/>
      <c r="L35" s="368"/>
      <c r="M35" s="368"/>
      <c r="N35" s="311">
        <f t="shared" si="24"/>
        <v>8.11</v>
      </c>
      <c r="O35" s="311">
        <f t="shared" si="25"/>
        <v>4.5</v>
      </c>
      <c r="P35" s="311">
        <f>IF(Stamoplysninger!$H$34="JA",September!DG35,CX35)</f>
        <v>1.9166666666666665</v>
      </c>
      <c r="Q35" s="311">
        <f t="shared" si="26"/>
        <v>1.6933333333333329</v>
      </c>
      <c r="R35" s="751"/>
      <c r="S35" s="315"/>
      <c r="T35" s="316"/>
      <c r="U35" s="316"/>
      <c r="V35" s="422"/>
      <c r="W35" s="422"/>
      <c r="X35" s="621"/>
      <c r="Y35">
        <f t="shared" si="27"/>
        <v>0</v>
      </c>
      <c r="Z35" s="424">
        <f t="shared" si="28"/>
        <v>0</v>
      </c>
      <c r="AA35" s="1">
        <f t="shared" si="3"/>
        <v>0</v>
      </c>
      <c r="AB35" s="1">
        <f t="shared" si="4"/>
        <v>0</v>
      </c>
      <c r="AC35" s="1">
        <f t="shared" si="5"/>
        <v>0</v>
      </c>
      <c r="AD35" s="1">
        <f t="shared" si="6"/>
        <v>0</v>
      </c>
      <c r="AE35" s="1">
        <f t="shared" si="7"/>
        <v>0</v>
      </c>
      <c r="AF35" s="1">
        <f>IF(C35="Orlov",7.4*Stamoplysninger!$E$20,0)</f>
        <v>0</v>
      </c>
      <c r="AG35" t="str">
        <f>IF(AND(C35="Skema 1",B35="ma"),Arbejdstidsoversigt!$E$77,"")</f>
        <v/>
      </c>
      <c r="AH35">
        <f>IF(AND(C35="Skema 1",B35="ti"),Arbejdstidsoversigt!$E$78,"")</f>
        <v>8.11</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9"/>
        <v>8.11</v>
      </c>
      <c r="BB35" s="224">
        <f t="shared" si="8"/>
        <v>194.64</v>
      </c>
      <c r="BC35" s="1">
        <f t="shared" si="30"/>
        <v>0</v>
      </c>
      <c r="BD35" s="1">
        <f t="shared" si="9"/>
        <v>0</v>
      </c>
      <c r="BE35" s="1">
        <f t="shared" si="10"/>
        <v>0</v>
      </c>
      <c r="BF35" s="1">
        <f t="shared" si="11"/>
        <v>0</v>
      </c>
      <c r="BG35" s="207" t="str">
        <f>IF(AND(C35="Skema 1",B35="ma"),Skemaoplysninger!$E$46,"")</f>
        <v/>
      </c>
      <c r="BH35" s="207">
        <f>IF(AND(C35="Skema 1",B35="ti"),Skemaoplysninger!$G$46,"")</f>
        <v>0.1875</v>
      </c>
      <c r="BI35" s="207" t="str">
        <f>IF(AND(C35="Skema 1",B35="on"),Skemaoplysninger!$I$46,"")</f>
        <v/>
      </c>
      <c r="BJ35" s="207" t="str">
        <f>IF(AND(C35="Skema 1",B35="to"),Skemaoplysninger!$K$46,"")</f>
        <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1"/>
        <v>4.5</v>
      </c>
      <c r="CB35" s="1">
        <f t="shared" si="12"/>
        <v>0</v>
      </c>
      <c r="CC35" s="1">
        <f t="shared" si="13"/>
        <v>0</v>
      </c>
      <c r="CD35" s="207" t="str">
        <f>IF(AND(C35="Skema 1",B35="ma"),Skemaoplysninger!$E$47,"")</f>
        <v/>
      </c>
      <c r="CE35" s="207">
        <f>IF(AND(C35="Skema 1",B35="ti"),Skemaoplysninger!$G$47,"")</f>
        <v>7.9861111111111105E-2</v>
      </c>
      <c r="CF35" s="207" t="str">
        <f>IF(AND(C35="Skema 1",B35="on"),Skemaoplysninger!$I$47,"")</f>
        <v/>
      </c>
      <c r="CG35" s="207" t="str">
        <f>IF(AND(C35="Skema 1",B35="to"),Skemaoplysninger!$K$47,"")</f>
        <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1.9166666666666665</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2"/>
        <v>0</v>
      </c>
      <c r="DH35" t="str">
        <f t="shared" si="33"/>
        <v/>
      </c>
      <c r="DI35">
        <f t="shared" si="34"/>
        <v>0</v>
      </c>
      <c r="DJ35">
        <f t="shared" si="35"/>
        <v>0</v>
      </c>
      <c r="DK35" t="str">
        <f t="shared" si="14"/>
        <v/>
      </c>
      <c r="DL35" t="str">
        <f t="shared" si="14"/>
        <v/>
      </c>
      <c r="DM35" t="str">
        <f t="shared" si="14"/>
        <v/>
      </c>
      <c r="DN35" t="str">
        <f t="shared" si="39"/>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6"/>
        <v>0</v>
      </c>
      <c r="FZ35" s="634">
        <f t="shared" si="17"/>
        <v>0</v>
      </c>
      <c r="GA35">
        <f t="shared" si="18"/>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9"/>
        <v>0</v>
      </c>
      <c r="GL35">
        <f t="shared" si="20"/>
        <v>0</v>
      </c>
      <c r="GM35">
        <f t="shared" si="21"/>
        <v>0</v>
      </c>
      <c r="GN35" s="713">
        <f t="shared" si="22"/>
        <v>0</v>
      </c>
      <c r="GO35">
        <f t="shared" si="37"/>
        <v>0</v>
      </c>
      <c r="GP35" s="647">
        <f t="shared" si="38"/>
        <v>0</v>
      </c>
    </row>
    <row r="36" spans="1:198">
      <c r="A36" s="239">
        <f t="shared" si="23"/>
        <v>23</v>
      </c>
      <c r="B36" s="125" t="str">
        <f t="shared" si="0"/>
        <v>on</v>
      </c>
      <c r="C36" s="126" t="s">
        <v>203</v>
      </c>
      <c r="D36" s="127" t="str">
        <f t="shared" si="1"/>
        <v/>
      </c>
      <c r="E36" s="1060"/>
      <c r="F36" s="1061"/>
      <c r="G36" s="1062"/>
      <c r="H36" s="292"/>
      <c r="I36" s="745"/>
      <c r="J36" s="746" t="str">
        <f t="shared" si="2"/>
        <v/>
      </c>
      <c r="K36" s="368"/>
      <c r="L36" s="368"/>
      <c r="M36" s="368"/>
      <c r="N36" s="311">
        <f t="shared" si="24"/>
        <v>8.11</v>
      </c>
      <c r="O36" s="311">
        <f t="shared" si="25"/>
        <v>2.75</v>
      </c>
      <c r="P36" s="311">
        <f>IF(Stamoplysninger!$H$34="JA",September!DG36,CX36)</f>
        <v>1.25</v>
      </c>
      <c r="Q36" s="311">
        <f t="shared" si="26"/>
        <v>4.1099999999999994</v>
      </c>
      <c r="R36" s="751"/>
      <c r="S36" s="315"/>
      <c r="T36" s="316"/>
      <c r="U36" s="316"/>
      <c r="V36" s="422"/>
      <c r="W36" s="422"/>
      <c r="X36" s="621"/>
      <c r="Y36">
        <f t="shared" si="27"/>
        <v>0</v>
      </c>
      <c r="Z36" s="424">
        <f t="shared" si="28"/>
        <v>0</v>
      </c>
      <c r="AA36" s="1">
        <f t="shared" si="3"/>
        <v>0</v>
      </c>
      <c r="AB36" s="1">
        <f t="shared" si="4"/>
        <v>0</v>
      </c>
      <c r="AC36" s="1">
        <f t="shared" si="5"/>
        <v>0</v>
      </c>
      <c r="AD36" s="1">
        <f t="shared" si="6"/>
        <v>0</v>
      </c>
      <c r="AE36" s="1">
        <f t="shared" si="7"/>
        <v>0</v>
      </c>
      <c r="AF36" s="1">
        <f>IF(C36="Orlov",7.4*Stamoplysninger!$E$20,0)</f>
        <v>0</v>
      </c>
      <c r="AG36" t="str">
        <f>IF(AND(C36="Skema 1",B36="ma"),Arbejdstidsoversigt!$E$77,"")</f>
        <v/>
      </c>
      <c r="AH36" t="str">
        <f>IF(AND(C36="Skema 1",B36="ti"),Arbejdstidsoversigt!$E$78,"")</f>
        <v/>
      </c>
      <c r="AI36">
        <f>IF(AND(C36="Skema 1",B36="on"),Arbejdstidsoversigt!$E$79,"")</f>
        <v>8.11</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9"/>
        <v>8.11</v>
      </c>
      <c r="BB36" s="224">
        <f t="shared" si="8"/>
        <v>194.64</v>
      </c>
      <c r="BC36" s="1">
        <f t="shared" si="30"/>
        <v>0</v>
      </c>
      <c r="BD36" s="1">
        <f t="shared" si="9"/>
        <v>0</v>
      </c>
      <c r="BE36" s="1">
        <f t="shared" si="10"/>
        <v>0</v>
      </c>
      <c r="BF36" s="1">
        <f t="shared" si="11"/>
        <v>0</v>
      </c>
      <c r="BG36" s="207" t="str">
        <f>IF(AND(C36="Skema 1",B36="ma"),Skemaoplysninger!$E$46,"")</f>
        <v/>
      </c>
      <c r="BH36" s="207" t="str">
        <f>IF(AND(C36="Skema 1",B36="ti"),Skemaoplysninger!$G$46,"")</f>
        <v/>
      </c>
      <c r="BI36" s="207">
        <f>IF(AND(C36="Skema 1",B36="on"),Skemaoplysninger!$I$46,"")</f>
        <v>0.11458333333333333</v>
      </c>
      <c r="BJ36" s="207" t="str">
        <f>IF(AND(C36="Skema 1",B36="to"),Skemaoplysninger!$K$46,"")</f>
        <v/>
      </c>
      <c r="BK36" s="207" t="str">
        <f>IF(AND(C36="Skema 1",B36="fr"),Skemaoplysninger!$M$46,"")</f>
        <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1"/>
        <v>2.75</v>
      </c>
      <c r="CB36" s="1">
        <f t="shared" si="12"/>
        <v>0</v>
      </c>
      <c r="CC36" s="1">
        <f t="shared" si="13"/>
        <v>0</v>
      </c>
      <c r="CD36" s="207" t="str">
        <f>IF(AND(C36="Skema 1",B36="ma"),Skemaoplysninger!$E$47,"")</f>
        <v/>
      </c>
      <c r="CE36" s="207" t="str">
        <f>IF(AND(C36="Skema 1",B36="ti"),Skemaoplysninger!$G$47,"")</f>
        <v/>
      </c>
      <c r="CF36" s="207">
        <f>IF(AND(C36="Skema 1",B36="on"),Skemaoplysninger!$I$47,"")</f>
        <v>5.2083333333333329E-2</v>
      </c>
      <c r="CG36" s="207" t="str">
        <f>IF(AND(C36="Skema 1",B36="to"),Skemaoplysninger!$K$47,"")</f>
        <v/>
      </c>
      <c r="CH36" s="207" t="str">
        <f>IF(AND(C36="Skema 1",B36="fr"),Skemaoplysninger!$M$47,"")</f>
        <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1.25</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2"/>
        <v>0</v>
      </c>
      <c r="DH36" t="str">
        <f t="shared" si="33"/>
        <v/>
      </c>
      <c r="DI36">
        <f t="shared" si="34"/>
        <v>0</v>
      </c>
      <c r="DJ36">
        <f t="shared" si="35"/>
        <v>0</v>
      </c>
      <c r="DK36" t="str">
        <f t="shared" si="14"/>
        <v/>
      </c>
      <c r="DL36" t="str">
        <f t="shared" si="14"/>
        <v/>
      </c>
      <c r="DM36" t="str">
        <f t="shared" si="14"/>
        <v/>
      </c>
      <c r="DN36" t="str">
        <f t="shared" si="39"/>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6"/>
        <v>0</v>
      </c>
      <c r="FZ36" s="634">
        <f t="shared" si="17"/>
        <v>0</v>
      </c>
      <c r="GA36">
        <f t="shared" si="18"/>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9"/>
        <v>0</v>
      </c>
      <c r="GL36">
        <f t="shared" si="20"/>
        <v>0</v>
      </c>
      <c r="GM36">
        <f t="shared" si="21"/>
        <v>0</v>
      </c>
      <c r="GN36" s="713">
        <f t="shared" si="22"/>
        <v>0</v>
      </c>
      <c r="GO36">
        <f t="shared" si="37"/>
        <v>0</v>
      </c>
      <c r="GP36" s="647">
        <f t="shared" si="38"/>
        <v>0</v>
      </c>
    </row>
    <row r="37" spans="1:198">
      <c r="A37" s="239">
        <f t="shared" si="23"/>
        <v>24</v>
      </c>
      <c r="B37" s="125" t="str">
        <f t="shared" si="0"/>
        <v>to</v>
      </c>
      <c r="C37" s="126" t="s">
        <v>203</v>
      </c>
      <c r="D37" s="127" t="str">
        <f t="shared" si="1"/>
        <v/>
      </c>
      <c r="E37" s="1123"/>
      <c r="F37" s="1124"/>
      <c r="G37" s="1125"/>
      <c r="H37" s="292"/>
      <c r="I37" s="745"/>
      <c r="J37" s="746" t="str">
        <f t="shared" si="2"/>
        <v/>
      </c>
      <c r="K37" s="368"/>
      <c r="L37" s="368"/>
      <c r="M37" s="368"/>
      <c r="N37" s="311">
        <f t="shared" si="24"/>
        <v>9</v>
      </c>
      <c r="O37" s="311">
        <f t="shared" si="25"/>
        <v>3.75</v>
      </c>
      <c r="P37" s="311">
        <f>IF(Stamoplysninger!$H$34="JA",September!DG37,CX37)</f>
        <v>1</v>
      </c>
      <c r="Q37" s="311">
        <f t="shared" si="26"/>
        <v>4.25</v>
      </c>
      <c r="R37" s="751"/>
      <c r="S37" s="315"/>
      <c r="T37" s="316"/>
      <c r="U37" s="316"/>
      <c r="V37" s="422"/>
      <c r="W37" s="422"/>
      <c r="X37" s="621"/>
      <c r="Y37">
        <f t="shared" si="27"/>
        <v>0</v>
      </c>
      <c r="Z37" s="424">
        <f t="shared" si="28"/>
        <v>0</v>
      </c>
      <c r="AA37" s="1">
        <f t="shared" si="3"/>
        <v>0</v>
      </c>
      <c r="AB37" s="1">
        <f t="shared" si="4"/>
        <v>0</v>
      </c>
      <c r="AC37" s="1">
        <f t="shared" si="5"/>
        <v>0</v>
      </c>
      <c r="AD37" s="1">
        <f t="shared" si="6"/>
        <v>0</v>
      </c>
      <c r="AE37" s="1">
        <f t="shared" si="7"/>
        <v>0</v>
      </c>
      <c r="AF37" s="1">
        <f>IF(C37="Orlov",7.4*Stamoplysninger!$E$20,0)</f>
        <v>0</v>
      </c>
      <c r="AG37" t="str">
        <f>IF(AND(C37="Skema 1",B37="ma"),Arbejdstidsoversigt!$E$77,"")</f>
        <v/>
      </c>
      <c r="AH37" t="str">
        <f>IF(AND(C37="Skema 1",B37="ti"),Arbejdstidsoversigt!$E$78,"")</f>
        <v/>
      </c>
      <c r="AI37" t="str">
        <f>IF(AND(C37="Skema 1",B37="on"),Arbejdstidsoversigt!$E$79,"")</f>
        <v/>
      </c>
      <c r="AJ37">
        <f>IF(AND(C37="Skema 1",B37="to"),Arbejdstidsoversigt!$E$80,"")</f>
        <v>9</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9"/>
        <v>9</v>
      </c>
      <c r="BB37" s="224">
        <f t="shared" si="8"/>
        <v>216</v>
      </c>
      <c r="BC37" s="1">
        <f t="shared" si="30"/>
        <v>0</v>
      </c>
      <c r="BD37" s="1">
        <f t="shared" si="9"/>
        <v>0</v>
      </c>
      <c r="BE37" s="1">
        <f t="shared" si="10"/>
        <v>0</v>
      </c>
      <c r="BF37" s="1">
        <f t="shared" si="11"/>
        <v>0</v>
      </c>
      <c r="BG37" s="207" t="str">
        <f>IF(AND(C37="Skema 1",B37="ma"),Skemaoplysninger!$E$46,"")</f>
        <v/>
      </c>
      <c r="BH37" s="207" t="str">
        <f>IF(AND(C37="Skema 1",B37="ti"),Skemaoplysninger!$G$46,"")</f>
        <v/>
      </c>
      <c r="BI37" s="207" t="str">
        <f>IF(AND(C37="Skema 1",B37="on"),Skemaoplysninger!$I$46,"")</f>
        <v/>
      </c>
      <c r="BJ37" s="207">
        <f>IF(AND(C37="Skema 1",B37="to"),Skemaoplysninger!$K$46,"")</f>
        <v>0.15625</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1"/>
        <v>3.75</v>
      </c>
      <c r="CB37" s="1">
        <f t="shared" si="12"/>
        <v>0</v>
      </c>
      <c r="CC37" s="1">
        <f t="shared" si="13"/>
        <v>0</v>
      </c>
      <c r="CD37" s="207" t="str">
        <f>IF(AND(C37="Skema 1",B37="ma"),Skemaoplysninger!$E$47,"")</f>
        <v/>
      </c>
      <c r="CE37" s="207" t="str">
        <f>IF(AND(C37="Skema 1",B37="ti"),Skemaoplysninger!$G$47,"")</f>
        <v/>
      </c>
      <c r="CF37" s="207" t="str">
        <f>IF(AND(C37="Skema 1",B37="on"),Skemaoplysninger!$I$47,"")</f>
        <v/>
      </c>
      <c r="CG37" s="207">
        <f>IF(AND(C37="Skema 1",B37="to"),Skemaoplysninger!$K$47,"")</f>
        <v>4.1666666666666664E-2</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1</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2"/>
        <v>0</v>
      </c>
      <c r="DH37" t="str">
        <f t="shared" si="33"/>
        <v/>
      </c>
      <c r="DI37">
        <f t="shared" si="34"/>
        <v>0</v>
      </c>
      <c r="DJ37">
        <f t="shared" si="35"/>
        <v>0</v>
      </c>
      <c r="DK37" t="str">
        <f t="shared" si="14"/>
        <v/>
      </c>
      <c r="DL37" t="str">
        <f t="shared" si="14"/>
        <v/>
      </c>
      <c r="DM37" t="str">
        <f t="shared" si="14"/>
        <v/>
      </c>
      <c r="DN37" t="str">
        <f t="shared" si="39"/>
        <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6"/>
        <v>0</v>
      </c>
      <c r="FZ37" s="634">
        <f t="shared" si="17"/>
        <v>0</v>
      </c>
      <c r="GA37">
        <f t="shared" si="18"/>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9"/>
        <v>0</v>
      </c>
      <c r="GL37">
        <f t="shared" si="20"/>
        <v>0</v>
      </c>
      <c r="GM37">
        <f t="shared" si="21"/>
        <v>0</v>
      </c>
      <c r="GN37" s="713">
        <f t="shared" si="22"/>
        <v>0</v>
      </c>
      <c r="GO37">
        <f t="shared" si="37"/>
        <v>0</v>
      </c>
      <c r="GP37" s="647">
        <f t="shared" si="38"/>
        <v>0</v>
      </c>
    </row>
    <row r="38" spans="1:198">
      <c r="A38" s="239">
        <f t="shared" si="23"/>
        <v>25</v>
      </c>
      <c r="B38" s="125" t="str">
        <f t="shared" si="0"/>
        <v>fr</v>
      </c>
      <c r="C38" s="126" t="s">
        <v>203</v>
      </c>
      <c r="D38" s="127" t="str">
        <f t="shared" si="1"/>
        <v/>
      </c>
      <c r="E38" s="1060"/>
      <c r="F38" s="1061"/>
      <c r="G38" s="1062"/>
      <c r="H38" s="292"/>
      <c r="I38" s="745"/>
      <c r="J38" s="746" t="str">
        <f t="shared" si="2"/>
        <v/>
      </c>
      <c r="K38" s="368"/>
      <c r="L38" s="368"/>
      <c r="M38" s="368"/>
      <c r="N38" s="311">
        <f t="shared" si="24"/>
        <v>7.1</v>
      </c>
      <c r="O38" s="311">
        <f t="shared" si="25"/>
        <v>3.75</v>
      </c>
      <c r="P38" s="311">
        <f>IF(Stamoplysninger!$H$34="JA",September!DG38,CX38)</f>
        <v>1</v>
      </c>
      <c r="Q38" s="311">
        <f t="shared" si="26"/>
        <v>2.3499999999999996</v>
      </c>
      <c r="R38" s="751"/>
      <c r="S38" s="315"/>
      <c r="T38" s="316"/>
      <c r="U38" s="316"/>
      <c r="V38" s="422"/>
      <c r="W38" s="422"/>
      <c r="X38" s="621"/>
      <c r="Y38">
        <f t="shared" si="27"/>
        <v>0</v>
      </c>
      <c r="Z38" s="424">
        <f t="shared" si="28"/>
        <v>0</v>
      </c>
      <c r="AA38" s="1">
        <f t="shared" si="3"/>
        <v>0</v>
      </c>
      <c r="AB38" s="1">
        <f t="shared" si="4"/>
        <v>0</v>
      </c>
      <c r="AC38" s="1">
        <f t="shared" si="5"/>
        <v>0</v>
      </c>
      <c r="AD38" s="1">
        <f t="shared" si="6"/>
        <v>0</v>
      </c>
      <c r="AE38" s="1">
        <f t="shared" si="7"/>
        <v>0</v>
      </c>
      <c r="AF38" s="1">
        <f>IF(C38="Orlov",7.4*Stamoplysninger!$E$20,0)</f>
        <v>0</v>
      </c>
      <c r="AG38" t="str">
        <f>IF(AND(C38="Skema 1",B38="ma"),Arbejdstidsoversigt!$E$77,"")</f>
        <v/>
      </c>
      <c r="AH38" t="str">
        <f>IF(AND(C38="Skema 1",B38="ti"),Arbejdstidsoversigt!$E$78,"")</f>
        <v/>
      </c>
      <c r="AI38" t="str">
        <f>IF(AND(C38="Skema 1",B38="on"),Arbejdstidsoversigt!$E$79,"")</f>
        <v/>
      </c>
      <c r="AJ38" t="str">
        <f>IF(AND(C38="Skema 1",B38="to"),Arbejdstidsoversigt!$E$80,"")</f>
        <v/>
      </c>
      <c r="AK38">
        <f>IF(AND(C38="Skema 1",B38="fr"),Arbejdstidsoversigt!$E$81,"")</f>
        <v>7.1</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9"/>
        <v>7.1</v>
      </c>
      <c r="BB38" s="224">
        <f t="shared" si="8"/>
        <v>170.39999999999998</v>
      </c>
      <c r="BC38" s="1">
        <f t="shared" si="30"/>
        <v>0</v>
      </c>
      <c r="BD38" s="1">
        <f t="shared" si="9"/>
        <v>0</v>
      </c>
      <c r="BE38" s="1">
        <f t="shared" si="10"/>
        <v>0</v>
      </c>
      <c r="BF38" s="1">
        <f t="shared" si="11"/>
        <v>0</v>
      </c>
      <c r="BG38" s="207" t="str">
        <f>IF(AND(C38="Skema 1",B38="ma"),Skemaoplysninger!$E$46,"")</f>
        <v/>
      </c>
      <c r="BH38" s="207" t="str">
        <f>IF(AND(C38="Skema 1",B38="ti"),Skemaoplysninger!$G$46,"")</f>
        <v/>
      </c>
      <c r="BI38" s="207" t="str">
        <f>IF(AND(C38="Skema 1",B38="on"),Skemaoplysninger!$I$46,"")</f>
        <v/>
      </c>
      <c r="BJ38" s="207" t="str">
        <f>IF(AND(C38="Skema 1",B38="to"),Skemaoplysninger!$K$46,"")</f>
        <v/>
      </c>
      <c r="BK38" s="207">
        <f>IF(AND(C38="Skema 1",B38="fr"),Skemaoplysninger!$M$46,"")</f>
        <v>0.15625</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1"/>
        <v>3.75</v>
      </c>
      <c r="CB38" s="1">
        <f t="shared" si="12"/>
        <v>0</v>
      </c>
      <c r="CC38" s="1">
        <f t="shared" si="13"/>
        <v>0</v>
      </c>
      <c r="CD38" s="207" t="str">
        <f>IF(AND(C38="Skema 1",B38="ma"),Skemaoplysninger!$E$47,"")</f>
        <v/>
      </c>
      <c r="CE38" s="207" t="str">
        <f>IF(AND(C38="Skema 1",B38="ti"),Skemaoplysninger!$G$47,"")</f>
        <v/>
      </c>
      <c r="CF38" s="207" t="str">
        <f>IF(AND(C38="Skema 1",B38="on"),Skemaoplysninger!$I$47,"")</f>
        <v/>
      </c>
      <c r="CG38" s="207" t="str">
        <f>IF(AND(C38="Skema 1",B38="to"),Skemaoplysninger!$K$47,"")</f>
        <v/>
      </c>
      <c r="CH38" s="207">
        <f>IF(AND(C38="Skema 1",B38="fr"),Skemaoplysninger!$M$47,"")</f>
        <v>4.1666666666666664E-2</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1</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2"/>
        <v>0</v>
      </c>
      <c r="DH38" t="str">
        <f t="shared" si="33"/>
        <v/>
      </c>
      <c r="DI38">
        <f t="shared" si="34"/>
        <v>0</v>
      </c>
      <c r="DJ38">
        <f t="shared" si="35"/>
        <v>0</v>
      </c>
      <c r="DK38" t="str">
        <f t="shared" si="14"/>
        <v/>
      </c>
      <c r="DL38" t="str">
        <f t="shared" si="14"/>
        <v/>
      </c>
      <c r="DM38" t="str">
        <f t="shared" si="14"/>
        <v/>
      </c>
      <c r="DN38" t="str">
        <f t="shared" si="39"/>
        <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6"/>
        <v>0</v>
      </c>
      <c r="FZ38" s="634">
        <f t="shared" si="17"/>
        <v>0</v>
      </c>
      <c r="GA38">
        <f t="shared" si="18"/>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9"/>
        <v>0</v>
      </c>
      <c r="GL38">
        <f t="shared" si="20"/>
        <v>0</v>
      </c>
      <c r="GM38">
        <f t="shared" si="21"/>
        <v>0</v>
      </c>
      <c r="GN38" s="713">
        <f t="shared" si="22"/>
        <v>0</v>
      </c>
      <c r="GO38">
        <f t="shared" si="37"/>
        <v>0</v>
      </c>
      <c r="GP38" s="647">
        <f t="shared" si="38"/>
        <v>0</v>
      </c>
    </row>
    <row r="39" spans="1:198">
      <c r="A39" s="239">
        <f t="shared" si="23"/>
        <v>26</v>
      </c>
      <c r="B39" s="125" t="str">
        <f t="shared" si="0"/>
        <v>lø</v>
      </c>
      <c r="C39" s="126" t="s">
        <v>118</v>
      </c>
      <c r="D39" s="127" t="str">
        <f t="shared" si="1"/>
        <v/>
      </c>
      <c r="E39" s="1060"/>
      <c r="F39" s="1061"/>
      <c r="G39" s="1062"/>
      <c r="H39" s="292"/>
      <c r="I39" s="746" t="str">
        <f>IF(GO39=1,"X","")</f>
        <v/>
      </c>
      <c r="J39" s="746" t="str">
        <f t="shared" si="2"/>
        <v/>
      </c>
      <c r="K39" s="368"/>
      <c r="L39" s="368"/>
      <c r="M39" s="368"/>
      <c r="N39" s="311">
        <f t="shared" si="24"/>
        <v>0</v>
      </c>
      <c r="O39" s="311">
        <f t="shared" si="25"/>
        <v>0</v>
      </c>
      <c r="P39" s="311">
        <f>IF(Stamoplysninger!$H$34="JA",September!DG39,CX39)</f>
        <v>0</v>
      </c>
      <c r="Q39" s="311">
        <f t="shared" si="26"/>
        <v>0</v>
      </c>
      <c r="R39" s="751"/>
      <c r="S39" s="315"/>
      <c r="T39" s="316"/>
      <c r="U39" s="316"/>
      <c r="V39" s="422"/>
      <c r="W39" s="422"/>
      <c r="X39" s="621"/>
      <c r="Y39">
        <f t="shared" si="27"/>
        <v>0</v>
      </c>
      <c r="Z39" s="424">
        <f t="shared" si="28"/>
        <v>0</v>
      </c>
      <c r="AA39" s="1">
        <f t="shared" si="3"/>
        <v>0</v>
      </c>
      <c r="AB39" s="1">
        <f t="shared" si="4"/>
        <v>0</v>
      </c>
      <c r="AC39" s="1">
        <f t="shared" si="5"/>
        <v>0</v>
      </c>
      <c r="AD39" s="1">
        <f t="shared" si="6"/>
        <v>0</v>
      </c>
      <c r="AE39" s="1">
        <f t="shared" si="7"/>
        <v>0</v>
      </c>
      <c r="AF39" s="1">
        <f>IF(C39="Orlov",7.4*Stamoplysninger!$E$20,0)</f>
        <v>0</v>
      </c>
      <c r="AG39" t="str">
        <f>IF(AND(C39="Skema 1",B39="ma"),Arbejdstidsoversigt!$E$77,"")</f>
        <v/>
      </c>
      <c r="AH39" t="str">
        <f>IF(AND(C39="Skema 1",B39="ti"),Arbejdstidsoversigt!$E$78,"")</f>
        <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9"/>
        <v>0</v>
      </c>
      <c r="BB39" s="224">
        <f t="shared" si="8"/>
        <v>0</v>
      </c>
      <c r="BC39" s="1">
        <f t="shared" si="30"/>
        <v>0</v>
      </c>
      <c r="BD39" s="1">
        <f t="shared" si="9"/>
        <v>0</v>
      </c>
      <c r="BE39" s="1">
        <f t="shared" si="10"/>
        <v>0</v>
      </c>
      <c r="BF39" s="1">
        <f t="shared" si="11"/>
        <v>0</v>
      </c>
      <c r="BG39" s="207" t="str">
        <f>IF(AND(C39="Skema 1",B39="ma"),Skemaoplysninger!$E$46,"")</f>
        <v/>
      </c>
      <c r="BH39" s="207" t="str">
        <f>IF(AND(C39="Skema 1",B39="ti"),Skemaoplysninger!$G$46,"")</f>
        <v/>
      </c>
      <c r="BI39" s="207" t="str">
        <f>IF(AND(C39="Skema 1",B39="on"),Skemaoplysninger!$I$46,"")</f>
        <v/>
      </c>
      <c r="BJ39" s="207" t="str">
        <f>IF(AND(C39="Skema 1",B39="to"),Skemaoplysninger!$K$46,"")</f>
        <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1"/>
        <v>0</v>
      </c>
      <c r="CB39" s="1">
        <f t="shared" si="12"/>
        <v>0</v>
      </c>
      <c r="CC39" s="1">
        <f t="shared" si="13"/>
        <v>0</v>
      </c>
      <c r="CD39" s="207" t="str">
        <f>IF(AND(C39="Skema 1",B39="ma"),Skemaoplysninger!$E$47,"")</f>
        <v/>
      </c>
      <c r="CE39" s="207" t="str">
        <f>IF(AND(C39="Skema 1",B39="ti"),Skemaoplysninger!$G$47,"")</f>
        <v/>
      </c>
      <c r="CF39" s="207" t="str">
        <f>IF(AND(C39="Skema 1",B39="on"),Skemaoplysninger!$I$47,"")</f>
        <v/>
      </c>
      <c r="CG39" s="207" t="str">
        <f>IF(AND(C39="Skema 1",B39="to"),Skemaoplysninger!$K$47,"")</f>
        <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2"/>
        <v>0</v>
      </c>
      <c r="DH39" t="str">
        <f t="shared" si="33"/>
        <v/>
      </c>
      <c r="DI39">
        <f t="shared" si="34"/>
        <v>0</v>
      </c>
      <c r="DJ39">
        <f t="shared" si="35"/>
        <v>0</v>
      </c>
      <c r="DK39" t="str">
        <f t="shared" si="14"/>
        <v/>
      </c>
      <c r="DL39" t="str">
        <f t="shared" si="14"/>
        <v/>
      </c>
      <c r="DM39" t="str">
        <f t="shared" si="14"/>
        <v/>
      </c>
      <c r="DN39" t="str">
        <f t="shared" si="39"/>
        <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6"/>
        <v>0</v>
      </c>
      <c r="FZ39" s="634">
        <f t="shared" si="17"/>
        <v>0</v>
      </c>
      <c r="GA39">
        <f t="shared" si="18"/>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9"/>
        <v>0</v>
      </c>
      <c r="GL39">
        <f t="shared" si="20"/>
        <v>0</v>
      </c>
      <c r="GM39">
        <f t="shared" si="21"/>
        <v>0</v>
      </c>
      <c r="GN39" s="713">
        <f t="shared" si="22"/>
        <v>0</v>
      </c>
      <c r="GO39">
        <f t="shared" si="37"/>
        <v>0</v>
      </c>
      <c r="GP39" s="647">
        <f t="shared" si="38"/>
        <v>0</v>
      </c>
    </row>
    <row r="40" spans="1:198">
      <c r="A40" s="239">
        <f t="shared" si="23"/>
        <v>27</v>
      </c>
      <c r="B40" s="125" t="str">
        <f t="shared" si="0"/>
        <v>sø</v>
      </c>
      <c r="C40" s="126" t="s">
        <v>118</v>
      </c>
      <c r="D40" s="127" t="str">
        <f t="shared" si="1"/>
        <v/>
      </c>
      <c r="E40" s="1060"/>
      <c r="F40" s="1061"/>
      <c r="G40" s="1062"/>
      <c r="H40" s="292"/>
      <c r="I40" s="746" t="str">
        <f>IF(GO40=1,"X","")</f>
        <v/>
      </c>
      <c r="J40" s="746" t="str">
        <f t="shared" si="2"/>
        <v/>
      </c>
      <c r="K40" s="368"/>
      <c r="L40" s="368"/>
      <c r="M40" s="368"/>
      <c r="N40" s="311">
        <f t="shared" si="24"/>
        <v>0</v>
      </c>
      <c r="O40" s="311">
        <f t="shared" si="25"/>
        <v>0</v>
      </c>
      <c r="P40" s="311">
        <f>IF(Stamoplysninger!$H$34="JA",September!DG40,CX40)</f>
        <v>0</v>
      </c>
      <c r="Q40" s="311">
        <f t="shared" si="26"/>
        <v>0</v>
      </c>
      <c r="R40" s="751"/>
      <c r="S40" s="315"/>
      <c r="T40" s="316"/>
      <c r="U40" s="316"/>
      <c r="V40" s="422"/>
      <c r="W40" s="422"/>
      <c r="X40" s="621"/>
      <c r="Y40">
        <f t="shared" si="27"/>
        <v>0</v>
      </c>
      <c r="Z40" s="424">
        <f t="shared" si="28"/>
        <v>0</v>
      </c>
      <c r="AA40" s="1">
        <f t="shared" si="3"/>
        <v>0</v>
      </c>
      <c r="AB40" s="1">
        <f t="shared" si="4"/>
        <v>0</v>
      </c>
      <c r="AC40" s="1">
        <f t="shared" si="5"/>
        <v>0</v>
      </c>
      <c r="AD40" s="1">
        <f t="shared" si="6"/>
        <v>0</v>
      </c>
      <c r="AE40" s="1">
        <f t="shared" si="7"/>
        <v>0</v>
      </c>
      <c r="AF40" s="1">
        <f>IF(C40="Orlov",7.4*Stamoplysninger!$E$20,0)</f>
        <v>0</v>
      </c>
      <c r="AG40" t="str">
        <f>IF(AND(C40="Skema 1",B40="ma"),Arbejdstidsoversigt!$E$77,"")</f>
        <v/>
      </c>
      <c r="AH40" t="str">
        <f>IF(AND(C40="Skema 1",B40="ti"),Arbejdstidsoversigt!$E$78,"")</f>
        <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9"/>
        <v>0</v>
      </c>
      <c r="BB40" s="224">
        <f t="shared" si="8"/>
        <v>0</v>
      </c>
      <c r="BC40" s="1">
        <f t="shared" si="30"/>
        <v>0</v>
      </c>
      <c r="BD40" s="1">
        <f t="shared" si="9"/>
        <v>0</v>
      </c>
      <c r="BE40" s="1">
        <f t="shared" si="10"/>
        <v>0</v>
      </c>
      <c r="BF40" s="1">
        <f t="shared" si="11"/>
        <v>0</v>
      </c>
      <c r="BG40" s="207" t="str">
        <f>IF(AND(C40="Skema 1",B40="ma"),Skemaoplysninger!$E$46,"")</f>
        <v/>
      </c>
      <c r="BH40" s="207" t="str">
        <f>IF(AND(C40="Skema 1",B40="ti"),Skemaoplysninger!$G$46,"")</f>
        <v/>
      </c>
      <c r="BI40" s="207" t="str">
        <f>IF(AND(C40="Skema 1",B40="on"),Skemaoplysninger!$I$46,"")</f>
        <v/>
      </c>
      <c r="BJ40" s="207" t="str">
        <f>IF(AND(C40="Skema 1",B40="to"),Skemaoplysninger!$K$46,"")</f>
        <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1"/>
        <v>0</v>
      </c>
      <c r="CB40" s="1">
        <f t="shared" si="12"/>
        <v>0</v>
      </c>
      <c r="CC40" s="1">
        <f t="shared" si="13"/>
        <v>0</v>
      </c>
      <c r="CD40" s="207" t="str">
        <f>IF(AND(C40="Skema 1",B40="ma"),Skemaoplysninger!$E$47,"")</f>
        <v/>
      </c>
      <c r="CE40" s="207" t="str">
        <f>IF(AND(C40="Skema 1",B40="ti"),Skemaoplysninger!$G$47,"")</f>
        <v/>
      </c>
      <c r="CF40" s="207" t="str">
        <f>IF(AND(C40="Skema 1",B40="on"),Skemaoplysninger!$I$47,"")</f>
        <v/>
      </c>
      <c r="CG40" s="207" t="str">
        <f>IF(AND(C40="Skema 1",B40="to"),Skemaoplysninger!$K$47,"")</f>
        <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2"/>
        <v>0</v>
      </c>
      <c r="DH40" t="str">
        <f t="shared" si="33"/>
        <v/>
      </c>
      <c r="DI40">
        <f t="shared" si="34"/>
        <v>0</v>
      </c>
      <c r="DJ40">
        <f t="shared" si="35"/>
        <v>0</v>
      </c>
      <c r="DK40" t="str">
        <f t="shared" si="14"/>
        <v/>
      </c>
      <c r="DL40" t="str">
        <f t="shared" si="14"/>
        <v/>
      </c>
      <c r="DM40" t="str">
        <f t="shared" si="14"/>
        <v/>
      </c>
      <c r="DN40" t="str">
        <f t="shared" si="39"/>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6"/>
        <v>0</v>
      </c>
      <c r="FZ40" s="634">
        <f t="shared" si="17"/>
        <v>0</v>
      </c>
      <c r="GA40">
        <f t="shared" si="18"/>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9"/>
        <v>0</v>
      </c>
      <c r="GL40">
        <f t="shared" si="20"/>
        <v>0</v>
      </c>
      <c r="GM40">
        <f t="shared" si="21"/>
        <v>0</v>
      </c>
      <c r="GN40" s="713">
        <f t="shared" si="22"/>
        <v>0</v>
      </c>
      <c r="GO40">
        <f t="shared" si="37"/>
        <v>0</v>
      </c>
      <c r="GP40" s="647">
        <f t="shared" si="38"/>
        <v>0</v>
      </c>
    </row>
    <row r="41" spans="1:198">
      <c r="A41" s="239">
        <f t="shared" si="23"/>
        <v>28</v>
      </c>
      <c r="B41" s="125" t="str">
        <f t="shared" si="0"/>
        <v>ma</v>
      </c>
      <c r="C41" s="126" t="s">
        <v>203</v>
      </c>
      <c r="D41" s="127">
        <f t="shared" si="1"/>
        <v>39.571428571428569</v>
      </c>
      <c r="E41" s="1060"/>
      <c r="F41" s="1061"/>
      <c r="G41" s="1062"/>
      <c r="H41" s="292"/>
      <c r="I41" s="745"/>
      <c r="J41" s="746" t="str">
        <f t="shared" si="2"/>
        <v/>
      </c>
      <c r="K41" s="368"/>
      <c r="L41" s="368"/>
      <c r="M41" s="368"/>
      <c r="N41" s="311">
        <f t="shared" si="24"/>
        <v>8.11</v>
      </c>
      <c r="O41" s="311">
        <f t="shared" si="25"/>
        <v>4.5</v>
      </c>
      <c r="P41" s="311">
        <f>IF(Stamoplysninger!$H$34="JA",September!DG41,CX41)</f>
        <v>1.9166666666666665</v>
      </c>
      <c r="Q41" s="311">
        <f t="shared" si="26"/>
        <v>1.6933333333333329</v>
      </c>
      <c r="R41" s="751"/>
      <c r="S41" s="315"/>
      <c r="T41" s="316"/>
      <c r="U41" s="316"/>
      <c r="V41" s="422"/>
      <c r="W41" s="422"/>
      <c r="X41" s="621"/>
      <c r="Y41">
        <f t="shared" si="27"/>
        <v>0</v>
      </c>
      <c r="Z41" s="424">
        <f t="shared" si="28"/>
        <v>0</v>
      </c>
      <c r="AA41" s="1">
        <f t="shared" si="3"/>
        <v>0</v>
      </c>
      <c r="AB41" s="1">
        <f t="shared" si="4"/>
        <v>0</v>
      </c>
      <c r="AC41" s="1">
        <f t="shared" si="5"/>
        <v>0</v>
      </c>
      <c r="AD41" s="1">
        <f t="shared" si="6"/>
        <v>0</v>
      </c>
      <c r="AE41" s="1">
        <f t="shared" si="7"/>
        <v>0</v>
      </c>
      <c r="AF41" s="1">
        <f>IF(C41="Orlov",7.4*Stamoplysninger!$E$20,0)</f>
        <v>0</v>
      </c>
      <c r="AG41">
        <f>IF(AND(C41="Skema 1",B41="ma"),Arbejdstidsoversigt!$E$77,"")</f>
        <v>8.11</v>
      </c>
      <c r="AH41" t="str">
        <f>IF(AND(C41="Skema 1",B41="ti"),Arbejdstidsoversigt!$E$78,"")</f>
        <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9"/>
        <v>8.11</v>
      </c>
      <c r="BB41" s="224">
        <f t="shared" si="8"/>
        <v>194.64</v>
      </c>
      <c r="BC41" s="1">
        <f t="shared" si="30"/>
        <v>0</v>
      </c>
      <c r="BD41" s="1">
        <f t="shared" si="9"/>
        <v>0</v>
      </c>
      <c r="BE41" s="1">
        <f t="shared" si="10"/>
        <v>0</v>
      </c>
      <c r="BF41" s="1">
        <f t="shared" si="11"/>
        <v>0</v>
      </c>
      <c r="BG41" s="207">
        <f>IF(AND(C41="Skema 1",B41="ma"),Skemaoplysninger!$E$46,"")</f>
        <v>0.1875</v>
      </c>
      <c r="BH41" s="207" t="str">
        <f>IF(AND(C41="Skema 1",B41="ti"),Skemaoplysninger!$G$46,"")</f>
        <v/>
      </c>
      <c r="BI41" s="207" t="str">
        <f>IF(AND(C41="Skema 1",B41="on"),Skemaoplysninger!$I$46,"")</f>
        <v/>
      </c>
      <c r="BJ41" s="207" t="str">
        <f>IF(AND(C41="Skema 1",B41="to"),Skemaoplysninger!$K$46,"")</f>
        <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1"/>
        <v>4.5</v>
      </c>
      <c r="CB41" s="1">
        <f t="shared" si="12"/>
        <v>0</v>
      </c>
      <c r="CC41" s="1">
        <f t="shared" si="13"/>
        <v>0</v>
      </c>
      <c r="CD41" s="207">
        <f>IF(AND(C41="Skema 1",B41="ma"),Skemaoplysninger!$E$47,"")</f>
        <v>7.9861111111111105E-2</v>
      </c>
      <c r="CE41" s="207" t="str">
        <f>IF(AND(C41="Skema 1",B41="ti"),Skemaoplysninger!$G$47,"")</f>
        <v/>
      </c>
      <c r="CF41" s="207" t="str">
        <f>IF(AND(C41="Skema 1",B41="on"),Skemaoplysninger!$I$47,"")</f>
        <v/>
      </c>
      <c r="CG41" s="207" t="str">
        <f>IF(AND(C41="Skema 1",B41="to"),Skemaoplysninger!$K$47,"")</f>
        <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1.9166666666666665</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2"/>
        <v>0</v>
      </c>
      <c r="DH41" t="str">
        <f t="shared" si="33"/>
        <v/>
      </c>
      <c r="DI41">
        <f t="shared" si="34"/>
        <v>0</v>
      </c>
      <c r="DJ41">
        <f t="shared" si="35"/>
        <v>0</v>
      </c>
      <c r="DK41" t="str">
        <f t="shared" si="14"/>
        <v/>
      </c>
      <c r="DL41" t="str">
        <f t="shared" si="14"/>
        <v/>
      </c>
      <c r="DM41" t="str">
        <f t="shared" si="14"/>
        <v/>
      </c>
      <c r="DN41" t="str">
        <f t="shared" si="39"/>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6"/>
        <v>0</v>
      </c>
      <c r="FZ41" s="634">
        <f t="shared" si="17"/>
        <v>0</v>
      </c>
      <c r="GA41">
        <f t="shared" si="18"/>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9"/>
        <v>0</v>
      </c>
      <c r="GL41">
        <f t="shared" si="20"/>
        <v>0</v>
      </c>
      <c r="GM41">
        <f t="shared" si="21"/>
        <v>0</v>
      </c>
      <c r="GN41" s="713">
        <f t="shared" si="22"/>
        <v>0</v>
      </c>
      <c r="GO41">
        <f t="shared" si="37"/>
        <v>0</v>
      </c>
      <c r="GP41" s="647">
        <f t="shared" si="38"/>
        <v>0</v>
      </c>
    </row>
    <row r="42" spans="1:198">
      <c r="A42" s="239">
        <f>IF(ISNUMBER(A41),A41+1,1)</f>
        <v>29</v>
      </c>
      <c r="B42" s="125" t="str">
        <f t="shared" si="0"/>
        <v>ti</v>
      </c>
      <c r="C42" s="126" t="s">
        <v>203</v>
      </c>
      <c r="D42" s="127" t="str">
        <f t="shared" si="1"/>
        <v/>
      </c>
      <c r="E42" s="1060"/>
      <c r="F42" s="1061"/>
      <c r="G42" s="1062"/>
      <c r="H42" s="292"/>
      <c r="I42" s="745"/>
      <c r="J42" s="746" t="str">
        <f t="shared" si="2"/>
        <v/>
      </c>
      <c r="K42" s="368"/>
      <c r="L42" s="368"/>
      <c r="M42" s="368"/>
      <c r="N42" s="311">
        <f t="shared" si="24"/>
        <v>8.11</v>
      </c>
      <c r="O42" s="311">
        <f t="shared" si="25"/>
        <v>4.5</v>
      </c>
      <c r="P42" s="311">
        <f>IF(Stamoplysninger!$H$34="JA",September!DG42,CX42)</f>
        <v>1.9166666666666665</v>
      </c>
      <c r="Q42" s="311">
        <f t="shared" si="26"/>
        <v>1.6933333333333329</v>
      </c>
      <c r="R42" s="751"/>
      <c r="S42" s="315"/>
      <c r="T42" s="316"/>
      <c r="U42" s="316"/>
      <c r="V42" s="422"/>
      <c r="W42" s="422"/>
      <c r="X42" s="621"/>
      <c r="Y42">
        <f t="shared" si="27"/>
        <v>0</v>
      </c>
      <c r="Z42" s="424">
        <f t="shared" si="28"/>
        <v>0</v>
      </c>
      <c r="AA42" s="1">
        <f t="shared" si="3"/>
        <v>0</v>
      </c>
      <c r="AB42" s="1">
        <f t="shared" si="4"/>
        <v>0</v>
      </c>
      <c r="AC42" s="1">
        <f t="shared" si="5"/>
        <v>0</v>
      </c>
      <c r="AD42" s="1">
        <f t="shared" si="6"/>
        <v>0</v>
      </c>
      <c r="AE42" s="1">
        <f t="shared" si="7"/>
        <v>0</v>
      </c>
      <c r="AF42" s="1">
        <f>IF(C42="Orlov",7.4*Stamoplysninger!$E$20,0)</f>
        <v>0</v>
      </c>
      <c r="AG42" t="str">
        <f>IF(AND(C42="Skema 1",B42="ma"),Arbejdstidsoversigt!$E$77,"")</f>
        <v/>
      </c>
      <c r="AH42">
        <f>IF(AND(C42="Skema 1",B42="ti"),Arbejdstidsoversigt!$E$78,"")</f>
        <v>8.11</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9"/>
        <v>8.11</v>
      </c>
      <c r="BB42" s="224">
        <f t="shared" si="8"/>
        <v>194.64</v>
      </c>
      <c r="BC42" s="1">
        <f t="shared" si="30"/>
        <v>0</v>
      </c>
      <c r="BD42" s="1">
        <f t="shared" si="9"/>
        <v>0</v>
      </c>
      <c r="BE42" s="1">
        <f t="shared" si="10"/>
        <v>0</v>
      </c>
      <c r="BF42" s="1">
        <f t="shared" si="11"/>
        <v>0</v>
      </c>
      <c r="BG42" s="207" t="str">
        <f>IF(AND(C42="Skema 1",B42="ma"),Skemaoplysninger!$E$46,"")</f>
        <v/>
      </c>
      <c r="BH42" s="207">
        <f>IF(AND(C42="Skema 1",B42="ti"),Skemaoplysninger!$G$46,"")</f>
        <v>0.1875</v>
      </c>
      <c r="BI42" s="207" t="str">
        <f>IF(AND(C42="Skema 1",B42="on"),Skemaoplysninger!$I$46,"")</f>
        <v/>
      </c>
      <c r="BJ42" s="207" t="str">
        <f>IF(AND(C42="Skema 1",B42="to"),Skemaoplysninger!$K$46,"")</f>
        <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 t="shared" si="31"/>
        <v>4.5</v>
      </c>
      <c r="CB42" s="1">
        <f t="shared" si="12"/>
        <v>0</v>
      </c>
      <c r="CC42" s="1">
        <f t="shared" si="13"/>
        <v>0</v>
      </c>
      <c r="CD42" s="207" t="str">
        <f>IF(AND(C42="Skema 1",B42="ma"),Skemaoplysninger!$E$47,"")</f>
        <v/>
      </c>
      <c r="CE42" s="207">
        <f>IF(AND(C42="Skema 1",B42="ti"),Skemaoplysninger!$G$47,"")</f>
        <v>7.9861111111111105E-2</v>
      </c>
      <c r="CF42" s="207" t="str">
        <f>IF(AND(C42="Skema 1",B42="on"),Skemaoplysninger!$I$47,"")</f>
        <v/>
      </c>
      <c r="CG42" s="207" t="str">
        <f>IF(AND(C42="Skema 1",B42="to"),Skemaoplysninger!$K$47,"")</f>
        <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1.9166666666666665</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2"/>
        <v>0</v>
      </c>
      <c r="DH42" t="str">
        <f t="shared" si="33"/>
        <v/>
      </c>
      <c r="DI42">
        <f t="shared" si="34"/>
        <v>0</v>
      </c>
      <c r="DJ42">
        <f t="shared" si="35"/>
        <v>0</v>
      </c>
      <c r="DK42" t="str">
        <f t="shared" si="14"/>
        <v/>
      </c>
      <c r="DL42" t="str">
        <f t="shared" si="14"/>
        <v/>
      </c>
      <c r="DM42" t="str">
        <f t="shared" si="14"/>
        <v/>
      </c>
      <c r="DN42" t="str">
        <f t="shared" si="39"/>
        <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6"/>
        <v>0</v>
      </c>
      <c r="FZ42" s="634">
        <f t="shared" si="17"/>
        <v>0</v>
      </c>
      <c r="GA42">
        <f t="shared" si="18"/>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9"/>
        <v>0</v>
      </c>
      <c r="GL42">
        <f t="shared" si="20"/>
        <v>0</v>
      </c>
      <c r="GM42">
        <f t="shared" si="21"/>
        <v>0</v>
      </c>
      <c r="GN42" s="713">
        <f t="shared" si="22"/>
        <v>0</v>
      </c>
      <c r="GO42">
        <f t="shared" si="37"/>
        <v>0</v>
      </c>
      <c r="GP42" s="647">
        <f t="shared" si="38"/>
        <v>0</v>
      </c>
    </row>
    <row r="43" spans="1:198" ht="17" thickBot="1">
      <c r="A43" s="239">
        <f t="shared" si="23"/>
        <v>30</v>
      </c>
      <c r="B43" s="125" t="str">
        <f t="shared" si="0"/>
        <v>on</v>
      </c>
      <c r="C43" s="126" t="s">
        <v>203</v>
      </c>
      <c r="D43" s="127" t="str">
        <f t="shared" si="1"/>
        <v/>
      </c>
      <c r="E43" s="1060"/>
      <c r="F43" s="1061"/>
      <c r="G43" s="1062"/>
      <c r="H43" s="292"/>
      <c r="I43" s="745"/>
      <c r="J43" s="746" t="str">
        <f t="shared" si="2"/>
        <v/>
      </c>
      <c r="K43" s="368"/>
      <c r="L43" s="368"/>
      <c r="M43" s="368"/>
      <c r="N43" s="311">
        <f t="shared" si="24"/>
        <v>8.11</v>
      </c>
      <c r="O43" s="311">
        <f t="shared" si="25"/>
        <v>2.75</v>
      </c>
      <c r="P43" s="311">
        <f>IF(Stamoplysninger!$H$34="JA",September!DG43,CX43)</f>
        <v>1.25</v>
      </c>
      <c r="Q43" s="311">
        <f t="shared" si="26"/>
        <v>4.1099999999999994</v>
      </c>
      <c r="R43" s="751"/>
      <c r="S43" s="315"/>
      <c r="T43" s="316"/>
      <c r="U43" s="316"/>
      <c r="V43" s="422"/>
      <c r="W43" s="422"/>
      <c r="X43" s="621"/>
      <c r="Y43">
        <f t="shared" si="27"/>
        <v>0</v>
      </c>
      <c r="Z43" s="424">
        <f t="shared" si="28"/>
        <v>0</v>
      </c>
      <c r="AA43" s="1">
        <f t="shared" si="3"/>
        <v>0</v>
      </c>
      <c r="AB43" s="1">
        <f t="shared" si="4"/>
        <v>0</v>
      </c>
      <c r="AC43" s="1">
        <f t="shared" si="5"/>
        <v>0</v>
      </c>
      <c r="AD43" s="1">
        <f t="shared" si="6"/>
        <v>0</v>
      </c>
      <c r="AE43" s="1">
        <f t="shared" si="7"/>
        <v>0</v>
      </c>
      <c r="AF43" s="1">
        <f>IF(C43="Orlov",7.4*Stamoplysninger!$E$20,0)</f>
        <v>0</v>
      </c>
      <c r="AG43" t="str">
        <f>IF(AND(C43="Skema 1",B43="ma"),Arbejdstidsoversigt!$E$77,"")</f>
        <v/>
      </c>
      <c r="AH43" t="str">
        <f>IF(AND(C43="Skema 1",B43="ti"),Arbejdstidsoversigt!$E$78,"")</f>
        <v/>
      </c>
      <c r="AI43">
        <f>IF(AND(C43="Skema 1",B43="on"),Arbejdstidsoversigt!$E$79,"")</f>
        <v>8.11</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SUM(AA43:AZ43)</f>
        <v>8.11</v>
      </c>
      <c r="BB43" s="224">
        <f t="shared" si="8"/>
        <v>194.64</v>
      </c>
      <c r="BC43" s="1">
        <f t="shared" si="30"/>
        <v>0</v>
      </c>
      <c r="BD43" s="1">
        <f t="shared" si="9"/>
        <v>0</v>
      </c>
      <c r="BE43" s="1">
        <f t="shared" si="10"/>
        <v>0</v>
      </c>
      <c r="BF43" s="1">
        <f t="shared" si="11"/>
        <v>0</v>
      </c>
      <c r="BG43" s="207" t="str">
        <f>IF(AND(C43="Skema 1",B43="ma"),Skemaoplysninger!$E$46,"")</f>
        <v/>
      </c>
      <c r="BH43" s="207" t="str">
        <f>IF(AND(C43="Skema 1",B43="ti"),Skemaoplysninger!$G$46,"")</f>
        <v/>
      </c>
      <c r="BI43" s="207">
        <f>IF(AND(C43="Skema 1",B43="on"),Skemaoplysninger!$I$46,"")</f>
        <v>0.11458333333333333</v>
      </c>
      <c r="BJ43" s="207" t="str">
        <f>IF(AND(C43="Skema 1",B43="to"),Skemaoplysninger!$K$46,"")</f>
        <v/>
      </c>
      <c r="BK43" s="207" t="str">
        <f>IF(AND(C43="Skema 1",B43="fr"),Skemaoplysninger!$M$46,"")</f>
        <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 t="shared" si="31"/>
        <v>2.75</v>
      </c>
      <c r="CB43" s="1">
        <f t="shared" si="12"/>
        <v>0</v>
      </c>
      <c r="CC43" s="1">
        <f t="shared" si="13"/>
        <v>0</v>
      </c>
      <c r="CD43" s="207" t="str">
        <f>IF(AND(C43="Skema 1",B43="ma"),Skemaoplysninger!$E$47,"")</f>
        <v/>
      </c>
      <c r="CE43" s="207" t="str">
        <f>IF(AND(C43="Skema 1",B43="ti"),Skemaoplysninger!$G$47,"")</f>
        <v/>
      </c>
      <c r="CF43" s="207">
        <f>IF(AND(C43="Skema 1",B43="on"),Skemaoplysninger!$I$47,"")</f>
        <v>5.2083333333333329E-2</v>
      </c>
      <c r="CG43" s="207" t="str">
        <f>IF(AND(C43="Skema 1",B43="to"),Skemaoplysninger!$K$47,"")</f>
        <v/>
      </c>
      <c r="CH43" s="207" t="str">
        <f>IF(AND(C43="Skema 1",B43="fr"),Skemaoplysninger!$M$47,"")</f>
        <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1.25</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2"/>
        <v>0</v>
      </c>
      <c r="DH43" t="str">
        <f t="shared" si="33"/>
        <v/>
      </c>
      <c r="DI43">
        <f t="shared" si="34"/>
        <v>0</v>
      </c>
      <c r="DJ43">
        <f t="shared" si="35"/>
        <v>0</v>
      </c>
      <c r="DK43" t="str">
        <f t="shared" si="14"/>
        <v/>
      </c>
      <c r="DL43" t="str">
        <f t="shared" si="14"/>
        <v/>
      </c>
      <c r="DM43" t="str">
        <f t="shared" si="14"/>
        <v/>
      </c>
      <c r="DN43" t="str">
        <f t="shared" si="39"/>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6"/>
        <v>0</v>
      </c>
      <c r="FZ43" s="634">
        <f t="shared" si="17"/>
        <v>0</v>
      </c>
      <c r="GA43">
        <f t="shared" si="18"/>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9"/>
        <v>0</v>
      </c>
      <c r="GL43">
        <f t="shared" si="20"/>
        <v>0</v>
      </c>
      <c r="GM43">
        <f t="shared" si="21"/>
        <v>0</v>
      </c>
      <c r="GN43" s="713">
        <f t="shared" si="22"/>
        <v>0</v>
      </c>
      <c r="GO43">
        <f t="shared" si="37"/>
        <v>0</v>
      </c>
      <c r="GP43" s="647">
        <f t="shared" si="38"/>
        <v>0</v>
      </c>
    </row>
    <row r="44" spans="1:198" ht="17" thickBot="1">
      <c r="A44" s="1100" t="s">
        <v>257</v>
      </c>
      <c r="B44" s="1101"/>
      <c r="C44" s="1101"/>
      <c r="D44" s="1101"/>
      <c r="E44" s="1101"/>
      <c r="F44" s="1101"/>
      <c r="G44" s="1101"/>
      <c r="H44" s="1101"/>
      <c r="I44" s="1102"/>
      <c r="J44" s="306"/>
      <c r="K44" s="314"/>
      <c r="L44" s="314"/>
      <c r="M44" s="314"/>
      <c r="N44" s="314">
        <f>SUM(N14:N43)</f>
        <v>221.16000000000003</v>
      </c>
      <c r="O44" s="314">
        <f>SUM(O14:O43)</f>
        <v>95</v>
      </c>
      <c r="P44" s="314">
        <f>SUM(P14:P43)</f>
        <v>24.416666666666668</v>
      </c>
      <c r="Q44" s="314">
        <f>SUM(Q14:Q43)</f>
        <v>48.093333333333334</v>
      </c>
      <c r="R44" s="750">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f>
        <v>3</v>
      </c>
      <c r="S44" s="419"/>
      <c r="T44" s="420"/>
      <c r="U44" s="420"/>
      <c r="V44"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f>
        <v>0</v>
      </c>
      <c r="W44" s="420">
        <f>IF(T13="x",W13,0)+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f>
        <v>0</v>
      </c>
      <c r="X44" s="421">
        <f>IF(U13="x",X13,0)+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f>
        <v>0</v>
      </c>
      <c r="Y44" s="208">
        <f>SUM(Y14:Y43)</f>
        <v>0</v>
      </c>
      <c r="Z44" s="386">
        <f>Z14+Z15+Z16+Z17+Z18+Z19+Z20+Z21+Z22+Z23+Z24+Z25+Z26+Z27+Z28+Z29+Z30+Z31+Z32+Z33+Z34+Z35+Z36+Z37+Z38+Z39+Z40+Z41+Z42+Z43</f>
        <v>0</v>
      </c>
      <c r="AA44" s="229">
        <f t="shared" ref="AA44:AF44" si="40">SUM(AA14:AA43)</f>
        <v>0</v>
      </c>
      <c r="AB44" s="229">
        <f t="shared" si="40"/>
        <v>0</v>
      </c>
      <c r="AC44" s="229">
        <f t="shared" si="40"/>
        <v>0</v>
      </c>
      <c r="AD44" s="229">
        <f t="shared" si="40"/>
        <v>0</v>
      </c>
      <c r="AE44" s="229">
        <f t="shared" si="40"/>
        <v>83.649999999999991</v>
      </c>
      <c r="AF44" s="229">
        <f t="shared" si="40"/>
        <v>0</v>
      </c>
      <c r="BA44" s="1">
        <f>SUM(BA14:BA43)</f>
        <v>221.16000000000003</v>
      </c>
      <c r="BB44" s="109"/>
      <c r="BC44" s="229">
        <f>SUM(BC14:BC43)</f>
        <v>30</v>
      </c>
      <c r="BD44" s="229">
        <f>SUM(BD14:BD43)</f>
        <v>0</v>
      </c>
      <c r="BE44" s="229">
        <f>SUM(BE14:BE43)</f>
        <v>0</v>
      </c>
      <c r="BF44" s="229">
        <f>SUM(BF14:BF43)</f>
        <v>0</v>
      </c>
      <c r="CA44" s="229">
        <f>SUM(CA14:CA43)</f>
        <v>95</v>
      </c>
      <c r="CB44" s="229">
        <f>SUM(CB14:CB43)</f>
        <v>0</v>
      </c>
      <c r="CC44" s="229">
        <f>SUM(CC14:CC43)</f>
        <v>0</v>
      </c>
      <c r="CX44" s="243"/>
      <c r="CY44" s="243">
        <f t="shared" ref="CY44:DG44" si="41">SUM(CY14:CY43)</f>
        <v>0</v>
      </c>
      <c r="CZ44" s="243">
        <f t="shared" si="41"/>
        <v>0</v>
      </c>
      <c r="DA44" s="243">
        <f t="shared" si="41"/>
        <v>0</v>
      </c>
      <c r="DB44" s="243">
        <f t="shared" si="41"/>
        <v>0</v>
      </c>
      <c r="DC44" s="243">
        <f t="shared" si="41"/>
        <v>0</v>
      </c>
      <c r="DD44" s="243">
        <f t="shared" si="41"/>
        <v>0</v>
      </c>
      <c r="DE44" s="243">
        <f t="shared" si="41"/>
        <v>0</v>
      </c>
      <c r="DF44" s="243">
        <f t="shared" si="41"/>
        <v>0</v>
      </c>
      <c r="DG44" s="243">
        <f t="shared" si="41"/>
        <v>0</v>
      </c>
      <c r="DH44" t="str">
        <f t="shared" si="33"/>
        <v/>
      </c>
      <c r="DK44" t="str">
        <f t="shared" si="14"/>
        <v/>
      </c>
      <c r="DL44" t="str">
        <f t="shared" si="14"/>
        <v/>
      </c>
      <c r="DM44" t="str">
        <f t="shared" si="14"/>
        <v/>
      </c>
      <c r="DN44" t="str">
        <f>DK44&amp;" "&amp;DL44&amp;" "&amp;DM44</f>
        <v xml:space="preserve">  </v>
      </c>
      <c r="DO44" s="645">
        <f t="shared" ref="DO44:ET44" si="42">SUM(DO14:DO43)</f>
        <v>0.75</v>
      </c>
      <c r="DP44" s="646">
        <f t="shared" si="42"/>
        <v>0</v>
      </c>
      <c r="DQ44" s="646">
        <f t="shared" si="42"/>
        <v>0</v>
      </c>
      <c r="DR44" s="646">
        <f t="shared" si="42"/>
        <v>0</v>
      </c>
      <c r="DS44" s="649">
        <f t="shared" si="42"/>
        <v>0</v>
      </c>
      <c r="DT44" s="649">
        <f t="shared" si="42"/>
        <v>0</v>
      </c>
      <c r="DU44" s="646">
        <f t="shared" si="42"/>
        <v>0</v>
      </c>
      <c r="DV44" s="649">
        <f t="shared" si="42"/>
        <v>0</v>
      </c>
      <c r="DW44" s="646">
        <f t="shared" si="42"/>
        <v>0</v>
      </c>
      <c r="DX44" s="646">
        <f t="shared" si="42"/>
        <v>0</v>
      </c>
      <c r="DY44" s="646">
        <f t="shared" si="42"/>
        <v>0</v>
      </c>
      <c r="DZ44" s="646">
        <f t="shared" si="42"/>
        <v>0</v>
      </c>
      <c r="EA44" s="649">
        <f t="shared" si="42"/>
        <v>0</v>
      </c>
      <c r="EB44" s="649">
        <f t="shared" si="42"/>
        <v>0</v>
      </c>
      <c r="EC44" s="649">
        <f t="shared" si="42"/>
        <v>0</v>
      </c>
      <c r="ED44" s="649">
        <f t="shared" si="42"/>
        <v>0</v>
      </c>
      <c r="EE44" s="646">
        <f t="shared" si="42"/>
        <v>0</v>
      </c>
      <c r="EF44" s="646">
        <f t="shared" si="42"/>
        <v>0</v>
      </c>
      <c r="EG44" s="649">
        <f t="shared" si="42"/>
        <v>0</v>
      </c>
      <c r="EH44" s="649">
        <f t="shared" si="42"/>
        <v>0</v>
      </c>
      <c r="EI44" s="646">
        <f t="shared" si="42"/>
        <v>0</v>
      </c>
      <c r="EJ44" s="646">
        <f t="shared" si="42"/>
        <v>0</v>
      </c>
      <c r="EK44" s="649">
        <f t="shared" si="42"/>
        <v>0</v>
      </c>
      <c r="EL44" s="649">
        <f t="shared" si="42"/>
        <v>0</v>
      </c>
      <c r="EM44" s="646">
        <f t="shared" si="42"/>
        <v>0</v>
      </c>
      <c r="EN44" s="646">
        <f t="shared" si="42"/>
        <v>0</v>
      </c>
      <c r="EO44" s="649">
        <f t="shared" si="42"/>
        <v>0</v>
      </c>
      <c r="EP44" s="652">
        <f t="shared" si="42"/>
        <v>0</v>
      </c>
      <c r="EQ44" s="646">
        <f t="shared" si="42"/>
        <v>0</v>
      </c>
      <c r="ER44" s="646">
        <f t="shared" si="42"/>
        <v>0</v>
      </c>
      <c r="ES44" s="649">
        <f t="shared" si="42"/>
        <v>0</v>
      </c>
      <c r="ET44" s="652">
        <f t="shared" si="42"/>
        <v>0</v>
      </c>
      <c r="EU44" s="646">
        <f t="shared" ref="EU44:FZ44" si="43">SUM(EU14:EU43)</f>
        <v>0</v>
      </c>
      <c r="EV44" s="646">
        <f t="shared" si="43"/>
        <v>0</v>
      </c>
      <c r="EW44" s="649">
        <f t="shared" si="43"/>
        <v>0</v>
      </c>
      <c r="EX44" s="652">
        <f t="shared" si="43"/>
        <v>0</v>
      </c>
      <c r="EY44" s="646">
        <f t="shared" si="43"/>
        <v>0</v>
      </c>
      <c r="EZ44" s="646">
        <f t="shared" si="43"/>
        <v>0</v>
      </c>
      <c r="FA44" s="649">
        <f t="shared" si="43"/>
        <v>0</v>
      </c>
      <c r="FB44" s="652">
        <f t="shared" si="43"/>
        <v>0</v>
      </c>
      <c r="FC44" s="646">
        <f t="shared" si="43"/>
        <v>0</v>
      </c>
      <c r="FD44" s="646">
        <f t="shared" si="43"/>
        <v>0</v>
      </c>
      <c r="FE44" s="649">
        <f t="shared" si="43"/>
        <v>0</v>
      </c>
      <c r="FF44" s="652">
        <f t="shared" si="43"/>
        <v>0</v>
      </c>
      <c r="FG44" s="646">
        <f t="shared" si="43"/>
        <v>0</v>
      </c>
      <c r="FH44" s="646">
        <f t="shared" si="43"/>
        <v>0</v>
      </c>
      <c r="FI44" s="649">
        <f t="shared" si="43"/>
        <v>0</v>
      </c>
      <c r="FJ44" s="652">
        <f t="shared" si="43"/>
        <v>0</v>
      </c>
      <c r="FK44" s="661">
        <f t="shared" si="43"/>
        <v>0</v>
      </c>
      <c r="FL44" s="646">
        <f t="shared" si="43"/>
        <v>0</v>
      </c>
      <c r="FM44" s="661">
        <f t="shared" si="43"/>
        <v>0</v>
      </c>
      <c r="FN44" s="649">
        <f t="shared" si="43"/>
        <v>0</v>
      </c>
      <c r="FO44" s="661">
        <f t="shared" si="43"/>
        <v>0</v>
      </c>
      <c r="FP44" s="646">
        <f t="shared" si="43"/>
        <v>0</v>
      </c>
      <c r="FQ44" s="661">
        <f t="shared" si="43"/>
        <v>0</v>
      </c>
      <c r="FR44" s="649">
        <f t="shared" si="43"/>
        <v>0</v>
      </c>
      <c r="FS44" s="661">
        <f t="shared" si="43"/>
        <v>0</v>
      </c>
      <c r="FT44" s="661">
        <f t="shared" si="43"/>
        <v>0</v>
      </c>
      <c r="FU44" s="661">
        <f t="shared" si="43"/>
        <v>0</v>
      </c>
      <c r="FV44" s="646">
        <f t="shared" si="43"/>
        <v>0</v>
      </c>
      <c r="FW44" s="661">
        <f t="shared" si="43"/>
        <v>0</v>
      </c>
      <c r="FX44" s="652">
        <f t="shared" si="43"/>
        <v>0</v>
      </c>
      <c r="FY44" s="665">
        <f t="shared" si="43"/>
        <v>0</v>
      </c>
      <c r="FZ44" s="666">
        <f t="shared" si="43"/>
        <v>0</v>
      </c>
      <c r="GA44" s="666">
        <f t="shared" ref="GA44:GI44" si="44">SUM(GA14:GA43)</f>
        <v>0</v>
      </c>
      <c r="GB44" s="665">
        <f t="shared" si="44"/>
        <v>0</v>
      </c>
      <c r="GC44" s="666">
        <f t="shared" si="44"/>
        <v>0</v>
      </c>
      <c r="GD44" s="665">
        <f t="shared" si="44"/>
        <v>0</v>
      </c>
      <c r="GE44" s="666">
        <f t="shared" si="44"/>
        <v>0</v>
      </c>
      <c r="GF44" s="661">
        <f t="shared" si="44"/>
        <v>0</v>
      </c>
      <c r="GG44" s="661">
        <f t="shared" si="44"/>
        <v>0</v>
      </c>
      <c r="GH44" s="661">
        <f t="shared" si="44"/>
        <v>0</v>
      </c>
      <c r="GI44" s="661">
        <f t="shared" si="44"/>
        <v>0</v>
      </c>
      <c r="GP44" s="647">
        <f>SUM(GP14:GP43)</f>
        <v>0</v>
      </c>
    </row>
    <row r="45" spans="1:198" ht="17" thickBot="1">
      <c r="A45" s="227"/>
      <c r="B45" s="227"/>
      <c r="C45" s="227"/>
      <c r="D45" s="227"/>
      <c r="E45" s="227"/>
      <c r="F45" s="227"/>
      <c r="G45" s="227"/>
      <c r="H45" s="227"/>
      <c r="I45" s="227"/>
      <c r="J45" s="227"/>
      <c r="K45" s="233"/>
      <c r="L45" s="233"/>
      <c r="M45" s="233"/>
      <c r="N45" s="233"/>
      <c r="O45" s="233"/>
      <c r="P45" s="233"/>
      <c r="Q45" s="233"/>
      <c r="R45" s="233"/>
      <c r="S45" s="233"/>
      <c r="T45" s="233"/>
      <c r="U45" s="233"/>
      <c r="V45" s="233"/>
      <c r="W45" s="233"/>
      <c r="X45" s="233"/>
      <c r="Y45" s="241"/>
      <c r="Z45" s="208"/>
      <c r="AA45" s="229"/>
      <c r="AB45" s="208"/>
      <c r="AC45" s="208"/>
      <c r="AD45" s="229"/>
      <c r="AE45" s="229"/>
      <c r="AF45" s="229"/>
      <c r="AG45" s="229"/>
      <c r="BC45" s="229"/>
      <c r="BD45" s="229"/>
      <c r="BE45" s="229"/>
      <c r="BF45" s="229"/>
      <c r="BG45" s="109"/>
      <c r="CB45" s="229"/>
      <c r="CC45" s="229"/>
      <c r="CD45" s="109"/>
      <c r="CX45" s="242"/>
      <c r="CZ45"/>
      <c r="DO45" s="728"/>
      <c r="DP45" s="728"/>
      <c r="DQ45" s="728"/>
      <c r="DR45" s="728"/>
      <c r="DS45" s="728"/>
      <c r="DT45" s="728"/>
      <c r="DU45" s="728"/>
      <c r="DV45" s="728"/>
      <c r="DW45" s="729"/>
      <c r="DX45" s="729"/>
      <c r="DY45" s="729"/>
      <c r="DZ45" s="729"/>
      <c r="EA45" s="729"/>
      <c r="EB45" s="729"/>
      <c r="EC45" s="729"/>
      <c r="ED45" s="729"/>
      <c r="EE45" s="732"/>
      <c r="EF45" s="732"/>
      <c r="EG45" s="732"/>
      <c r="EH45" s="732"/>
      <c r="EI45" s="732"/>
      <c r="EJ45" s="732"/>
      <c r="EM45" s="734"/>
      <c r="EN45" s="734"/>
      <c r="EO45" s="734"/>
      <c r="EP45" s="734"/>
      <c r="EQ45" s="734"/>
      <c r="ER45" s="734"/>
      <c r="EU45" s="736"/>
      <c r="EV45" s="736"/>
      <c r="EW45" s="736"/>
      <c r="EX45" s="736"/>
      <c r="EY45" s="738"/>
      <c r="EZ45" s="738"/>
      <c r="FA45" s="738"/>
      <c r="FB45" s="738"/>
      <c r="FC45" s="740"/>
      <c r="FD45" s="740"/>
      <c r="FE45" s="740"/>
      <c r="FF45" s="740"/>
      <c r="FG45" s="742"/>
      <c r="FH45" s="742"/>
      <c r="FI45" s="742"/>
      <c r="FJ45" s="742"/>
      <c r="FK45" s="726"/>
      <c r="FM45" s="744"/>
      <c r="FO45" s="726"/>
      <c r="FS45" s="726"/>
      <c r="FT45" s="744"/>
      <c r="FU45" s="726"/>
      <c r="FW45" s="744"/>
      <c r="GA45" s="744"/>
      <c r="GB45" s="726"/>
      <c r="GC45" s="744"/>
      <c r="GD45" s="726"/>
      <c r="GE45" s="744"/>
      <c r="GF45" s="726"/>
      <c r="GG45" s="744"/>
      <c r="GH45" s="726"/>
      <c r="GI45" s="744"/>
      <c r="GP45" s="743" t="s">
        <v>663</v>
      </c>
    </row>
    <row r="46" spans="1:198" ht="70" customHeight="1">
      <c r="A46" s="1086" t="str">
        <f>"Arbejdstid for "&amp;A12&amp;" måned:"</f>
        <v>Arbejdstid for September måned:</v>
      </c>
      <c r="B46" s="1087"/>
      <c r="C46" s="1087"/>
      <c r="D46" s="1087"/>
      <c r="E46" s="1087"/>
      <c r="F46" s="1087"/>
      <c r="G46" s="1087"/>
      <c r="H46" s="321" t="s">
        <v>252</v>
      </c>
      <c r="I46" s="1087" t="s">
        <v>218</v>
      </c>
      <c r="J46" s="1088"/>
      <c r="K46" s="1089"/>
      <c r="L46" s="256"/>
      <c r="M46" s="1134" t="str">
        <f>"Ulempetimer og weekendtimer i "&amp;A10&amp;""</f>
        <v>Ulempetimer og weekendtimer i September måneds kalender for: Beate Simonsen. Måneden vedr. normperioden:  - .</v>
      </c>
      <c r="N46" s="1117"/>
      <c r="O46" s="1117"/>
      <c r="P46" s="1117"/>
      <c r="Q46" s="1117"/>
      <c r="R46" s="1117"/>
      <c r="S46" s="1117"/>
      <c r="T46" s="1117"/>
      <c r="U46" s="1117"/>
      <c r="V46" s="1117"/>
      <c r="W46" s="1117"/>
      <c r="X46" s="1118"/>
      <c r="Y46" s="210"/>
      <c r="Z46" s="233"/>
      <c r="AA46" s="233"/>
      <c r="AB46" s="233"/>
      <c r="AG46" s="87"/>
      <c r="AH46" s="87"/>
      <c r="BO46" s="1"/>
      <c r="CL46" s="1"/>
      <c r="CW46" s="242"/>
      <c r="CX46" s="242"/>
      <c r="CY46"/>
      <c r="CZ46"/>
    </row>
    <row r="47" spans="1:198">
      <c r="A47" s="1090" t="str">
        <f>August!A49</f>
        <v>Arbejdstid eks. lørdage og søndage</v>
      </c>
      <c r="B47" s="1091"/>
      <c r="C47" s="1091"/>
      <c r="D47" s="1091"/>
      <c r="E47" s="1091"/>
      <c r="F47" s="1091"/>
      <c r="G47" s="1091"/>
      <c r="H47" s="250">
        <f>D82</f>
        <v>22</v>
      </c>
      <c r="I47" s="1103">
        <f>IF(Stamoplysninger!$E$17="Ja",1924/Arbejdstidsoversigt!$K$14*Stamoplysninger!$E$20*$H$47,H47*7.4*Stamoplysninger!$E$20)</f>
        <v>162.80000000000001</v>
      </c>
      <c r="J47" s="1104"/>
      <c r="K47" s="1105"/>
      <c r="L47" s="252"/>
      <c r="M47" s="1135" t="s">
        <v>480</v>
      </c>
      <c r="N47" s="1136"/>
      <c r="O47" s="1136"/>
      <c r="P47" s="1136"/>
      <c r="Q47" s="1136"/>
      <c r="R47" s="1136"/>
      <c r="S47" s="1136"/>
      <c r="T47" s="1136"/>
      <c r="U47" s="1137"/>
      <c r="V47" s="1138">
        <f>P69+P73+P76+P78</f>
        <v>0.75</v>
      </c>
      <c r="W47" s="1139"/>
      <c r="X47" s="1140"/>
      <c r="Y47" s="233"/>
      <c r="Z47" s="233"/>
      <c r="AA47" s="233"/>
      <c r="AB47" s="233"/>
      <c r="AG47" s="87"/>
      <c r="AH47" s="87"/>
      <c r="BO47" s="1"/>
      <c r="CL47" s="1"/>
      <c r="CW47" s="242"/>
      <c r="CX47" s="242"/>
      <c r="CY47"/>
      <c r="CZ47"/>
    </row>
    <row r="48" spans="1:198">
      <c r="A48" s="1090" t="str">
        <f>"Ferie "&amp;A12&amp;" måned"</f>
        <v>Ferie September måned</v>
      </c>
      <c r="B48" s="1091"/>
      <c r="C48" s="1091"/>
      <c r="D48" s="1091"/>
      <c r="E48" s="1091"/>
      <c r="F48" s="1091"/>
      <c r="G48" s="1091"/>
      <c r="H48" s="251" t="str">
        <f>IF(D77&gt;0,$D$77,"0")</f>
        <v>0</v>
      </c>
      <c r="I48" s="1092">
        <f>H48*7.4*Stamoplysninger!$E$20</f>
        <v>0</v>
      </c>
      <c r="J48" s="1093"/>
      <c r="K48" s="1094"/>
      <c r="L48" s="252"/>
      <c r="M48" s="1233" t="s">
        <v>256</v>
      </c>
      <c r="N48" s="1234"/>
      <c r="O48" s="1234"/>
      <c r="P48" s="1234"/>
      <c r="Q48" s="1234"/>
      <c r="R48" s="1234"/>
      <c r="S48" s="1234"/>
      <c r="T48" s="1234"/>
      <c r="U48" s="1234"/>
      <c r="V48" s="1144">
        <f>Q70+Q72+Q75+Q77</f>
        <v>0</v>
      </c>
      <c r="W48" s="1145"/>
      <c r="X48" s="1146"/>
      <c r="Y48" s="233"/>
      <c r="Z48" s="233"/>
      <c r="AA48" s="233"/>
      <c r="AB48" s="233"/>
      <c r="AG48" s="87"/>
      <c r="AH48" s="87"/>
      <c r="BO48" s="1"/>
      <c r="CL48" s="1"/>
      <c r="CW48" s="242"/>
      <c r="CX48" s="242"/>
      <c r="CY48"/>
      <c r="CZ48"/>
    </row>
    <row r="49" spans="1:110">
      <c r="A49" s="1090" t="str">
        <f>"Søgnehelligdage i "&amp;A12&amp;" måned"</f>
        <v>Søgnehelligdage i September måned</v>
      </c>
      <c r="B49" s="1091"/>
      <c r="C49" s="1091"/>
      <c r="D49" s="1091"/>
      <c r="E49" s="1091"/>
      <c r="F49" s="1091"/>
      <c r="G49" s="1091"/>
      <c r="H49" s="251">
        <f>IF(D76&gt;0,D76,0)</f>
        <v>0</v>
      </c>
      <c r="I49" s="1092">
        <f>H49*7.4*Stamoplysninger!$E$20</f>
        <v>0</v>
      </c>
      <c r="J49" s="1093"/>
      <c r="K49" s="1094"/>
      <c r="L49" s="253"/>
      <c r="M49" s="1147" t="s">
        <v>292</v>
      </c>
      <c r="N49" s="1148"/>
      <c r="O49" s="1148"/>
      <c r="P49" s="1148"/>
      <c r="Q49" s="1148"/>
      <c r="R49" s="1148"/>
      <c r="S49" s="1148"/>
      <c r="T49" s="1148"/>
      <c r="U49" s="1148"/>
      <c r="V49" s="1231">
        <f>August!V59</f>
        <v>0</v>
      </c>
      <c r="W49" s="1231"/>
      <c r="X49" s="1232"/>
      <c r="Y49" s="233"/>
      <c r="Z49" s="233"/>
      <c r="AA49" s="233"/>
      <c r="AB49" s="233"/>
      <c r="AG49" s="87"/>
      <c r="AH49" s="87"/>
      <c r="BO49" s="1"/>
      <c r="CL49" s="1"/>
      <c r="CW49" s="242"/>
      <c r="CX49" s="242"/>
      <c r="CY49"/>
      <c r="CZ49"/>
    </row>
    <row r="50" spans="1:110">
      <c r="A50" s="1090" t="str">
        <f>"Nettoarbejdstid ialt i "&amp;A12&amp;" måned"</f>
        <v>Nettoarbejdstid ialt i September måned</v>
      </c>
      <c r="B50" s="1091"/>
      <c r="C50" s="1091"/>
      <c r="D50" s="1091"/>
      <c r="E50" s="1091"/>
      <c r="F50" s="1091"/>
      <c r="G50" s="1091"/>
      <c r="H50" s="254">
        <f>H47-H48-H49</f>
        <v>22</v>
      </c>
      <c r="I50" s="1092">
        <f>I47-I48-I49</f>
        <v>162.80000000000001</v>
      </c>
      <c r="J50" s="1093"/>
      <c r="K50" s="1094"/>
      <c r="L50" s="253"/>
      <c r="M50" s="1261" t="s">
        <v>298</v>
      </c>
      <c r="N50" s="1262"/>
      <c r="O50" s="1262"/>
      <c r="P50" s="1262"/>
      <c r="Q50" s="1262"/>
      <c r="R50" s="1262"/>
      <c r="S50" s="1262"/>
      <c r="T50" s="1262"/>
      <c r="U50" s="1262"/>
      <c r="V50" s="1256">
        <f>V48+V49</f>
        <v>0</v>
      </c>
      <c r="W50" s="1256"/>
      <c r="X50" s="1257"/>
      <c r="Y50" s="233"/>
      <c r="Z50" s="233"/>
      <c r="AA50" s="233"/>
      <c r="AB50" s="233"/>
      <c r="AG50" s="87"/>
      <c r="AH50" s="87"/>
      <c r="BO50" s="1"/>
      <c r="CL50" s="1"/>
      <c r="CW50" s="242"/>
      <c r="CX50" s="242"/>
      <c r="CY50"/>
      <c r="CZ50"/>
    </row>
    <row r="51" spans="1:110">
      <c r="A51" s="1106" t="str">
        <f>"Planlagt arbejdstid efter ovennstående "&amp;A12&amp;" måned kalender"</f>
        <v>Planlagt arbejdstid efter ovennstående September måned kalender</v>
      </c>
      <c r="B51" s="1107"/>
      <c r="C51" s="1107"/>
      <c r="D51" s="1107"/>
      <c r="E51" s="1107"/>
      <c r="F51" s="1107"/>
      <c r="G51" s="1107"/>
      <c r="H51" s="461">
        <f>D68+D69+D70+D71+D72+D73+D74</f>
        <v>22</v>
      </c>
      <c r="I51" s="1108">
        <f>N44+R44+V109</f>
        <v>224.16000000000003</v>
      </c>
      <c r="J51" s="1109"/>
      <c r="K51" s="1110"/>
      <c r="L51" s="253"/>
      <c r="M51" s="1258" t="s">
        <v>290</v>
      </c>
      <c r="N51" s="1259"/>
      <c r="O51" s="1259"/>
      <c r="P51" s="1259"/>
      <c r="Q51" s="1259"/>
      <c r="R51" s="1259"/>
      <c r="S51" s="1259"/>
      <c r="T51" s="1259"/>
      <c r="U51" s="1259"/>
      <c r="V51" s="1259"/>
      <c r="W51" s="1259"/>
      <c r="X51" s="1260"/>
      <c r="Y51" s="233"/>
      <c r="Z51" s="233"/>
      <c r="AA51" s="233"/>
      <c r="AB51" s="233"/>
      <c r="AG51" s="87"/>
      <c r="AH51" s="87"/>
      <c r="BO51" s="1"/>
      <c r="CL51" s="1"/>
      <c r="CW51" s="242"/>
      <c r="CX51" s="242"/>
      <c r="CY51"/>
      <c r="CZ51"/>
    </row>
    <row r="52" spans="1:110">
      <c r="A52" s="1268" t="str">
        <f>August!A54</f>
        <v>Heraf planlagte weekendtimer til afspadsering, udb. eller indgået lokalaftale - Ovf. til afsp/udb.(box til højre) eller jv. lokalaftale</v>
      </c>
      <c r="B52" s="1269"/>
      <c r="C52" s="1269"/>
      <c r="D52" s="1269"/>
      <c r="E52" s="1269"/>
      <c r="F52" s="1269"/>
      <c r="G52" s="1269"/>
      <c r="H52" s="1270"/>
      <c r="I52" s="1111">
        <f>(FK44+FO44+FS44+FU44+GB44+GD44+GF44+GH44)*-1+FM44+FT44+FW44+GC44+GE44+GG44+GI44+GA44</f>
        <v>0</v>
      </c>
      <c r="J52" s="1112"/>
      <c r="K52" s="1113"/>
      <c r="L52" s="249"/>
      <c r="M52" s="1263" t="s">
        <v>450</v>
      </c>
      <c r="N52" s="1264"/>
      <c r="O52" s="1264"/>
      <c r="P52" s="1264"/>
      <c r="Q52" s="1264"/>
      <c r="R52" s="1264"/>
      <c r="S52" s="1264"/>
      <c r="T52" s="1264"/>
      <c r="U52" s="1264"/>
      <c r="V52" s="1250" t="s">
        <v>218</v>
      </c>
      <c r="W52" s="1250"/>
      <c r="X52" s="1251"/>
      <c r="Y52" s="233"/>
      <c r="Z52" s="233"/>
      <c r="AA52" s="233"/>
      <c r="AB52" s="233"/>
      <c r="AG52" s="87"/>
      <c r="AH52" s="87"/>
      <c r="BO52" s="1"/>
      <c r="CL52" s="1"/>
      <c r="CW52" s="242"/>
      <c r="CX52" s="242"/>
      <c r="CY52"/>
      <c r="CZ52"/>
    </row>
    <row r="53" spans="1:110">
      <c r="A53" s="1128" t="str">
        <f>"Arbejde særligt planlagt for "&amp;A12&amp;" måned efter fanen skemaoplysninger"</f>
        <v>Arbejde særligt planlagt for September måned efter fanen skemaoplysninger</v>
      </c>
      <c r="B53" s="1129"/>
      <c r="C53" s="1129"/>
      <c r="D53" s="1129"/>
      <c r="E53" s="1129"/>
      <c r="F53" s="1129"/>
      <c r="G53" s="1129"/>
      <c r="H53" s="1130"/>
      <c r="I53" s="1109">
        <f>IF(I51&gt;0,Skemaoplysninger!L107,0)</f>
        <v>0</v>
      </c>
      <c r="J53" s="1126"/>
      <c r="K53" s="1127"/>
      <c r="L53" s="235"/>
      <c r="M53" s="1265"/>
      <c r="N53" s="1266"/>
      <c r="O53" s="1266"/>
      <c r="P53" s="1266"/>
      <c r="Q53" s="1266"/>
      <c r="R53" s="1266"/>
      <c r="S53" s="1266"/>
      <c r="T53" s="1266"/>
      <c r="U53" s="1267"/>
      <c r="V53" s="1170"/>
      <c r="W53" s="1170"/>
      <c r="X53" s="1171"/>
      <c r="Y53" s="241"/>
      <c r="Z53" s="233"/>
      <c r="AB53" s="233"/>
      <c r="AC53" s="233"/>
      <c r="AI53" s="87"/>
      <c r="AJ53" s="87"/>
      <c r="BC53" s="233"/>
      <c r="BQ53" s="1"/>
      <c r="CN53" s="1"/>
      <c r="CX53" s="242"/>
      <c r="CZ53"/>
    </row>
    <row r="54" spans="1:110">
      <c r="A54" s="1095" t="s">
        <v>288</v>
      </c>
      <c r="B54" s="1096"/>
      <c r="C54" s="1096"/>
      <c r="D54" s="1096"/>
      <c r="E54" s="1096"/>
      <c r="F54" s="1096"/>
      <c r="G54" s="1096"/>
      <c r="H54" s="1096"/>
      <c r="I54" s="1097">
        <f>V44+X44+R109-GP44+T109</f>
        <v>0</v>
      </c>
      <c r="J54" s="1098"/>
      <c r="K54" s="1099"/>
      <c r="L54" s="235"/>
      <c r="M54" s="1229"/>
      <c r="N54" s="1230"/>
      <c r="O54" s="1230"/>
      <c r="P54" s="1230"/>
      <c r="Q54" s="1230"/>
      <c r="R54" s="1230"/>
      <c r="S54" s="1230"/>
      <c r="T54" s="1230"/>
      <c r="U54" s="1230"/>
      <c r="V54" s="1039"/>
      <c r="W54" s="1040"/>
      <c r="X54" s="1041"/>
      <c r="Y54" s="241"/>
      <c r="Z54" s="233"/>
      <c r="AB54" s="233"/>
      <c r="AC54" s="233"/>
      <c r="AH54" s="87"/>
      <c r="AI54" s="87"/>
      <c r="BP54" s="1"/>
      <c r="CM54" s="1"/>
      <c r="CX54" s="242"/>
      <c r="CZ54"/>
    </row>
    <row r="55" spans="1:110" ht="17" thickBot="1">
      <c r="A55" s="255" t="str">
        <f>"Faktisk arbejdstid ialt i "&amp;A12&amp;" måned"</f>
        <v>Faktisk arbejdstid ialt i September måned</v>
      </c>
      <c r="B55" s="307"/>
      <c r="C55" s="308"/>
      <c r="D55" s="308"/>
      <c r="E55" s="308"/>
      <c r="F55" s="308"/>
      <c r="G55" s="308"/>
      <c r="H55" s="309"/>
      <c r="I55" s="1131">
        <f>I51+I54+I53+I52</f>
        <v>224.16000000000003</v>
      </c>
      <c r="J55" s="1132"/>
      <c r="K55" s="1133"/>
      <c r="L55" s="235"/>
      <c r="M55" s="1229"/>
      <c r="N55" s="1230"/>
      <c r="O55" s="1230"/>
      <c r="P55" s="1230"/>
      <c r="Q55" s="1230"/>
      <c r="R55" s="1230"/>
      <c r="S55" s="1230"/>
      <c r="T55" s="1230"/>
      <c r="U55" s="1230"/>
      <c r="V55" s="1039"/>
      <c r="W55" s="1040"/>
      <c r="X55" s="1041"/>
      <c r="Y55" s="233"/>
      <c r="Z55" s="233"/>
      <c r="AA55" s="233"/>
      <c r="AB55" s="233"/>
      <c r="AC55" s="211"/>
      <c r="AD55" s="241"/>
      <c r="AE55" s="241"/>
      <c r="AF55" s="241"/>
      <c r="AG55" s="241"/>
      <c r="AH55" s="233"/>
      <c r="AJ55" s="233"/>
      <c r="AK55" s="233"/>
      <c r="AO55" s="87"/>
      <c r="AP55" s="87"/>
      <c r="BW55" s="1"/>
      <c r="CT55" s="1"/>
      <c r="CY55"/>
      <c r="CZ55"/>
      <c r="DE55" s="242"/>
      <c r="DF55" s="242"/>
    </row>
    <row r="56" spans="1:110" ht="17" thickBot="1">
      <c r="A56" s="249"/>
      <c r="B56" s="249"/>
      <c r="C56" s="249"/>
      <c r="D56" s="249"/>
      <c r="E56" s="249"/>
      <c r="F56" s="249"/>
      <c r="G56" s="249"/>
      <c r="H56" s="249"/>
      <c r="I56" s="507"/>
      <c r="J56" s="507"/>
      <c r="K56" s="507"/>
      <c r="L56" s="485"/>
      <c r="M56" s="1229"/>
      <c r="N56" s="1230"/>
      <c r="O56" s="1230"/>
      <c r="P56" s="1230"/>
      <c r="Q56" s="1230"/>
      <c r="R56" s="1230"/>
      <c r="S56" s="1230"/>
      <c r="T56" s="1230"/>
      <c r="U56" s="1230"/>
      <c r="V56" s="1039"/>
      <c r="W56" s="1040"/>
      <c r="X56" s="1041"/>
      <c r="Y56" s="233"/>
      <c r="Z56" s="233"/>
      <c r="AA56" s="233"/>
      <c r="AB56" s="233"/>
      <c r="AC56" s="211"/>
      <c r="AD56" s="241"/>
      <c r="AE56" s="241"/>
      <c r="AF56" s="241"/>
      <c r="AG56" s="241"/>
      <c r="AH56" s="233"/>
      <c r="AJ56" s="233"/>
      <c r="AK56" s="233"/>
      <c r="AO56" s="87"/>
      <c r="AP56" s="87"/>
      <c r="BW56" s="1"/>
      <c r="CT56" s="1"/>
      <c r="CY56"/>
      <c r="CZ56"/>
      <c r="DE56" s="242"/>
      <c r="DF56" s="242"/>
    </row>
    <row r="57" spans="1:110" ht="39" customHeight="1" thickBot="1">
      <c r="A57" s="1086" t="s">
        <v>463</v>
      </c>
      <c r="B57" s="1087"/>
      <c r="C57" s="1087"/>
      <c r="D57" s="1087"/>
      <c r="E57" s="1087"/>
      <c r="F57" s="1087"/>
      <c r="G57" s="1087"/>
      <c r="H57" s="681" t="s">
        <v>608</v>
      </c>
      <c r="I57" s="1241" t="s">
        <v>462</v>
      </c>
      <c r="J57" s="1242"/>
      <c r="K57" s="1243"/>
      <c r="L57" s="485"/>
      <c r="M57" s="1244" t="s">
        <v>291</v>
      </c>
      <c r="N57" s="1245"/>
      <c r="O57" s="1245"/>
      <c r="P57" s="1245"/>
      <c r="Q57" s="1245"/>
      <c r="R57" s="1245"/>
      <c r="S57" s="1245"/>
      <c r="T57" s="1245"/>
      <c r="U57" s="1246"/>
      <c r="V57" s="1247">
        <f>V50-SUM(V53:X56)</f>
        <v>0</v>
      </c>
      <c r="W57" s="1248"/>
      <c r="X57" s="1249"/>
      <c r="Y57" s="233"/>
      <c r="Z57" s="233"/>
      <c r="AA57" s="233"/>
      <c r="AB57" s="233"/>
      <c r="AC57" s="211"/>
      <c r="AD57" s="241"/>
      <c r="AE57" s="241"/>
      <c r="AF57" s="241"/>
      <c r="AG57" s="241"/>
      <c r="AH57" s="233"/>
      <c r="AJ57" s="233"/>
      <c r="AK57" s="233"/>
      <c r="AO57" s="87"/>
      <c r="AP57" s="87"/>
      <c r="BW57" s="1"/>
      <c r="CT57" s="1"/>
      <c r="CY57"/>
      <c r="CZ57"/>
      <c r="DE57" s="242"/>
      <c r="DF57" s="242"/>
    </row>
    <row r="58" spans="1:110" ht="16" customHeight="1">
      <c r="A58" s="1121"/>
      <c r="B58" s="1122"/>
      <c r="C58" s="1122"/>
      <c r="D58" s="1122"/>
      <c r="E58" s="1122"/>
      <c r="F58" s="1122"/>
      <c r="G58" s="1122"/>
      <c r="H58" s="589">
        <f>August!H67</f>
        <v>0</v>
      </c>
      <c r="I58" s="1250">
        <f>August!I67</f>
        <v>0</v>
      </c>
      <c r="J58" s="1250"/>
      <c r="K58" s="1251"/>
      <c r="L58" s="485"/>
      <c r="M58" s="233"/>
      <c r="N58" s="233"/>
      <c r="O58" s="233"/>
      <c r="P58" s="233"/>
      <c r="Q58" s="211"/>
      <c r="R58" s="241"/>
      <c r="S58" s="241"/>
      <c r="T58" s="241"/>
      <c r="U58" s="241"/>
      <c r="V58" s="233"/>
      <c r="X58" s="233"/>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235" t="s">
        <v>467</v>
      </c>
      <c r="B59" s="1236"/>
      <c r="C59" s="1236"/>
      <c r="D59" s="1236"/>
      <c r="E59" s="1236"/>
      <c r="F59" s="1236"/>
      <c r="G59" s="1237"/>
      <c r="H59" s="587"/>
      <c r="I59" s="1238"/>
      <c r="J59" s="1239"/>
      <c r="K59" s="1240"/>
      <c r="L59" s="485"/>
      <c r="M59" s="233"/>
      <c r="N59" s="233"/>
      <c r="O59" s="233"/>
      <c r="P59" s="233"/>
      <c r="Q59" s="211"/>
      <c r="R59" s="241"/>
      <c r="S59" s="241"/>
      <c r="T59" s="241"/>
      <c r="U59" s="241"/>
      <c r="V59" s="233"/>
      <c r="X59" s="233"/>
      <c r="Y59" s="233"/>
      <c r="Z59" s="233"/>
      <c r="AA59" s="233"/>
      <c r="AB59" s="233"/>
      <c r="AC59" s="211"/>
      <c r="AD59" s="241"/>
      <c r="AE59" s="241"/>
      <c r="AF59" s="241"/>
      <c r="AG59" s="241"/>
      <c r="AH59" s="233"/>
      <c r="AJ59" s="233"/>
      <c r="AK59" s="233"/>
      <c r="AO59" s="87"/>
      <c r="AP59" s="87"/>
      <c r="BW59" s="1"/>
      <c r="CT59" s="1"/>
      <c r="CY59"/>
      <c r="CZ59"/>
      <c r="DE59" s="242"/>
      <c r="DF59" s="242"/>
    </row>
    <row r="60" spans="1:110" ht="37" customHeight="1">
      <c r="A60" s="1033" t="s">
        <v>609</v>
      </c>
      <c r="B60" s="1034"/>
      <c r="C60" s="1034"/>
      <c r="D60" s="1034"/>
      <c r="E60" s="1034"/>
      <c r="F60" s="1034"/>
      <c r="G60" s="1034"/>
      <c r="H60" s="1034"/>
      <c r="I60" s="1034"/>
      <c r="J60" s="1034"/>
      <c r="K60" s="1035"/>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5" customHeight="1">
      <c r="A61" s="1079" t="s">
        <v>610</v>
      </c>
      <c r="B61" s="1080"/>
      <c r="C61" s="1052" t="s">
        <v>492</v>
      </c>
      <c r="D61" s="1053"/>
      <c r="E61" s="1081" t="s">
        <v>493</v>
      </c>
      <c r="F61" s="1034"/>
      <c r="G61" s="1082"/>
      <c r="H61" s="1083" t="s">
        <v>464</v>
      </c>
      <c r="I61" s="1083"/>
      <c r="J61" s="1083"/>
      <c r="K61" s="1084"/>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c r="A62" s="1050"/>
      <c r="B62" s="1051"/>
      <c r="C62" s="1026"/>
      <c r="D62" s="1025"/>
      <c r="E62" s="1021"/>
      <c r="F62" s="1022"/>
      <c r="G62" s="1023"/>
      <c r="H62" s="588"/>
      <c r="I62" s="1019"/>
      <c r="J62" s="1019"/>
      <c r="K62" s="1020"/>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024"/>
      <c r="B63" s="1025"/>
      <c r="C63" s="1026"/>
      <c r="D63" s="1025"/>
      <c r="E63" s="1021"/>
      <c r="F63" s="1022"/>
      <c r="G63" s="1023"/>
      <c r="H63" s="588"/>
      <c r="I63" s="1019"/>
      <c r="J63" s="1019"/>
      <c r="K63" s="1020"/>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1024"/>
      <c r="B64" s="1025"/>
      <c r="C64" s="1026"/>
      <c r="D64" s="1025"/>
      <c r="E64" s="1021"/>
      <c r="F64" s="1022"/>
      <c r="G64" s="1023"/>
      <c r="H64" s="588"/>
      <c r="I64" s="1019"/>
      <c r="J64" s="1019"/>
      <c r="K64" s="1020"/>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98" ht="17" customHeight="1">
      <c r="A65" s="1024"/>
      <c r="B65" s="1025"/>
      <c r="C65" s="1026"/>
      <c r="D65" s="1025"/>
      <c r="E65" s="1021"/>
      <c r="F65" s="1022"/>
      <c r="G65" s="1023"/>
      <c r="H65" s="588"/>
      <c r="I65" s="1019"/>
      <c r="J65" s="1019"/>
      <c r="K65" s="1020"/>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98" ht="17" thickBot="1">
      <c r="A66" s="1054" t="s">
        <v>465</v>
      </c>
      <c r="B66" s="1055"/>
      <c r="C66" s="1056"/>
      <c r="D66" s="1056"/>
      <c r="E66" s="1056"/>
      <c r="F66" s="1056"/>
      <c r="G66" s="1056"/>
      <c r="H66" s="590">
        <f>H59+H58-SUM(H62:H65)</f>
        <v>0</v>
      </c>
      <c r="I66" s="1063">
        <f>I58+I59-SUM(I62:K65)</f>
        <v>0</v>
      </c>
      <c r="J66" s="1064"/>
      <c r="K66" s="1065"/>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98" ht="24" hidden="1" customHeight="1">
      <c r="A67" s="427"/>
      <c r="B67" s="427"/>
      <c r="C67" s="427"/>
      <c r="D67" s="427"/>
      <c r="E67" s="427"/>
      <c r="F67" s="427"/>
      <c r="G67" s="427"/>
      <c r="H67" s="437"/>
      <c r="I67" s="491"/>
      <c r="J67" s="491"/>
      <c r="K67" s="481"/>
      <c r="L67" s="635"/>
      <c r="M67" s="635"/>
      <c r="N67" s="635"/>
      <c r="O67" s="635"/>
      <c r="P67" s="635"/>
      <c r="Q67" s="509"/>
      <c r="R67" s="510"/>
      <c r="S67" s="510"/>
      <c r="T67" s="510"/>
      <c r="U67" s="510"/>
      <c r="V67" s="508" t="s">
        <v>538</v>
      </c>
      <c r="W67" s="511"/>
      <c r="X67" s="508"/>
      <c r="Y67" s="233"/>
      <c r="Z67"/>
      <c r="AC67" s="87"/>
      <c r="AD67" s="87"/>
      <c r="BK67" s="1"/>
      <c r="CH67" s="1"/>
      <c r="CS67" s="242"/>
      <c r="CT67" s="242"/>
      <c r="CY67"/>
      <c r="CZ67"/>
    </row>
    <row r="68" spans="1:198" hidden="1">
      <c r="A68" s="120" t="s">
        <v>203</v>
      </c>
      <c r="B68" s="120"/>
      <c r="C68" s="120"/>
      <c r="D68" s="120">
        <f>COUNTIF([0]!SEPTEMBER,"Skema 1")</f>
        <v>17</v>
      </c>
      <c r="E68" s="383"/>
      <c r="F68" s="120" t="s">
        <v>183</v>
      </c>
      <c r="G68" s="120">
        <f>COUNTIFS($B$14:$B$43,"ma",[0]!SEPTEMBER,"Skema 1")</f>
        <v>3</v>
      </c>
      <c r="H68" s="120"/>
      <c r="I68" s="496"/>
      <c r="J68" s="635"/>
      <c r="K68" s="635"/>
      <c r="L68" s="496"/>
      <c r="M68" s="636"/>
      <c r="N68" s="635"/>
      <c r="O68" s="636"/>
      <c r="P68" s="654" t="s">
        <v>551</v>
      </c>
      <c r="Q68" s="656" t="s">
        <v>562</v>
      </c>
      <c r="R68" s="225"/>
      <c r="S68" s="225"/>
      <c r="T68" s="225"/>
      <c r="U68" s="225"/>
      <c r="V68" s="225"/>
      <c r="W68" s="115"/>
      <c r="X68" s="115"/>
      <c r="Y68" s="233"/>
      <c r="Z68"/>
      <c r="AC68" s="87"/>
      <c r="AD68" s="87"/>
      <c r="BK68" s="1"/>
      <c r="CH68" s="1"/>
      <c r="CS68" s="242"/>
      <c r="CT68" s="242"/>
      <c r="CY68"/>
      <c r="CZ68"/>
    </row>
    <row r="69" spans="1:198" ht="15" hidden="1" customHeight="1">
      <c r="A69" s="1272" t="s">
        <v>204</v>
      </c>
      <c r="B69" s="1272"/>
      <c r="C69" s="1272"/>
      <c r="D69" s="120">
        <f>COUNTIF([0]!SEPTEMBER,"Skema 2")</f>
        <v>0</v>
      </c>
      <c r="E69" s="383"/>
      <c r="F69" s="120" t="s">
        <v>184</v>
      </c>
      <c r="G69" s="120">
        <f>COUNTIFS($B$14:$B$43,"ti",[0]!SEPTEMBER,"Skema 1")</f>
        <v>4</v>
      </c>
      <c r="H69" s="120"/>
      <c r="I69" s="496" t="s">
        <v>552</v>
      </c>
      <c r="J69" s="635"/>
      <c r="K69" s="496"/>
      <c r="L69" s="638"/>
      <c r="M69" s="636"/>
      <c r="N69" s="636"/>
      <c r="O69" s="639"/>
      <c r="P69" s="654">
        <f>IF(Stamoplysninger!$B$27="Ulempetillæg udbetales med 25% af nettotimelønnen.",SUM(DO44:DR44)-SUM(DS44:DV44),0)</f>
        <v>0.75</v>
      </c>
      <c r="Q69" s="656"/>
      <c r="R69" s="730"/>
      <c r="S69" s="225"/>
      <c r="T69" s="225"/>
      <c r="U69" s="225"/>
      <c r="V69" s="225"/>
      <c r="W69" s="115"/>
      <c r="X69" s="115"/>
      <c r="Y69" s="233"/>
      <c r="Z69"/>
      <c r="AC69" s="87"/>
      <c r="AD69" s="87"/>
      <c r="BK69" s="1"/>
      <c r="CH69" s="1"/>
      <c r="CS69" s="242"/>
      <c r="CT69" s="242"/>
      <c r="CY69"/>
      <c r="CZ69"/>
      <c r="GD69" s="486"/>
      <c r="GE69" s="486"/>
      <c r="GF69" s="486"/>
      <c r="GG69" s="486"/>
      <c r="GH69" s="486"/>
      <c r="GI69" s="486"/>
      <c r="GJ69" s="486"/>
      <c r="GK69" s="486"/>
      <c r="GL69" s="486"/>
      <c r="GM69" s="486"/>
      <c r="GN69" s="486"/>
      <c r="GO69" s="486"/>
      <c r="GP69" s="486"/>
    </row>
    <row r="70" spans="1:198" s="486" customFormat="1" hidden="1">
      <c r="A70" s="1271" t="s">
        <v>205</v>
      </c>
      <c r="B70" s="1271"/>
      <c r="C70" s="1271"/>
      <c r="D70" s="483">
        <f>COUNTIF([0]!SEPTEMBER,"Skema 3")</f>
        <v>0</v>
      </c>
      <c r="E70" s="484"/>
      <c r="F70" s="483" t="s">
        <v>185</v>
      </c>
      <c r="G70" s="483">
        <f>COUNTIFS($B$14:$B$43,"on",[0]!SEPTEMBER,"Skema 1")</f>
        <v>4</v>
      </c>
      <c r="H70" s="483"/>
      <c r="I70" s="653" t="s">
        <v>553</v>
      </c>
      <c r="J70" s="635"/>
      <c r="K70" s="496"/>
      <c r="L70" s="638"/>
      <c r="M70" s="636"/>
      <c r="N70" s="636"/>
      <c r="O70" s="636"/>
      <c r="P70" s="654"/>
      <c r="Q70" s="656">
        <f>IF(Stamoplysninger!$B$27="Ulempetillæg afspadseres med 25%(Kræver en aftale imellem ledelsen og den ansatte)",DW44+DX44+DY44+DZ44-EA44-EB44-EC44-ED44,0)</f>
        <v>0</v>
      </c>
      <c r="R70" s="731"/>
      <c r="S70" s="225"/>
      <c r="T70" s="225"/>
      <c r="U70" s="225"/>
      <c r="V70" s="225"/>
      <c r="W70" s="115"/>
      <c r="X70" s="115"/>
      <c r="Y70" s="500"/>
      <c r="AC70" s="483"/>
      <c r="AD70" s="483"/>
      <c r="BK70" s="502"/>
      <c r="CH70" s="502"/>
      <c r="CS70" s="503"/>
      <c r="CT70" s="503"/>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row>
    <row r="71" spans="1:198" s="486" customFormat="1" hidden="1">
      <c r="A71" s="1271" t="s">
        <v>206</v>
      </c>
      <c r="B71" s="1271"/>
      <c r="C71" s="1271"/>
      <c r="D71" s="483">
        <f>COUNTIF([0]!SEPTEMBER,"Skema 4")</f>
        <v>0</v>
      </c>
      <c r="E71" s="484"/>
      <c r="F71" s="483" t="s">
        <v>187</v>
      </c>
      <c r="G71" s="483">
        <f>COUNTIFS($B$14:$B$43,"to",[0]!SEPTEMBER,"Skema 1")</f>
        <v>3</v>
      </c>
      <c r="H71" s="483"/>
      <c r="I71" s="653" t="s">
        <v>554</v>
      </c>
      <c r="J71" s="635"/>
      <c r="K71" s="496"/>
      <c r="L71" s="638"/>
      <c r="M71" s="641"/>
      <c r="N71" s="641"/>
      <c r="O71" s="4"/>
      <c r="P71" s="654"/>
      <c r="Q71" s="656"/>
      <c r="R71" s="225"/>
      <c r="S71" s="225"/>
      <c r="T71" s="225"/>
      <c r="U71" s="225"/>
      <c r="V71" s="225"/>
      <c r="W71" s="115"/>
      <c r="X71" s="115"/>
      <c r="Y71" s="500"/>
      <c r="Z71" s="500"/>
      <c r="AA71" s="500"/>
      <c r="AB71" s="500"/>
      <c r="AC71" s="500"/>
      <c r="AD71" s="501"/>
      <c r="AE71" s="501"/>
      <c r="AF71" s="501"/>
      <c r="AG71" s="501"/>
      <c r="AH71" s="501"/>
      <c r="AI71" s="500"/>
      <c r="AK71" s="500"/>
      <c r="AL71" s="500"/>
      <c r="AP71" s="483"/>
      <c r="AQ71" s="483"/>
      <c r="BX71" s="502"/>
      <c r="CU71" s="502"/>
      <c r="DF71" s="503"/>
      <c r="DG71" s="503"/>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row>
    <row r="72" spans="1:198" s="486" customFormat="1" hidden="1">
      <c r="A72" s="483" t="s">
        <v>111</v>
      </c>
      <c r="B72" s="483"/>
      <c r="C72" s="483"/>
      <c r="D72" s="483">
        <f>COUNTIF([0]!SEPTEMBER,"Fagdag")+COUNTIF([0]!SEPTEMBER,"emnedag")</f>
        <v>0</v>
      </c>
      <c r="E72" s="484"/>
      <c r="F72" s="483" t="s">
        <v>186</v>
      </c>
      <c r="G72" s="483">
        <f>COUNTIFS($B$14:$B$43,"fr",[0]!SEPTEMBER,"Skema 1")</f>
        <v>3</v>
      </c>
      <c r="H72" s="483"/>
      <c r="I72" s="638" t="s">
        <v>555</v>
      </c>
      <c r="J72" s="635"/>
      <c r="K72" s="496"/>
      <c r="L72" s="638"/>
      <c r="M72" s="641"/>
      <c r="N72" s="641"/>
      <c r="O72" s="4"/>
      <c r="P72" s="654"/>
      <c r="Q72" s="656">
        <f>IF(Stamoplysninger!$B$31="Weekendtimer og weekendtillæg afspadseres.",EE44+EF44-EG44-EH44+EI44+EJ44,0)</f>
        <v>0</v>
      </c>
      <c r="R72" s="733"/>
      <c r="S72" s="225"/>
      <c r="T72" s="225"/>
      <c r="U72" s="225"/>
      <c r="V72" s="225"/>
      <c r="W72" s="115"/>
      <c r="X72" s="115"/>
      <c r="Y72" s="483"/>
      <c r="Z72" s="500"/>
      <c r="AA72" s="500"/>
      <c r="AB72" s="500"/>
      <c r="AC72" s="500"/>
      <c r="AD72" s="500"/>
      <c r="AE72" s="501"/>
      <c r="AF72" s="501"/>
      <c r="AG72" s="501"/>
      <c r="AH72" s="501"/>
      <c r="AI72" s="501"/>
      <c r="AJ72" s="500"/>
      <c r="AL72" s="500"/>
      <c r="AM72" s="500"/>
      <c r="AQ72" s="483"/>
      <c r="AR72" s="483"/>
      <c r="BY72" s="502"/>
      <c r="CV72" s="502"/>
      <c r="DG72" s="503"/>
      <c r="DH72" s="503"/>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row>
    <row r="73" spans="1:198" s="486" customFormat="1" hidden="1">
      <c r="A73" s="487" t="s">
        <v>110</v>
      </c>
      <c r="B73" s="483"/>
      <c r="C73" s="483"/>
      <c r="D73" s="483">
        <f>COUNTIF([0]!SEPTEMBER,"Lejrskole")+COUNTIF([0]!SEPTEMBER,"Ekskursion")</f>
        <v>5</v>
      </c>
      <c r="E73" s="484"/>
      <c r="F73" s="483"/>
      <c r="G73" s="483"/>
      <c r="H73" s="483"/>
      <c r="I73" s="638" t="s">
        <v>556</v>
      </c>
      <c r="J73" s="638"/>
      <c r="K73" s="638"/>
      <c r="L73" s="638"/>
      <c r="M73" s="642"/>
      <c r="N73" s="642"/>
      <c r="O73" s="4"/>
      <c r="P73" s="655">
        <f>IF(Stamoplysninger!$B$31="Weekendtimer og weekendtillæg udbetales.",EM44+EN44-EO44-EP44+EQ44+ER44,0)</f>
        <v>0</v>
      </c>
      <c r="Q73" s="656"/>
      <c r="R73" s="735"/>
      <c r="S73" s="225"/>
      <c r="T73" s="225"/>
      <c r="U73" s="225"/>
      <c r="V73" s="225"/>
      <c r="W73" s="115"/>
      <c r="X73" s="115"/>
      <c r="Y73" s="483"/>
      <c r="Z73" s="500"/>
      <c r="AA73" s="500"/>
      <c r="AB73" s="500"/>
      <c r="AC73" s="500"/>
      <c r="AD73" s="500"/>
      <c r="AE73" s="501"/>
      <c r="AF73" s="501"/>
      <c r="AG73" s="501"/>
      <c r="AH73" s="501"/>
      <c r="AI73" s="501"/>
      <c r="AJ73" s="500"/>
      <c r="AL73" s="500"/>
      <c r="AM73" s="500"/>
      <c r="AQ73" s="483"/>
      <c r="AR73" s="483"/>
      <c r="BY73" s="502"/>
      <c r="CV73" s="502"/>
      <c r="DG73" s="503"/>
      <c r="DH73" s="50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row>
    <row r="74" spans="1:198" s="486" customFormat="1" hidden="1">
      <c r="A74" s="483" t="s">
        <v>109</v>
      </c>
      <c r="B74" s="483"/>
      <c r="C74" s="483"/>
      <c r="D74" s="483">
        <f>COUNTIF([0]!SEPTEMBER,"Pæd.dag")</f>
        <v>0</v>
      </c>
      <c r="E74" s="484"/>
      <c r="F74" s="483" t="s">
        <v>188</v>
      </c>
      <c r="G74" s="483">
        <f>COUNTIFS($B$14:$B$43,"ma",[0]!SEPTEMBER,"Skema 2")</f>
        <v>0</v>
      </c>
      <c r="H74" s="483"/>
      <c r="I74" s="638" t="s">
        <v>557</v>
      </c>
      <c r="J74" s="638"/>
      <c r="K74" s="638"/>
      <c r="L74" s="638"/>
      <c r="M74" s="642"/>
      <c r="N74" s="642"/>
      <c r="O74" s="4"/>
      <c r="P74" s="654"/>
      <c r="Q74" s="656"/>
      <c r="R74" s="225"/>
      <c r="S74" s="225"/>
      <c r="T74" s="225"/>
      <c r="U74" s="225"/>
      <c r="V74" s="225"/>
      <c r="W74" s="115"/>
      <c r="X74" s="115"/>
      <c r="Y74" s="483"/>
      <c r="Z74" s="500"/>
      <c r="AA74" s="500"/>
      <c r="AB74" s="500"/>
      <c r="AC74" s="500"/>
      <c r="AD74" s="500"/>
      <c r="AE74" s="501"/>
      <c r="AF74" s="501"/>
      <c r="AG74" s="501"/>
      <c r="AH74" s="501"/>
      <c r="AI74" s="501"/>
      <c r="AJ74" s="500"/>
      <c r="AL74" s="500"/>
      <c r="AM74" s="500"/>
      <c r="AQ74" s="483"/>
      <c r="AR74" s="483"/>
      <c r="BY74" s="502"/>
      <c r="CV74" s="502"/>
      <c r="DG74" s="503"/>
      <c r="DH74" s="503"/>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row>
    <row r="75" spans="1:198" s="486" customFormat="1" ht="16" hidden="1" customHeight="1">
      <c r="A75" s="483" t="s">
        <v>118</v>
      </c>
      <c r="B75" s="483"/>
      <c r="C75" s="483"/>
      <c r="D75" s="483">
        <f>COUNTIF([0]!SEPTEMBER,"Weekend")</f>
        <v>8</v>
      </c>
      <c r="E75" s="484"/>
      <c r="F75" s="483" t="s">
        <v>189</v>
      </c>
      <c r="G75" s="483">
        <f>COUNTIFS($B$14:$B$43,"ti",[0]!SEPTEMBER,"Skema 2")</f>
        <v>0</v>
      </c>
      <c r="H75" s="483"/>
      <c r="I75" s="638" t="s">
        <v>558</v>
      </c>
      <c r="J75" s="638"/>
      <c r="K75" s="638"/>
      <c r="L75" s="638"/>
      <c r="M75" s="643"/>
      <c r="N75" s="643"/>
      <c r="O75" s="4"/>
      <c r="P75" s="654"/>
      <c r="Q75" s="657">
        <f>IF(Stamoplysninger!$B$31="Der er indgået lokalaftale omkring weekendtimer.(Kræver aftale med TR/FSL) Weekendtillæg afspadseres.",EU44+EV44-EW44-EX44,0)</f>
        <v>0</v>
      </c>
      <c r="R75" s="737"/>
      <c r="S75" s="225"/>
      <c r="T75" s="225"/>
      <c r="U75" s="225"/>
      <c r="V75" s="225"/>
      <c r="W75" s="115"/>
      <c r="X75" s="115"/>
      <c r="Y75" s="483"/>
      <c r="AP75" s="502"/>
      <c r="BM75" s="502"/>
      <c r="BX75" s="503"/>
      <c r="BY75" s="503"/>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row>
    <row r="76" spans="1:198" s="486" customFormat="1" ht="16" hidden="1" customHeight="1">
      <c r="A76" s="483" t="s">
        <v>125</v>
      </c>
      <c r="B76" s="483"/>
      <c r="C76" s="483"/>
      <c r="D76" s="483">
        <f>COUNTIF([0]!SEPTEMBER,"SH-dag")</f>
        <v>0</v>
      </c>
      <c r="E76" s="484"/>
      <c r="F76" s="483" t="s">
        <v>190</v>
      </c>
      <c r="G76" s="483">
        <f>COUNTIFS($B$14:$B$43,"on",[0]!SEPTEMBER,"Skema 2")</f>
        <v>0</v>
      </c>
      <c r="H76" s="483"/>
      <c r="I76" s="638" t="s">
        <v>559</v>
      </c>
      <c r="J76" s="638"/>
      <c r="K76" s="638"/>
      <c r="L76" s="638"/>
      <c r="M76" s="643"/>
      <c r="N76" s="643"/>
      <c r="O76" s="4"/>
      <c r="P76" s="654">
        <f>IF(Stamoplysninger!$B$31="Der er indgået lokalaftale omkring weekendtimer(Kræver aftale med TR/FSL). Weekendtillæg udbetales.",EY44+EZ44-FA44-FB44,0)</f>
        <v>0</v>
      </c>
      <c r="Q76" s="656"/>
      <c r="R76" s="739"/>
      <c r="S76" s="225"/>
      <c r="T76" s="225"/>
      <c r="U76" s="225"/>
      <c r="V76" s="225"/>
      <c r="W76" s="115"/>
      <c r="X76" s="115"/>
      <c r="Y76" s="483"/>
      <c r="AP76" s="502"/>
      <c r="BM76" s="502"/>
      <c r="BX76" s="503"/>
      <c r="BY76" s="503"/>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row>
    <row r="77" spans="1:198" s="486" customFormat="1" ht="16" hidden="1" customHeight="1">
      <c r="A77" s="483" t="s">
        <v>108</v>
      </c>
      <c r="B77" s="483"/>
      <c r="C77" s="483"/>
      <c r="D77" s="483">
        <f>COUNTIF([0]!SEPTEMBER,"Feriedag")</f>
        <v>0</v>
      </c>
      <c r="E77" s="484"/>
      <c r="F77" s="483" t="s">
        <v>191</v>
      </c>
      <c r="G77" s="483">
        <f>COUNTIFS($B$14:$B$43,"to",[0]!SEPTEMBER,"Skema 2")</f>
        <v>0</v>
      </c>
      <c r="H77" s="483"/>
      <c r="I77" s="638" t="s">
        <v>560</v>
      </c>
      <c r="J77" s="638"/>
      <c r="K77" s="638"/>
      <c r="L77" s="638"/>
      <c r="M77" s="643"/>
      <c r="N77" s="643"/>
      <c r="O77" s="4"/>
      <c r="P77" s="654"/>
      <c r="Q77" s="610">
        <f>IF(Stamoplysninger!$B$31="Der er indgået lokalaftale omkring weekendtillæg(Kræver aftale med TR/FSL). Weekendtimerne afspadseres.",FC44+FD44-FE44-FF44,0)</f>
        <v>0</v>
      </c>
      <c r="R77" s="741"/>
      <c r="S77" s="38"/>
      <c r="T77" s="38"/>
      <c r="U77"/>
      <c r="V77"/>
      <c r="W77"/>
      <c r="X77"/>
      <c r="Y77" s="483"/>
      <c r="AP77" s="502"/>
      <c r="BM77" s="502"/>
      <c r="BX77" s="503"/>
      <c r="BY77" s="503"/>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row>
    <row r="78" spans="1:198" s="486" customFormat="1" ht="16" hidden="1" customHeight="1">
      <c r="A78" s="483" t="s">
        <v>175</v>
      </c>
      <c r="B78" s="483"/>
      <c r="C78" s="483"/>
      <c r="D78" s="483">
        <f>COUNTIF([0]!SEPTEMBER,"Nul-dag")</f>
        <v>0</v>
      </c>
      <c r="E78" s="484"/>
      <c r="F78" s="483" t="s">
        <v>192</v>
      </c>
      <c r="G78" s="483">
        <f>COUNTIFS($B$14:$B$43,"fr",[0]!SEPTEMBER,"Skema 2")</f>
        <v>0</v>
      </c>
      <c r="H78" s="483"/>
      <c r="I78" s="638" t="s">
        <v>561</v>
      </c>
      <c r="J78" s="638"/>
      <c r="K78" s="638"/>
      <c r="L78" s="638"/>
      <c r="M78" s="643"/>
      <c r="N78" s="643"/>
      <c r="O78" s="4"/>
      <c r="P78" s="654">
        <f>IF(Stamoplysninger!$B$31="Der er indgået lokalaftale omkring weekendtillæg(Kræver aftale med TR/FSL). Weekendtimerne udbetales.",FG44+FH44-FI44-FJ44,0)</f>
        <v>0</v>
      </c>
      <c r="Q78" s="610"/>
      <c r="R78" s="742"/>
      <c r="S78"/>
      <c r="T78"/>
      <c r="U78"/>
      <c r="V78" t="s">
        <v>612</v>
      </c>
      <c r="W78"/>
      <c r="X78"/>
      <c r="Y78" s="483"/>
      <c r="AP78" s="502"/>
      <c r="BM78" s="502"/>
      <c r="BX78" s="503"/>
      <c r="BY78" s="503"/>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row>
    <row r="79" spans="1:198" s="486" customFormat="1" ht="16" hidden="1" customHeight="1">
      <c r="A79" s="488" t="s">
        <v>406</v>
      </c>
      <c r="B79" s="483"/>
      <c r="C79" s="483"/>
      <c r="D79" s="483">
        <f>COUNTIF([0]!SEPTEMBER,"Orlov")</f>
        <v>0</v>
      </c>
      <c r="E79" s="484"/>
      <c r="F79" s="489"/>
      <c r="G79" s="489"/>
      <c r="H79" s="489"/>
      <c r="I79" s="638" t="s">
        <v>567</v>
      </c>
      <c r="J79" s="638"/>
      <c r="K79" s="638"/>
      <c r="L79" s="638"/>
      <c r="M79" s="644"/>
      <c r="N79" s="644"/>
      <c r="O79" s="4"/>
      <c r="P79" s="637"/>
      <c r="Q79"/>
      <c r="R79" s="727">
        <f>IF(AND(C14="ikke relevant",S14="X"),V14*-1,0)</f>
        <v>0</v>
      </c>
      <c r="S79"/>
      <c r="T79" s="727">
        <f>IF(AND(C14="ikke relevant",U14="X"),X14*-1,0)</f>
        <v>0</v>
      </c>
      <c r="U79"/>
      <c r="V79">
        <f>IF(AND(C14="ikke relevant",H14&gt;""),R14*-1,0)</f>
        <v>0</v>
      </c>
      <c r="W79"/>
      <c r="X79"/>
      <c r="Y79" s="483"/>
      <c r="AP79" s="502"/>
      <c r="BM79" s="502"/>
      <c r="BX79" s="503"/>
      <c r="BY79" s="503"/>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row>
    <row r="80" spans="1:198" s="486" customFormat="1" ht="16" hidden="1" customHeight="1">
      <c r="A80" s="483" t="s">
        <v>158</v>
      </c>
      <c r="B80" s="483"/>
      <c r="C80" s="483"/>
      <c r="D80" s="483">
        <f>COUNTIF([0]!SEPTEMBER,"Ikke relevant")</f>
        <v>0</v>
      </c>
      <c r="E80" s="484"/>
      <c r="F80" s="483" t="s">
        <v>193</v>
      </c>
      <c r="G80" s="483">
        <f>COUNTIFS($B$14:$B$43,"ma",[0]!SEPTEMBER,"Skema 3")</f>
        <v>0</v>
      </c>
      <c r="H80" s="483"/>
      <c r="I80" s="638"/>
      <c r="J80" s="638"/>
      <c r="K80" s="638"/>
      <c r="L80" s="496"/>
      <c r="M80" s="644"/>
      <c r="N80" s="644"/>
      <c r="O80" s="4"/>
      <c r="P80" s="637"/>
      <c r="Q80"/>
      <c r="R80" s="727">
        <f t="shared" ref="R80:R108" si="45">IF(AND(C15="ikke relevant",S15="X"),V15*-1,0)</f>
        <v>0</v>
      </c>
      <c r="S80"/>
      <c r="T80" s="727">
        <f t="shared" ref="T80:T107" si="46">IF(AND(C15="ikke relevant",U15="X"),X15*-1,0)</f>
        <v>0</v>
      </c>
      <c r="U80"/>
      <c r="V80">
        <f t="shared" ref="V80:V107" si="47">IF(AND(C15="ikke relevant",H15&gt;""),R15*-1,0)</f>
        <v>0</v>
      </c>
      <c r="W80"/>
      <c r="X80"/>
      <c r="Y80" s="483"/>
      <c r="AP80" s="502"/>
      <c r="BM80" s="502"/>
      <c r="BX80" s="503"/>
      <c r="BY80" s="503"/>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row>
    <row r="81" spans="1:198" s="486" customFormat="1" hidden="1">
      <c r="A81" s="483" t="s">
        <v>107</v>
      </c>
      <c r="B81" s="483"/>
      <c r="C81" s="483"/>
      <c r="D81" s="483">
        <f>SUM(D68:D80)</f>
        <v>30</v>
      </c>
      <c r="E81" s="483"/>
      <c r="F81" s="483" t="s">
        <v>194</v>
      </c>
      <c r="G81" s="483">
        <f>COUNTIFS($B$14:$B$43,"ti",[0]!SEPTEMBER,"Skema 3")</f>
        <v>0</v>
      </c>
      <c r="H81" s="483"/>
      <c r="I81" s="638"/>
      <c r="J81" s="638"/>
      <c r="K81" s="638"/>
      <c r="L81" s="496"/>
      <c r="M81" s="644"/>
      <c r="N81" s="644"/>
      <c r="O81" s="4"/>
      <c r="P81" s="637"/>
      <c r="Q81"/>
      <c r="R81" s="727">
        <f t="shared" si="45"/>
        <v>0</v>
      </c>
      <c r="S81"/>
      <c r="T81" s="727">
        <f t="shared" si="46"/>
        <v>0</v>
      </c>
      <c r="U81"/>
      <c r="V81">
        <f t="shared" si="47"/>
        <v>0</v>
      </c>
      <c r="W81"/>
      <c r="X81"/>
      <c r="AO81" s="502"/>
      <c r="BL81" s="502"/>
      <c r="BW81" s="503"/>
      <c r="BX81" s="503"/>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row>
    <row r="82" spans="1:198" s="486" customFormat="1" hidden="1">
      <c r="A82" s="483" t="s">
        <v>236</v>
      </c>
      <c r="B82" s="483"/>
      <c r="C82" s="483"/>
      <c r="D82" s="483">
        <f>D81-D75-A91-D80</f>
        <v>22</v>
      </c>
      <c r="E82" s="490"/>
      <c r="F82" s="483" t="s">
        <v>195</v>
      </c>
      <c r="G82" s="483">
        <f>COUNTIFS($B$14:$B$43,"on",[0]!SEPTEMBER,"Skema 3")</f>
        <v>0</v>
      </c>
      <c r="H82" s="483"/>
      <c r="I82" s="638"/>
      <c r="J82" s="638"/>
      <c r="K82" s="638"/>
      <c r="L82" s="496"/>
      <c r="M82" s="644"/>
      <c r="N82" s="644"/>
      <c r="O82" s="4"/>
      <c r="P82" s="637"/>
      <c r="Q82"/>
      <c r="R82" s="727">
        <f t="shared" si="45"/>
        <v>0</v>
      </c>
      <c r="S82"/>
      <c r="T82" s="727">
        <f t="shared" si="46"/>
        <v>0</v>
      </c>
      <c r="U82"/>
      <c r="V82">
        <f t="shared" si="47"/>
        <v>0</v>
      </c>
      <c r="W82"/>
      <c r="X82"/>
      <c r="AO82" s="502"/>
      <c r="BL82" s="502"/>
      <c r="BW82" s="503"/>
      <c r="BX82" s="503"/>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row>
    <row r="83" spans="1:198" s="486" customFormat="1" hidden="1">
      <c r="A83" s="483"/>
      <c r="B83" s="483"/>
      <c r="C83" s="483"/>
      <c r="D83" s="483"/>
      <c r="E83" s="483"/>
      <c r="F83" s="483" t="s">
        <v>196</v>
      </c>
      <c r="G83" s="483">
        <f>COUNTIFS($B$14:$B$43,"to",[0]!SEPTEMBER,"Skema 3")</f>
        <v>0</v>
      </c>
      <c r="H83" s="483"/>
      <c r="I83" s="640"/>
      <c r="J83" s="638"/>
      <c r="K83" s="638"/>
      <c r="L83" s="496"/>
      <c r="M83" s="636"/>
      <c r="N83" s="636"/>
      <c r="O83" s="4"/>
      <c r="P83" s="637"/>
      <c r="Q83"/>
      <c r="R83" s="727">
        <f t="shared" si="45"/>
        <v>0</v>
      </c>
      <c r="S83"/>
      <c r="T83" s="727">
        <f t="shared" si="46"/>
        <v>0</v>
      </c>
      <c r="U83"/>
      <c r="V83">
        <f t="shared" si="47"/>
        <v>0</v>
      </c>
      <c r="W83"/>
      <c r="X83"/>
      <c r="AO83" s="502"/>
      <c r="BL83" s="502"/>
      <c r="BW83" s="503"/>
      <c r="BX83" s="50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row>
    <row r="84" spans="1:198" s="486" customFormat="1" hidden="1">
      <c r="A84" s="483"/>
      <c r="B84" s="483"/>
      <c r="C84" s="483"/>
      <c r="D84" s="483"/>
      <c r="E84" s="483"/>
      <c r="F84" s="483" t="s">
        <v>197</v>
      </c>
      <c r="G84" s="483">
        <f>COUNTIFS($B$14:$B$43,"fr",[0]!SEPTEMBER,"Skema 3")</f>
        <v>0</v>
      </c>
      <c r="H84" s="483"/>
      <c r="I84" s="491"/>
      <c r="J84" s="496"/>
      <c r="K84" s="496"/>
      <c r="L84" s="496"/>
      <c r="M84" s="4"/>
      <c r="N84" s="4"/>
      <c r="O84" s="4"/>
      <c r="P84" s="4"/>
      <c r="Q84"/>
      <c r="R84" s="727">
        <f t="shared" si="45"/>
        <v>0</v>
      </c>
      <c r="S84"/>
      <c r="T84" s="727">
        <f t="shared" si="46"/>
        <v>0</v>
      </c>
      <c r="U84"/>
      <c r="V84">
        <f t="shared" si="47"/>
        <v>0</v>
      </c>
      <c r="W84"/>
      <c r="X84"/>
      <c r="AO84" s="502"/>
      <c r="BL84" s="502"/>
      <c r="BW84" s="503"/>
      <c r="BX84" s="503"/>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row>
    <row r="85" spans="1:198" s="486" customFormat="1" hidden="1">
      <c r="A85" s="483" t="s">
        <v>289</v>
      </c>
      <c r="B85" s="483"/>
      <c r="C85" s="483"/>
      <c r="D85" s="483"/>
      <c r="E85" s="483"/>
      <c r="F85" s="483"/>
      <c r="G85" s="483"/>
      <c r="H85" s="483"/>
      <c r="I85" s="491"/>
      <c r="J85" s="496"/>
      <c r="K85" s="496"/>
      <c r="L85" s="496"/>
      <c r="M85" s="4"/>
      <c r="N85" s="4"/>
      <c r="O85" s="4"/>
      <c r="P85" s="4"/>
      <c r="Q85"/>
      <c r="R85" s="727">
        <f t="shared" si="45"/>
        <v>0</v>
      </c>
      <c r="S85"/>
      <c r="T85" s="727">
        <f t="shared" si="46"/>
        <v>0</v>
      </c>
      <c r="U85"/>
      <c r="V85">
        <f t="shared" si="47"/>
        <v>0</v>
      </c>
      <c r="W85"/>
      <c r="X85"/>
      <c r="AO85" s="502"/>
      <c r="BL85" s="502"/>
      <c r="BW85" s="503"/>
      <c r="BX85" s="503"/>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row>
    <row r="86" spans="1:198" s="486" customFormat="1" hidden="1">
      <c r="A86" s="483">
        <f>COUNTIF(C18:C19,"Skema 1")+COUNTIF(C18:C19,"Skema 2")+COUNTIF(C18:C19,"Skema 3")+COUNTIF(C18:C19,"Skema 4")+COUNTIF(C18:C19,"Fagdag")+COUNTIF(C18:C19,"Emnedag")+COUNTIF(C18:C19,"Lejrskole")+COUNTIF(C18:C19,"Ekskursion")+COUNTIF(C18:C19,"Pæd.dag")</f>
        <v>0</v>
      </c>
      <c r="B86" s="483"/>
      <c r="C86" s="483"/>
      <c r="D86" s="483"/>
      <c r="E86" s="483"/>
      <c r="F86" s="483" t="s">
        <v>198</v>
      </c>
      <c r="G86" s="483">
        <f>COUNTIFS($B$14:$B$43,"ma",[0]!SEPTEMBER,"Skema 4")</f>
        <v>0</v>
      </c>
      <c r="H86" s="483"/>
      <c r="I86" s="491"/>
      <c r="J86" s="496"/>
      <c r="K86" s="496"/>
      <c r="L86" s="496"/>
      <c r="M86" s="4"/>
      <c r="N86" s="4"/>
      <c r="O86" s="4"/>
      <c r="P86" s="4"/>
      <c r="Q86"/>
      <c r="R86" s="727">
        <f t="shared" si="45"/>
        <v>0</v>
      </c>
      <c r="S86"/>
      <c r="T86" s="727">
        <f t="shared" si="46"/>
        <v>0</v>
      </c>
      <c r="U86"/>
      <c r="V86">
        <f t="shared" si="47"/>
        <v>0</v>
      </c>
      <c r="W86"/>
      <c r="X86"/>
      <c r="AO86" s="502"/>
      <c r="BL86" s="502"/>
      <c r="BW86" s="503"/>
      <c r="BX86" s="503"/>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row>
    <row r="87" spans="1:198" s="486" customFormat="1" hidden="1">
      <c r="A87" s="483">
        <f>COUNTIF(C25:C26,"Skema 1")+COUNTIF(C25:C26,"Skema 2")+COUNTIF(C25:C26,"Skema 3")+COUNTIF(C25:C26,"Skema 4")+COUNTIF(C25:C26,"Fagdag")+COUNTIF(C25:C26,"Emnedag")+COUNTIF(C25:C26,"Lejrskole")+COUNTIF(C25:C26,"Ekskursion")+COUNTIF(C25:C26,"Pæd.dag")</f>
        <v>0</v>
      </c>
      <c r="B87" s="483"/>
      <c r="C87" s="483"/>
      <c r="D87" s="483"/>
      <c r="E87" s="483"/>
      <c r="F87" s="483" t="s">
        <v>199</v>
      </c>
      <c r="G87" s="483">
        <f>COUNTIFS($B$14:$B$43,"ti",[0]!SEPTEMBER,"Skema 4")</f>
        <v>0</v>
      </c>
      <c r="H87" s="483"/>
      <c r="I87" s="491"/>
      <c r="J87" s="496"/>
      <c r="K87" s="496"/>
      <c r="L87" s="496"/>
      <c r="M87" s="4"/>
      <c r="N87" s="4"/>
      <c r="O87" s="4"/>
      <c r="P87" s="4"/>
      <c r="Q87"/>
      <c r="R87" s="727">
        <f t="shared" si="45"/>
        <v>0</v>
      </c>
      <c r="S87"/>
      <c r="T87" s="727">
        <f t="shared" si="46"/>
        <v>0</v>
      </c>
      <c r="U87"/>
      <c r="V87">
        <f t="shared" si="47"/>
        <v>0</v>
      </c>
      <c r="W87"/>
      <c r="X87"/>
      <c r="AO87" s="502"/>
      <c r="BL87" s="502"/>
      <c r="BW87" s="503"/>
      <c r="BX87" s="503"/>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row>
    <row r="88" spans="1:198" s="486" customFormat="1" hidden="1">
      <c r="A88" s="483">
        <f>COUNTIF(C32:C33,"Skema 1")+COUNTIF(C32:C33,"Skema 2")+COUNTIF(C32:C33,"Skema 3")+COUNTIF(C32:C33,"Skema 4")+COUNTIF(C32:C33,"Fagdag")+COUNTIF(C32:C33,"Emnedag")+COUNTIF(C32:C33,"Lejrskole")+COUNTIF(C32:C33,"Ekskursion")+COUNTIF(C32:C33,"Pæd.dag")</f>
        <v>0</v>
      </c>
      <c r="B88" s="483"/>
      <c r="C88" s="483"/>
      <c r="D88" s="483"/>
      <c r="E88" s="483"/>
      <c r="F88" s="483" t="s">
        <v>200</v>
      </c>
      <c r="G88" s="483">
        <f>COUNTIFS($B$14:$B$43,"on",[0]!SEPTEMBER,"Skema 4")</f>
        <v>0</v>
      </c>
      <c r="H88" s="483"/>
      <c r="I88" s="491"/>
      <c r="J88" s="496"/>
      <c r="K88" s="496"/>
      <c r="L88" s="496"/>
      <c r="M88" s="4"/>
      <c r="N88" s="4"/>
      <c r="O88" s="4"/>
      <c r="P88" s="4"/>
      <c r="Q88"/>
      <c r="R88" s="727">
        <f t="shared" si="45"/>
        <v>0</v>
      </c>
      <c r="S88"/>
      <c r="T88" s="727">
        <f t="shared" si="46"/>
        <v>0</v>
      </c>
      <c r="U88"/>
      <c r="V88">
        <f t="shared" si="47"/>
        <v>0</v>
      </c>
      <c r="W88"/>
      <c r="X88"/>
      <c r="AO88" s="502"/>
      <c r="BL88" s="502"/>
      <c r="BW88" s="503"/>
      <c r="BX88" s="503"/>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row>
    <row r="89" spans="1:198" hidden="1">
      <c r="A89" s="483">
        <f>COUNTIF(C39:C40,"Skema 1")+COUNTIF(C39:C40,"Skema 2")+COUNTIF(C39:C40,"Skema 3")+COUNTIF(C39:C40,"Skema 4")+COUNTIF(C39:C40,"Fagdag")+COUNTIF(C39:C40,"Emnedag")+COUNTIF(C39:C40,"Lejrskole")+COUNTIF(C39:C40,"Ekskursion")+COUNTIF(C39:C40,"Pæd.dag")</f>
        <v>0</v>
      </c>
      <c r="B89" s="483"/>
      <c r="C89" s="483"/>
      <c r="D89" s="483"/>
      <c r="E89" s="483"/>
      <c r="F89" s="483" t="s">
        <v>201</v>
      </c>
      <c r="G89" s="483">
        <f>COUNTIFS($B$14:$B$43,"to",[0]!SEPTEMBER,"Skema 4")</f>
        <v>0</v>
      </c>
      <c r="H89" s="483"/>
      <c r="I89" s="491"/>
      <c r="J89" s="496"/>
      <c r="K89" s="496"/>
      <c r="L89" s="496"/>
      <c r="M89" s="4"/>
      <c r="N89" s="4"/>
      <c r="O89" s="4"/>
      <c r="P89" s="4"/>
      <c r="R89" s="727">
        <f t="shared" si="45"/>
        <v>0</v>
      </c>
      <c r="T89" s="727">
        <f t="shared" si="46"/>
        <v>0</v>
      </c>
      <c r="V89">
        <f t="shared" si="47"/>
        <v>0</v>
      </c>
      <c r="Y89"/>
      <c r="Z89"/>
      <c r="AO89" s="1">
        <f>SUM(N89:AN89)</f>
        <v>0</v>
      </c>
      <c r="BL89" s="1">
        <f>SUM(AI89:BK89)</f>
        <v>0</v>
      </c>
      <c r="BW89" s="242"/>
      <c r="BX89" s="242"/>
      <c r="CY89"/>
      <c r="CZ89"/>
    </row>
    <row r="90" spans="1:198" hidden="1">
      <c r="A90" s="483"/>
      <c r="B90" s="483"/>
      <c r="C90" s="483"/>
      <c r="D90" s="483"/>
      <c r="E90" s="483"/>
      <c r="F90" s="483" t="s">
        <v>202</v>
      </c>
      <c r="G90" s="483">
        <f>COUNTIFS($B$14:$B$43,"fr",[0]!SEPTEMBER,"Skema 4")</f>
        <v>0</v>
      </c>
      <c r="H90" s="483"/>
      <c r="I90" s="483"/>
      <c r="J90" s="486"/>
      <c r="K90" s="486"/>
      <c r="L90" s="38"/>
      <c r="R90" s="727">
        <f t="shared" si="45"/>
        <v>0</v>
      </c>
      <c r="T90" s="727">
        <f t="shared" si="46"/>
        <v>0</v>
      </c>
      <c r="V90">
        <f t="shared" si="47"/>
        <v>0</v>
      </c>
      <c r="Y90"/>
      <c r="Z90"/>
      <c r="AO90" s="1">
        <f>SUM(N90:AN90)</f>
        <v>0</v>
      </c>
      <c r="BL90" s="1">
        <f>SUM(AI90:BK90)</f>
        <v>0</v>
      </c>
      <c r="BW90" s="242"/>
      <c r="BX90" s="242"/>
      <c r="CY90"/>
      <c r="CZ90"/>
    </row>
    <row r="91" spans="1:198" hidden="1">
      <c r="A91" s="483">
        <f>SUM(A86:A90)</f>
        <v>0</v>
      </c>
      <c r="B91" s="483"/>
      <c r="C91" s="483"/>
      <c r="D91" s="483"/>
      <c r="E91" s="483"/>
      <c r="F91" s="483"/>
      <c r="G91" s="483">
        <f>SUM(G68:G90)</f>
        <v>17</v>
      </c>
      <c r="H91" s="486"/>
      <c r="I91" s="483"/>
      <c r="J91" s="486"/>
      <c r="K91" s="486"/>
      <c r="L91" s="38"/>
      <c r="R91" s="727">
        <f t="shared" si="45"/>
        <v>0</v>
      </c>
      <c r="T91" s="727">
        <f t="shared" si="46"/>
        <v>0</v>
      </c>
      <c r="V91">
        <f t="shared" si="47"/>
        <v>0</v>
      </c>
      <c r="Y91"/>
      <c r="Z91"/>
      <c r="AO91" s="1">
        <f>SUM(N91:AN91)</f>
        <v>0</v>
      </c>
      <c r="BL91" s="1">
        <f>SUM(AI91:BK91)</f>
        <v>0</v>
      </c>
      <c r="BW91" s="242"/>
      <c r="BX91" s="242"/>
      <c r="CY91"/>
      <c r="CZ91"/>
    </row>
    <row r="92" spans="1:198" hidden="1">
      <c r="A92" s="38"/>
      <c r="B92" s="38"/>
      <c r="C92" s="38"/>
      <c r="D92" s="38"/>
      <c r="E92" s="120"/>
      <c r="F92" s="120"/>
      <c r="G92" s="120"/>
      <c r="H92" s="38"/>
      <c r="I92" s="486"/>
      <c r="J92" s="486"/>
      <c r="K92" s="486"/>
      <c r="L92" s="38"/>
      <c r="R92" s="727">
        <f t="shared" si="45"/>
        <v>0</v>
      </c>
      <c r="T92" s="727">
        <f t="shared" si="46"/>
        <v>0</v>
      </c>
      <c r="V92">
        <f t="shared" si="47"/>
        <v>0</v>
      </c>
      <c r="Y92"/>
      <c r="Z92"/>
      <c r="AO92" s="1">
        <f>SUM(N92:AN92)</f>
        <v>0</v>
      </c>
      <c r="BL92" s="1">
        <f>SUM(AI92:BK92)</f>
        <v>0</v>
      </c>
      <c r="BW92" s="242"/>
      <c r="BX92" s="242"/>
      <c r="CY92"/>
      <c r="CZ92"/>
    </row>
    <row r="93" spans="1:198" hidden="1">
      <c r="A93" s="38"/>
      <c r="B93" s="38"/>
      <c r="C93" s="38"/>
      <c r="D93" s="38"/>
      <c r="E93" s="120"/>
      <c r="F93" s="120"/>
      <c r="G93" s="120"/>
      <c r="H93" s="38"/>
      <c r="I93" s="38"/>
      <c r="J93" s="486"/>
      <c r="K93" s="486"/>
      <c r="L93" s="38"/>
      <c r="R93" s="727">
        <f t="shared" si="45"/>
        <v>0</v>
      </c>
      <c r="T93" s="727">
        <f t="shared" si="46"/>
        <v>0</v>
      </c>
      <c r="V93">
        <f t="shared" si="47"/>
        <v>0</v>
      </c>
      <c r="Y93"/>
      <c r="Z93"/>
      <c r="BW93" s="242"/>
      <c r="BX93" s="242"/>
      <c r="CY93"/>
      <c r="CZ93"/>
    </row>
    <row r="94" spans="1:198" hidden="1">
      <c r="A94" s="38"/>
      <c r="B94" s="38"/>
      <c r="C94" s="38"/>
      <c r="D94" s="38"/>
      <c r="E94" s="120"/>
      <c r="F94" s="120"/>
      <c r="G94" s="120"/>
      <c r="H94" s="38"/>
      <c r="I94" s="38"/>
      <c r="J94" s="38"/>
      <c r="K94" s="38"/>
      <c r="L94" s="38"/>
      <c r="R94" s="727">
        <f t="shared" si="45"/>
        <v>0</v>
      </c>
      <c r="T94" s="727">
        <f t="shared" si="46"/>
        <v>0</v>
      </c>
      <c r="V94">
        <f t="shared" si="47"/>
        <v>0</v>
      </c>
      <c r="Y94"/>
      <c r="Z94"/>
      <c r="BW94" s="242"/>
      <c r="BX94" s="242"/>
      <c r="CY94"/>
      <c r="CZ94"/>
    </row>
    <row r="95" spans="1:198" hidden="1">
      <c r="A95" s="38"/>
      <c r="B95" s="38"/>
      <c r="C95" s="38"/>
      <c r="D95" s="38"/>
      <c r="E95" s="120"/>
      <c r="F95" s="120"/>
      <c r="G95" s="120"/>
      <c r="H95" s="38"/>
      <c r="I95" s="38"/>
      <c r="J95" s="38"/>
      <c r="K95" s="38"/>
      <c r="L95" s="38"/>
      <c r="R95" s="727">
        <f t="shared" si="45"/>
        <v>0</v>
      </c>
      <c r="T95" s="727">
        <f t="shared" si="46"/>
        <v>0</v>
      </c>
      <c r="V95">
        <f t="shared" si="47"/>
        <v>0</v>
      </c>
      <c r="Y95"/>
      <c r="Z95"/>
      <c r="BW95" s="242"/>
      <c r="BX95" s="242"/>
      <c r="CY95"/>
      <c r="CZ95"/>
    </row>
    <row r="96" spans="1:198" hidden="1">
      <c r="A96" s="432"/>
      <c r="B96" s="432"/>
      <c r="C96" s="432"/>
      <c r="D96" s="432"/>
      <c r="E96" s="87"/>
      <c r="F96" s="87"/>
      <c r="G96" s="87"/>
      <c r="I96" s="38"/>
      <c r="J96" s="38"/>
      <c r="K96" s="38"/>
      <c r="L96" s="38"/>
      <c r="R96" s="727">
        <f t="shared" si="45"/>
        <v>0</v>
      </c>
      <c r="T96" s="727">
        <f>IF(AND(C31="ikke relevant",U31="X"),X31*-1,0)</f>
        <v>0</v>
      </c>
      <c r="V96">
        <f>IF(AND(C31="ikke relevant",H31&gt;""),R31*-1,0)</f>
        <v>0</v>
      </c>
      <c r="Y96"/>
      <c r="Z96"/>
      <c r="BW96" s="242"/>
      <c r="BX96" s="242"/>
      <c r="CY96"/>
      <c r="CZ96"/>
    </row>
    <row r="97" spans="5:111" hidden="1">
      <c r="E97" s="87"/>
      <c r="F97" s="87"/>
      <c r="G97" s="87"/>
      <c r="I97" s="38"/>
      <c r="J97" s="38"/>
      <c r="K97" s="38"/>
      <c r="L97" s="38"/>
      <c r="R97" s="727">
        <f t="shared" si="45"/>
        <v>0</v>
      </c>
      <c r="T97" s="727">
        <f t="shared" si="46"/>
        <v>0</v>
      </c>
      <c r="V97">
        <f t="shared" si="47"/>
        <v>0</v>
      </c>
      <c r="Y97"/>
      <c r="Z97"/>
      <c r="BW97" s="242"/>
      <c r="BX97" s="242"/>
      <c r="CY97"/>
      <c r="CZ97"/>
    </row>
    <row r="98" spans="5:111" hidden="1">
      <c r="E98" s="87"/>
      <c r="F98" s="87"/>
      <c r="G98" s="87"/>
      <c r="I98" s="38"/>
      <c r="J98" s="38"/>
      <c r="K98" s="38"/>
      <c r="L98" s="38"/>
      <c r="R98" s="727">
        <f t="shared" si="45"/>
        <v>0</v>
      </c>
      <c r="T98" s="727">
        <f t="shared" si="46"/>
        <v>0</v>
      </c>
      <c r="V98">
        <f t="shared" si="47"/>
        <v>0</v>
      </c>
      <c r="Y98"/>
      <c r="Z98"/>
      <c r="AD98" s="4"/>
      <c r="AE98" s="226"/>
      <c r="AF98" s="226"/>
      <c r="AG98" s="226"/>
      <c r="AH98" s="226"/>
      <c r="CY98"/>
      <c r="CZ98"/>
      <c r="DF98" s="242"/>
      <c r="DG98" s="242"/>
    </row>
    <row r="99" spans="5:111" hidden="1">
      <c r="E99" s="87"/>
      <c r="F99" s="87"/>
      <c r="G99" s="87"/>
      <c r="I99" s="38"/>
      <c r="J99" s="38"/>
      <c r="K99" s="38"/>
      <c r="L99" s="38"/>
      <c r="R99" s="727">
        <f t="shared" si="45"/>
        <v>0</v>
      </c>
      <c r="T99" s="727">
        <f t="shared" si="46"/>
        <v>0</v>
      </c>
      <c r="V99">
        <f t="shared" si="47"/>
        <v>0</v>
      </c>
      <c r="Y99"/>
      <c r="Z99"/>
      <c r="AD99" s="4"/>
      <c r="AE99" s="226"/>
      <c r="AF99" s="226"/>
      <c r="AG99" s="226"/>
      <c r="AH99" s="226"/>
      <c r="CY99"/>
      <c r="CZ99"/>
      <c r="DF99" s="242"/>
      <c r="DG99" s="242"/>
    </row>
    <row r="100" spans="5:111" hidden="1">
      <c r="E100" s="87"/>
      <c r="F100" s="87"/>
      <c r="G100" s="87"/>
      <c r="I100" s="38"/>
      <c r="J100" s="38"/>
      <c r="K100" s="38"/>
      <c r="L100" s="38"/>
      <c r="R100" s="727">
        <f t="shared" si="45"/>
        <v>0</v>
      </c>
      <c r="T100" s="727">
        <f t="shared" si="46"/>
        <v>0</v>
      </c>
      <c r="V100">
        <f t="shared" si="47"/>
        <v>0</v>
      </c>
    </row>
    <row r="101" spans="5:111" hidden="1">
      <c r="E101" s="87"/>
      <c r="F101" s="87"/>
      <c r="G101" s="87"/>
      <c r="I101" s="38"/>
      <c r="J101" s="38"/>
      <c r="K101" s="38"/>
      <c r="L101" s="38"/>
      <c r="R101" s="727">
        <f t="shared" si="45"/>
        <v>0</v>
      </c>
      <c r="T101" s="727">
        <f t="shared" si="46"/>
        <v>0</v>
      </c>
      <c r="V101">
        <f t="shared" si="47"/>
        <v>0</v>
      </c>
    </row>
    <row r="102" spans="5:111" hidden="1">
      <c r="I102" s="38"/>
      <c r="J102" s="38"/>
      <c r="K102" s="38"/>
      <c r="L102" s="38"/>
      <c r="R102" s="727">
        <f t="shared" si="45"/>
        <v>0</v>
      </c>
      <c r="T102" s="727">
        <f t="shared" si="46"/>
        <v>0</v>
      </c>
      <c r="V102">
        <f t="shared" si="47"/>
        <v>0</v>
      </c>
    </row>
    <row r="103" spans="5:111" hidden="1">
      <c r="I103" s="38"/>
      <c r="J103" s="38"/>
      <c r="K103" s="38"/>
      <c r="L103" s="38"/>
      <c r="R103" s="727">
        <f t="shared" si="45"/>
        <v>0</v>
      </c>
      <c r="T103" s="727">
        <f t="shared" si="46"/>
        <v>0</v>
      </c>
      <c r="V103">
        <f t="shared" si="47"/>
        <v>0</v>
      </c>
    </row>
    <row r="104" spans="5:111" hidden="1">
      <c r="I104" s="38"/>
      <c r="J104" s="38"/>
      <c r="K104" s="38"/>
      <c r="L104" s="432"/>
      <c r="R104" s="727">
        <f t="shared" si="45"/>
        <v>0</v>
      </c>
      <c r="T104" s="727">
        <f t="shared" si="46"/>
        <v>0</v>
      </c>
      <c r="V104">
        <f t="shared" si="47"/>
        <v>0</v>
      </c>
    </row>
    <row r="105" spans="5:111" hidden="1">
      <c r="I105" s="38"/>
      <c r="J105" s="38"/>
      <c r="K105" s="38"/>
      <c r="L105" s="432"/>
      <c r="R105" s="727">
        <f t="shared" si="45"/>
        <v>0</v>
      </c>
      <c r="T105" s="727">
        <f t="shared" si="46"/>
        <v>0</v>
      </c>
      <c r="V105">
        <f t="shared" si="47"/>
        <v>0</v>
      </c>
    </row>
    <row r="106" spans="5:111" hidden="1">
      <c r="I106" s="38"/>
      <c r="J106" s="38"/>
      <c r="K106" s="38"/>
      <c r="L106" s="432"/>
      <c r="R106" s="727">
        <f t="shared" si="45"/>
        <v>0</v>
      </c>
      <c r="T106" s="727">
        <f t="shared" si="46"/>
        <v>0</v>
      </c>
      <c r="V106">
        <f t="shared" si="47"/>
        <v>0</v>
      </c>
    </row>
    <row r="107" spans="5:111" hidden="1">
      <c r="I107" s="432"/>
      <c r="J107" s="38"/>
      <c r="K107" s="38"/>
      <c r="L107" s="432"/>
      <c r="R107" s="727">
        <f t="shared" si="45"/>
        <v>0</v>
      </c>
      <c r="T107" s="727">
        <f t="shared" si="46"/>
        <v>0</v>
      </c>
      <c r="V107">
        <f t="shared" si="47"/>
        <v>0</v>
      </c>
    </row>
    <row r="108" spans="5:111" ht="17" hidden="1" thickBot="1">
      <c r="I108" s="432"/>
      <c r="J108" s="432"/>
      <c r="K108" s="432"/>
      <c r="L108" s="432"/>
      <c r="R108" s="727">
        <f t="shared" si="45"/>
        <v>0</v>
      </c>
      <c r="T108" s="727">
        <f>IF(AND(C43="ikke relevant",U43="X"),X43*-1,0)</f>
        <v>0</v>
      </c>
      <c r="V108">
        <f>IF(AND(C43="ikke relevant",H43&gt;""),R43*-1,0)</f>
        <v>0</v>
      </c>
    </row>
    <row r="109" spans="5:111" ht="17" hidden="1" thickBot="1">
      <c r="I109" s="432"/>
      <c r="J109" s="432"/>
      <c r="K109" s="432"/>
      <c r="L109" s="432"/>
      <c r="P109" t="s">
        <v>664</v>
      </c>
      <c r="R109" s="669">
        <f>SUM(R79:R108)</f>
        <v>0</v>
      </c>
      <c r="S109" s="669">
        <f>SUM(S79:S108)</f>
        <v>0</v>
      </c>
      <c r="T109" s="669">
        <f>SUM(T79:T108)</f>
        <v>0</v>
      </c>
      <c r="V109" s="669">
        <f>SUM(V79:V108)</f>
        <v>0</v>
      </c>
    </row>
    <row r="110" spans="5:111" hidden="1">
      <c r="I110" s="432"/>
      <c r="J110" s="432"/>
      <c r="K110" s="432"/>
      <c r="L110" s="432"/>
      <c r="R110" s="1030" t="s">
        <v>666</v>
      </c>
      <c r="T110" s="1030" t="s">
        <v>667</v>
      </c>
    </row>
    <row r="111" spans="5:111" hidden="1">
      <c r="R111" s="884"/>
      <c r="T111" s="884"/>
    </row>
    <row r="112" spans="5:111" hidden="1">
      <c r="R112" s="884"/>
      <c r="T112" s="884"/>
    </row>
    <row r="113" spans="18:20" hidden="1">
      <c r="R113" s="884"/>
      <c r="T113" s="884"/>
    </row>
    <row r="114" spans="18:20" hidden="1"/>
    <row r="115" spans="18:20" hidden="1"/>
    <row r="116" spans="18:20" hidden="1"/>
    <row r="117" spans="18:20" hidden="1"/>
    <row r="118" spans="18:20" hidden="1"/>
    <row r="119" spans="18:20" hidden="1"/>
    <row r="120" spans="18:20" hidden="1"/>
    <row r="121" spans="18:20" hidden="1"/>
  </sheetData>
  <sheetProtection sheet="1" objects="1" scenarios="1"/>
  <mergeCells count="198">
    <mergeCell ref="DS13:DV13"/>
    <mergeCell ref="A3:H3"/>
    <mergeCell ref="A4:B4"/>
    <mergeCell ref="C4:D4"/>
    <mergeCell ref="E4:F4"/>
    <mergeCell ref="G4:H4"/>
    <mergeCell ref="I4:J4"/>
    <mergeCell ref="A5:B5"/>
    <mergeCell ref="C5:D5"/>
    <mergeCell ref="E5:F5"/>
    <mergeCell ref="G5:H5"/>
    <mergeCell ref="A6:B6"/>
    <mergeCell ref="C6:D6"/>
    <mergeCell ref="E6:F6"/>
    <mergeCell ref="G6:H6"/>
    <mergeCell ref="A7:B7"/>
    <mergeCell ref="C7:D7"/>
    <mergeCell ref="E7:F7"/>
    <mergeCell ref="G7:H7"/>
    <mergeCell ref="A12:D13"/>
    <mergeCell ref="BQ11:BU11"/>
    <mergeCell ref="BV11:BZ11"/>
    <mergeCell ref="CD11:CH11"/>
    <mergeCell ref="CI11:CM11"/>
    <mergeCell ref="FI8:GC8"/>
    <mergeCell ref="FI9:FL9"/>
    <mergeCell ref="FO9:FR9"/>
    <mergeCell ref="DO11:DV11"/>
    <mergeCell ref="FO11:FR11"/>
    <mergeCell ref="FS11:FT11"/>
    <mergeCell ref="GB11:GC11"/>
    <mergeCell ref="FC10:FF10"/>
    <mergeCell ref="FG10:FJ10"/>
    <mergeCell ref="FK10:FX10"/>
    <mergeCell ref="A66:G66"/>
    <mergeCell ref="I66:K66"/>
    <mergeCell ref="I62:K62"/>
    <mergeCell ref="I63:K63"/>
    <mergeCell ref="I64:K64"/>
    <mergeCell ref="I65:K65"/>
    <mergeCell ref="A71:C71"/>
    <mergeCell ref="E37:G37"/>
    <mergeCell ref="A69:C69"/>
    <mergeCell ref="A70:C70"/>
    <mergeCell ref="I55:K55"/>
    <mergeCell ref="A60:K60"/>
    <mergeCell ref="A61:B61"/>
    <mergeCell ref="C61:D61"/>
    <mergeCell ref="E61:G61"/>
    <mergeCell ref="H61:K61"/>
    <mergeCell ref="A62:B62"/>
    <mergeCell ref="C62:D62"/>
    <mergeCell ref="E62:G62"/>
    <mergeCell ref="A48:G48"/>
    <mergeCell ref="I48:K48"/>
    <mergeCell ref="A49:G49"/>
    <mergeCell ref="I49:K49"/>
    <mergeCell ref="A46:G46"/>
    <mergeCell ref="A53:H53"/>
    <mergeCell ref="I53:K53"/>
    <mergeCell ref="A54:H54"/>
    <mergeCell ref="I54:K54"/>
    <mergeCell ref="A50:G50"/>
    <mergeCell ref="I50:K50"/>
    <mergeCell ref="A51:G51"/>
    <mergeCell ref="I51:K51"/>
    <mergeCell ref="V50:X50"/>
    <mergeCell ref="V52:X52"/>
    <mergeCell ref="V53:X53"/>
    <mergeCell ref="M51:X51"/>
    <mergeCell ref="M50:U50"/>
    <mergeCell ref="M52:U52"/>
    <mergeCell ref="M53:U53"/>
    <mergeCell ref="A52:H52"/>
    <mergeCell ref="I52:K52"/>
    <mergeCell ref="E30:G30"/>
    <mergeCell ref="E31:G31"/>
    <mergeCell ref="K13:R13"/>
    <mergeCell ref="V13:X13"/>
    <mergeCell ref="S11:X11"/>
    <mergeCell ref="S13:U13"/>
    <mergeCell ref="E16:G16"/>
    <mergeCell ref="E22:G22"/>
    <mergeCell ref="E23:G23"/>
    <mergeCell ref="E24:G24"/>
    <mergeCell ref="E25:G25"/>
    <mergeCell ref="E26:G26"/>
    <mergeCell ref="E27:G27"/>
    <mergeCell ref="H12:H13"/>
    <mergeCell ref="E14:G14"/>
    <mergeCell ref="E15:G15"/>
    <mergeCell ref="E11:G13"/>
    <mergeCell ref="K11:L11"/>
    <mergeCell ref="N11:N12"/>
    <mergeCell ref="O11:O12"/>
    <mergeCell ref="A65:B65"/>
    <mergeCell ref="C65:D65"/>
    <mergeCell ref="E65:G65"/>
    <mergeCell ref="A57:G58"/>
    <mergeCell ref="I57:K57"/>
    <mergeCell ref="M57:U57"/>
    <mergeCell ref="V57:X57"/>
    <mergeCell ref="I58:K58"/>
    <mergeCell ref="B2:E2"/>
    <mergeCell ref="E9:G9"/>
    <mergeCell ref="K9:L9"/>
    <mergeCell ref="A10:R10"/>
    <mergeCell ref="P11:P12"/>
    <mergeCell ref="Q11:Q12"/>
    <mergeCell ref="R11:R12"/>
    <mergeCell ref="A9:D9"/>
    <mergeCell ref="A8:X8"/>
    <mergeCell ref="S10:X10"/>
    <mergeCell ref="E17:G17"/>
    <mergeCell ref="E18:G18"/>
    <mergeCell ref="E19:G19"/>
    <mergeCell ref="E20:G20"/>
    <mergeCell ref="E21:G21"/>
    <mergeCell ref="E28:G28"/>
    <mergeCell ref="A59:G59"/>
    <mergeCell ref="I59:K59"/>
    <mergeCell ref="A63:B63"/>
    <mergeCell ref="C63:D63"/>
    <mergeCell ref="E63:G63"/>
    <mergeCell ref="A64:B64"/>
    <mergeCell ref="C64:D64"/>
    <mergeCell ref="E64:G64"/>
    <mergeCell ref="E29:G29"/>
    <mergeCell ref="E32:G32"/>
    <mergeCell ref="E33:G33"/>
    <mergeCell ref="E41:G41"/>
    <mergeCell ref="E42:G42"/>
    <mergeCell ref="E43:G43"/>
    <mergeCell ref="A44:I44"/>
    <mergeCell ref="E34:G34"/>
    <mergeCell ref="E35:G35"/>
    <mergeCell ref="E36:G36"/>
    <mergeCell ref="E38:G38"/>
    <mergeCell ref="E39:G39"/>
    <mergeCell ref="E40:G40"/>
    <mergeCell ref="I46:K46"/>
    <mergeCell ref="A47:G47"/>
    <mergeCell ref="I47:K47"/>
    <mergeCell ref="CN11:CR11"/>
    <mergeCell ref="AL11:AP11"/>
    <mergeCell ref="AQ11:AU11"/>
    <mergeCell ref="AV11:AZ11"/>
    <mergeCell ref="BC11:BF11"/>
    <mergeCell ref="BG11:BK11"/>
    <mergeCell ref="BL11:BP11"/>
    <mergeCell ref="AA11:AE11"/>
    <mergeCell ref="AG11:AK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DW11:ED11"/>
    <mergeCell ref="EE11:EH11"/>
    <mergeCell ref="EI11:EL11"/>
    <mergeCell ref="EM11:EP11"/>
    <mergeCell ref="EQ11:ET11"/>
    <mergeCell ref="EU11:EX11"/>
    <mergeCell ref="EY11:FB11"/>
    <mergeCell ref="FC11:FF11"/>
    <mergeCell ref="FG11:FJ11"/>
    <mergeCell ref="FQ13:FR13"/>
    <mergeCell ref="R110:R113"/>
    <mergeCell ref="T110:T113"/>
    <mergeCell ref="I11:I13"/>
    <mergeCell ref="J11:J13"/>
    <mergeCell ref="FK11:FN11"/>
    <mergeCell ref="FU11:FX11"/>
    <mergeCell ref="FY11:FZ11"/>
    <mergeCell ref="GD11:GE11"/>
    <mergeCell ref="GF11:GG11"/>
    <mergeCell ref="M56:U56"/>
    <mergeCell ref="V56:X56"/>
    <mergeCell ref="DA11:DE11"/>
    <mergeCell ref="CS11:CW11"/>
    <mergeCell ref="V47:X47"/>
    <mergeCell ref="V48:X48"/>
    <mergeCell ref="V49:X49"/>
    <mergeCell ref="M46:X46"/>
    <mergeCell ref="M47:U47"/>
    <mergeCell ref="M48:U48"/>
    <mergeCell ref="M49:U49"/>
    <mergeCell ref="V54:X54"/>
    <mergeCell ref="V55:X55"/>
    <mergeCell ref="M54:U54"/>
    <mergeCell ref="M55:U55"/>
  </mergeCells>
  <phoneticPr fontId="5" type="noConversion"/>
  <conditionalFormatting sqref="A14:H43">
    <cfRule type="expression" dxfId="887" priority="137">
      <formula>OR($C14="Orlov")</formula>
    </cfRule>
    <cfRule type="expression" dxfId="886" priority="190" stopIfTrue="1">
      <formula>OR($C14="skoledag")</formula>
    </cfRule>
    <cfRule type="expression" dxfId="885" priority="189">
      <formula>OR($C14="weekend")</formula>
    </cfRule>
    <cfRule type="expression" dxfId="884" priority="188">
      <formula>OR($C14="feriedag")</formula>
    </cfRule>
    <cfRule type="expression" dxfId="883" priority="187">
      <formula>OR($C14="fagdag")</formula>
    </cfRule>
    <cfRule type="expression" dxfId="882" priority="186">
      <formula>OR($C14="emnedag")</formula>
    </cfRule>
    <cfRule type="expression" dxfId="881" priority="185">
      <formula>OR($C14="lejrskole")</formula>
    </cfRule>
    <cfRule type="expression" dxfId="880" priority="184">
      <formula>OR($C14="ekskursion")</formula>
    </cfRule>
    <cfRule type="expression" dxfId="879" priority="183">
      <formula>OR($C14="SH-dag")</formula>
    </cfRule>
    <cfRule type="expression" dxfId="878" priority="182">
      <formula>OR($C14="nul-dag")</formula>
    </cfRule>
    <cfRule type="expression" dxfId="877" priority="181">
      <formula>OR($C14="pæd.dag")</formula>
    </cfRule>
    <cfRule type="expression" dxfId="876" priority="180">
      <formula>OR($C14="Ikke relevant")</formula>
    </cfRule>
    <cfRule type="expression" dxfId="875" priority="179">
      <formula>OR($C14="Skema 4")</formula>
    </cfRule>
    <cfRule type="expression" dxfId="874" priority="178">
      <formula>OR($C14="Skema 3")</formula>
    </cfRule>
    <cfRule type="expression" dxfId="873" priority="177">
      <formula>OR($C14="skema 2")</formula>
    </cfRule>
    <cfRule type="expression" dxfId="872" priority="176">
      <formula>OR($C14="Skema 1")</formula>
    </cfRule>
  </conditionalFormatting>
  <conditionalFormatting sqref="C15:C19">
    <cfRule type="expression" dxfId="871" priority="64" stopIfTrue="1">
      <formula>OR($C15="skoledag")</formula>
    </cfRule>
    <cfRule type="expression" dxfId="870" priority="49">
      <formula>OR($C15="Skema 1")</formula>
    </cfRule>
    <cfRule type="expression" dxfId="869" priority="63">
      <formula>OR($C15="weekend")</formula>
    </cfRule>
    <cfRule type="expression" dxfId="868" priority="62">
      <formula>OR($C15="feriedag")</formula>
    </cfRule>
    <cfRule type="expression" dxfId="867" priority="61">
      <formula>OR($C15="fagdag")</formula>
    </cfRule>
    <cfRule type="expression" dxfId="866" priority="60">
      <formula>OR($C15="emnedag")</formula>
    </cfRule>
    <cfRule type="expression" dxfId="865" priority="59">
      <formula>OR($C15="lejrskole")</formula>
    </cfRule>
    <cfRule type="expression" dxfId="864" priority="58">
      <formula>OR($C15="ekskursion")</formula>
    </cfRule>
    <cfRule type="expression" dxfId="863" priority="57">
      <formula>OR($C15="SH-dag")</formula>
    </cfRule>
    <cfRule type="expression" dxfId="862" priority="56">
      <formula>OR($C15="nul-dag")</formula>
    </cfRule>
    <cfRule type="expression" dxfId="861" priority="55">
      <formula>OR($C15="pæd.dag")</formula>
    </cfRule>
    <cfRule type="expression" dxfId="860" priority="54">
      <formula>OR($C15="Ikke relevant")</formula>
    </cfRule>
    <cfRule type="expression" dxfId="859" priority="53">
      <formula>OR($C15="Skema 4")</formula>
    </cfRule>
    <cfRule type="expression" dxfId="858" priority="52">
      <formula>OR($C15="Skema 3")</formula>
    </cfRule>
    <cfRule type="expression" dxfId="857" priority="51">
      <formula>OR($C15="skema 2")</formula>
    </cfRule>
    <cfRule type="expression" dxfId="856" priority="50">
      <formula>OR($C15="Orlov")</formula>
    </cfRule>
  </conditionalFormatting>
  <conditionalFormatting sqref="C22:C26">
    <cfRule type="expression" dxfId="855" priority="33">
      <formula>OR($C22="Skema 1")</formula>
    </cfRule>
    <cfRule type="expression" dxfId="854" priority="34">
      <formula>OR($C22="Orlov")</formula>
    </cfRule>
    <cfRule type="expression" dxfId="853" priority="35">
      <formula>OR($C22="skema 2")</formula>
    </cfRule>
    <cfRule type="expression" dxfId="852" priority="36">
      <formula>OR($C22="Skema 3")</formula>
    </cfRule>
    <cfRule type="expression" dxfId="851" priority="37">
      <formula>OR($C22="Skema 4")</formula>
    </cfRule>
    <cfRule type="expression" dxfId="850" priority="38">
      <formula>OR($C22="Ikke relevant")</formula>
    </cfRule>
    <cfRule type="expression" dxfId="849" priority="39">
      <formula>OR($C22="pæd.dag")</formula>
    </cfRule>
    <cfRule type="expression" dxfId="848" priority="40">
      <formula>OR($C22="nul-dag")</formula>
    </cfRule>
    <cfRule type="expression" dxfId="847" priority="41">
      <formula>OR($C22="SH-dag")</formula>
    </cfRule>
    <cfRule type="expression" dxfId="846" priority="42">
      <formula>OR($C22="ekskursion")</formula>
    </cfRule>
    <cfRule type="expression" dxfId="845" priority="43">
      <formula>OR($C22="lejrskole")</formula>
    </cfRule>
    <cfRule type="expression" dxfId="844" priority="44">
      <formula>OR($C22="emnedag")</formula>
    </cfRule>
    <cfRule type="expression" dxfId="843" priority="45">
      <formula>OR($C22="fagdag")</formula>
    </cfRule>
    <cfRule type="expression" dxfId="842" priority="46">
      <formula>OR($C22="feriedag")</formula>
    </cfRule>
    <cfRule type="expression" dxfId="841" priority="47">
      <formula>OR($C22="weekend")</formula>
    </cfRule>
    <cfRule type="expression" dxfId="840" priority="48" stopIfTrue="1">
      <formula>OR($C22="skoledag")</formula>
    </cfRule>
  </conditionalFormatting>
  <conditionalFormatting sqref="C29:C33">
    <cfRule type="expression" dxfId="839" priority="17">
      <formula>OR($C29="Skema 1")</formula>
    </cfRule>
    <cfRule type="expression" dxfId="838" priority="32" stopIfTrue="1">
      <formula>OR($C29="skoledag")</formula>
    </cfRule>
    <cfRule type="expression" dxfId="837" priority="31">
      <formula>OR($C29="weekend")</formula>
    </cfRule>
    <cfRule type="expression" dxfId="836" priority="30">
      <formula>OR($C29="feriedag")</formula>
    </cfRule>
    <cfRule type="expression" dxfId="835" priority="29">
      <formula>OR($C29="fagdag")</formula>
    </cfRule>
    <cfRule type="expression" dxfId="834" priority="28">
      <formula>OR($C29="emnedag")</formula>
    </cfRule>
    <cfRule type="expression" dxfId="833" priority="27">
      <formula>OR($C29="lejrskole")</formula>
    </cfRule>
    <cfRule type="expression" dxfId="832" priority="26">
      <formula>OR($C29="ekskursion")</formula>
    </cfRule>
    <cfRule type="expression" dxfId="831" priority="25">
      <formula>OR($C29="SH-dag")</formula>
    </cfRule>
    <cfRule type="expression" dxfId="830" priority="24">
      <formula>OR($C29="nul-dag")</formula>
    </cfRule>
    <cfRule type="expression" dxfId="829" priority="23">
      <formula>OR($C29="pæd.dag")</formula>
    </cfRule>
    <cfRule type="expression" dxfId="828" priority="22">
      <formula>OR($C29="Ikke relevant")</formula>
    </cfRule>
    <cfRule type="expression" dxfId="827" priority="21">
      <formula>OR($C29="Skema 4")</formula>
    </cfRule>
    <cfRule type="expression" dxfId="826" priority="20">
      <formula>OR($C29="Skema 3")</formula>
    </cfRule>
    <cfRule type="expression" dxfId="825" priority="19">
      <formula>OR($C29="skema 2")</formula>
    </cfRule>
    <cfRule type="expression" dxfId="824" priority="18">
      <formula>OR($C29="Orlov")</formula>
    </cfRule>
  </conditionalFormatting>
  <conditionalFormatting sqref="C36:C40">
    <cfRule type="expression" dxfId="823" priority="1">
      <formula>OR($C36="Skema 1")</formula>
    </cfRule>
    <cfRule type="expression" dxfId="822" priority="12">
      <formula>OR($C36="emnedag")</formula>
    </cfRule>
    <cfRule type="expression" dxfId="821" priority="2">
      <formula>OR($C36="Orlov")</formula>
    </cfRule>
    <cfRule type="expression" dxfId="820" priority="3">
      <formula>OR($C36="skema 2")</formula>
    </cfRule>
    <cfRule type="expression" dxfId="819" priority="4">
      <formula>OR($C36="Skema 3")</formula>
    </cfRule>
    <cfRule type="expression" dxfId="818" priority="5">
      <formula>OR($C36="Skema 4")</formula>
    </cfRule>
    <cfRule type="expression" dxfId="817" priority="6">
      <formula>OR($C36="Ikke relevant")</formula>
    </cfRule>
    <cfRule type="expression" dxfId="816" priority="7">
      <formula>OR($C36="pæd.dag")</formula>
    </cfRule>
    <cfRule type="expression" dxfId="815" priority="8">
      <formula>OR($C36="nul-dag")</formula>
    </cfRule>
    <cfRule type="expression" dxfId="814" priority="9">
      <formula>OR($C36="SH-dag")</formula>
    </cfRule>
    <cfRule type="expression" dxfId="813" priority="10">
      <formula>OR($C36="ekskursion")</formula>
    </cfRule>
    <cfRule type="expression" dxfId="812" priority="11">
      <formula>OR($C36="lejrskole")</formula>
    </cfRule>
    <cfRule type="expression" dxfId="811" priority="16" stopIfTrue="1">
      <formula>OR($C36="skoledag")</formula>
    </cfRule>
    <cfRule type="expression" dxfId="810" priority="15">
      <formula>OR($C36="weekend")</formula>
    </cfRule>
    <cfRule type="expression" dxfId="809" priority="14">
      <formula>OR($C36="feriedag")</formula>
    </cfRule>
    <cfRule type="expression" dxfId="808" priority="13">
      <formula>OR($C36="fagdag")</formula>
    </cfRule>
  </conditionalFormatting>
  <conditionalFormatting sqref="E25">
    <cfRule type="expression" dxfId="807" priority="192">
      <formula>OR($D24="nul-dag")</formula>
    </cfRule>
    <cfRule type="expression" dxfId="806" priority="193">
      <formula>OR($D24="SH-dag")</formula>
    </cfRule>
    <cfRule type="expression" dxfId="805" priority="194">
      <formula>OR($D24="ekskursion")</formula>
    </cfRule>
    <cfRule type="expression" dxfId="804" priority="195">
      <formula>OR($D24="lejrskole")</formula>
    </cfRule>
    <cfRule type="expression" dxfId="803" priority="196">
      <formula>OR($D24="emnedag")</formula>
    </cfRule>
    <cfRule type="expression" dxfId="802" priority="197">
      <formula>OR($D24="fagdag")</formula>
    </cfRule>
    <cfRule type="expression" dxfId="801" priority="198">
      <formula>OR($D24="feriedag")</formula>
    </cfRule>
    <cfRule type="expression" dxfId="800" priority="199">
      <formula>OR($D24="weekend")</formula>
    </cfRule>
    <cfRule type="expression" dxfId="799" priority="200" stopIfTrue="1">
      <formula>OR($D24="skoledag")</formula>
    </cfRule>
    <cfRule type="expression" dxfId="798" priority="201">
      <formula>OR($D24="Ikke relevant")</formula>
    </cfRule>
    <cfRule type="expression" dxfId="797" priority="191">
      <formula>OR($D24="pæd.dag")</formula>
    </cfRule>
  </conditionalFormatting>
  <conditionalFormatting sqref="H62:H65">
    <cfRule type="expression" dxfId="796" priority="129">
      <formula>OR($A62&gt;0,)</formula>
    </cfRule>
  </conditionalFormatting>
  <conditionalFormatting sqref="I62:I65">
    <cfRule type="expression" dxfId="795" priority="130">
      <formula>OR($C62&gt;0,)</formula>
    </cfRule>
  </conditionalFormatting>
  <conditionalFormatting sqref="K14:K43">
    <cfRule type="expression" dxfId="794" priority="173">
      <formula>OR($C14="Pæd.dag",)</formula>
    </cfRule>
  </conditionalFormatting>
  <conditionalFormatting sqref="K14:L43">
    <cfRule type="expression" dxfId="793" priority="175">
      <formula>OR($C14="Ekskursion",)</formula>
    </cfRule>
    <cfRule type="expression" dxfId="792" priority="174">
      <formula>OR($C14="Lejrskole",)</formula>
    </cfRule>
  </conditionalFormatting>
  <conditionalFormatting sqref="K14:M43">
    <cfRule type="expression" dxfId="791" priority="172">
      <formula>OR($C14="emnedag",)</formula>
    </cfRule>
    <cfRule type="expression" dxfId="790" priority="171">
      <formula>OR($C14="fagdag",)</formula>
    </cfRule>
  </conditionalFormatting>
  <conditionalFormatting sqref="R14:R43">
    <cfRule type="expression" dxfId="789" priority="202">
      <formula>OR($H14&gt;"0",)</formula>
    </cfRule>
  </conditionalFormatting>
  <conditionalFormatting sqref="V14:V43">
    <cfRule type="expression" dxfId="788" priority="170">
      <formula>OR($S14="X",)</formula>
    </cfRule>
  </conditionalFormatting>
  <conditionalFormatting sqref="V53:X56">
    <cfRule type="expression" dxfId="787" priority="131">
      <formula>OR($M53&gt;0,)</formula>
    </cfRule>
  </conditionalFormatting>
  <conditionalFormatting sqref="W14:W43">
    <cfRule type="expression" dxfId="786" priority="138">
      <formula>OR($T14="X",)</formula>
    </cfRule>
  </conditionalFormatting>
  <conditionalFormatting sqref="X14:X43">
    <cfRule type="expression" dxfId="785" priority="169">
      <formula>OR($U14="X",)</formula>
    </cfRule>
  </conditionalFormatting>
  <dataValidations count="1">
    <dataValidation type="list" allowBlank="1" showInputMessage="1" showErrorMessage="1" sqref="S14:U43 A62:D65" xr:uid="{3AD7A720-4573-A241-A118-77292E8C1E64}">
      <formula1>$W$1:$W$2</formula1>
    </dataValidation>
  </dataValidations>
  <hyperlinks>
    <hyperlink ref="E4:F4" location="Arbejdstidsoversigt!A19" display="Arbejdstids-oversigt" xr:uid="{9E6E5906-2403-734C-82E0-9A0F14EAA435}"/>
    <hyperlink ref="G4:H4" location="Opgørelse!B12" display="Opgørelse" xr:uid="{DB0ADE39-AE3C-6D46-B20C-498AC92BC9E9}"/>
    <hyperlink ref="A5:B5" location="August!A12" display="August" xr:uid="{3B41A0DE-02B2-764A-832B-1D0B7E04C64F}"/>
    <hyperlink ref="C5:D5" location="September!A8" display="September" xr:uid="{2E68A283-FE89-4F41-82AC-B8C2C3409CFE}"/>
    <hyperlink ref="E5:F5" location="Oktober!A8" display="Oktober" xr:uid="{228E8420-FDA7-0E4E-8B99-F86A0E04A8D0}"/>
    <hyperlink ref="G5:H5" location="November!A8" display="November" xr:uid="{413E9A59-0C82-2540-B270-55B10964D222}"/>
    <hyperlink ref="A6:B6" location="December!A8" display="December" xr:uid="{EEB2B94B-E9C7-084F-95D2-F442DED9C18D}"/>
    <hyperlink ref="C6:D6" location="Januar!A8" display="Januar" xr:uid="{4490DDC0-B4DF-194E-9560-C572BF99CE4D}"/>
    <hyperlink ref="E6:F6" location="Februar!A8" display="Februar" xr:uid="{03701C83-54B8-8D41-BFB7-8C4D83031B23}"/>
    <hyperlink ref="A7:B7" location="April!A8" display="April" xr:uid="{641D50C7-9C51-7444-B4FC-9197C9A5AC70}"/>
    <hyperlink ref="C7:D7" location="Maj!A8" display="Maj" xr:uid="{75ED50C0-8B22-F848-9CAF-C2D4607012D4}"/>
    <hyperlink ref="E7:F7" location="Juni!A8" display="Juni" xr:uid="{00EFE8C6-0C7E-AE44-B7C8-0F6218DA6ED5}"/>
    <hyperlink ref="G7:H7" location="Juli!A8" display="Juli" xr:uid="{BFC6FC8E-CC91-984C-8019-45FBAA8E26F4}"/>
    <hyperlink ref="G6:H6" location="Marts!A8" display="Marts" xr:uid="{D35253FA-A5F1-BF40-AA93-275D4679A0D8}"/>
    <hyperlink ref="I4:J4" location="Stamoplysninger!E18" display="Stamoplysninger" xr:uid="{BF8C1F27-3943-284C-A755-727F14698A28}"/>
    <hyperlink ref="C4:D4" location="Opgaver!A8" display="Opgaver" xr:uid="{BA8365B0-E428-C541-92D9-3BE356043898}"/>
    <hyperlink ref="A4:B4" location="Skemaoplysninger!A20" display="Skemaoplysninger" xr:uid="{A0335291-E8F7-FB4A-B4D1-E7361DA78BB7}"/>
  </hyperlinks>
  <pageMargins left="0.7" right="0.7" top="0.75" bottom="0.75" header="0.3" footer="0.3"/>
  <pageSetup paperSize="9" scale="59" orientation="landscape" horizontalDpi="0" verticalDpi="0"/>
  <drawing r:id="rId1"/>
  <legacyDrawing r:id="rId2"/>
  <extLst>
    <ext xmlns:x14="http://schemas.microsoft.com/office/spreadsheetml/2009/9/main" uri="{CCE6A557-97BC-4b89-ADB6-D9C93CAAB3DF}">
      <x14:dataValidations xmlns:xm="http://schemas.microsoft.com/office/excel/2006/main" count="1">
        <x14:dataValidation type="list" allowBlank="1" showInputMessage="1" xr:uid="{184128BC-3E70-D54C-BB88-F1DAE60D68DB}">
          <x14:formula1>
            <xm:f>August!$A$94:$A$108</xm:f>
          </x14:formula1>
          <xm:sqref>C14:C43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38</vt:i4>
      </vt:variant>
      <vt:variant>
        <vt:lpstr>Navngivne områder</vt:lpstr>
      </vt:variant>
      <vt:variant>
        <vt:i4>65</vt:i4>
      </vt:variant>
    </vt:vector>
  </HeadingPairs>
  <TitlesOfParts>
    <vt:vector size="103" baseType="lpstr">
      <vt:lpstr>Vejledning</vt:lpstr>
      <vt:lpstr>Vejledning PDF</vt:lpstr>
      <vt:lpstr>Ændringer i forhold til 26-27</vt:lpstr>
      <vt:lpstr>Gode råd til check</vt:lpstr>
      <vt:lpstr>Opgørelse af arbejdstiden</vt:lpstr>
      <vt:lpstr>Stamoplysninger</vt:lpstr>
      <vt:lpstr>Skemaoplysninger</vt:lpstr>
      <vt:lpstr>August</vt:lpstr>
      <vt:lpstr>September</vt:lpstr>
      <vt:lpstr>Oktober</vt:lpstr>
      <vt:lpstr>November</vt:lpstr>
      <vt:lpstr>December</vt:lpstr>
      <vt:lpstr>Januar</vt:lpstr>
      <vt:lpstr>Februar</vt:lpstr>
      <vt:lpstr>Marts</vt:lpstr>
      <vt:lpstr>April</vt:lpstr>
      <vt:lpstr>Maj</vt:lpstr>
      <vt:lpstr>Juni</vt:lpstr>
      <vt:lpstr>Juli</vt:lpstr>
      <vt:lpstr>Arbejdstidsoversigt</vt:lpstr>
      <vt:lpstr>Opgaver</vt:lpstr>
      <vt:lpstr>Følgebrev</vt:lpstr>
      <vt:lpstr>Opgørelse</vt:lpstr>
      <vt:lpstr>Undervisningstillæg</vt:lpstr>
      <vt:lpstr>Ulempe-weekendtillæg</vt:lpstr>
      <vt:lpstr>Vejledning til arb.tidsoversigt</vt:lpstr>
      <vt:lpstr>Opgaveoversigt</vt:lpstr>
      <vt:lpstr>Aften-weekendtillæg</vt:lpstr>
      <vt:lpstr>Aar</vt:lpstr>
      <vt:lpstr>1.halvaar</vt:lpstr>
      <vt:lpstr>2.halvaar</vt:lpstr>
      <vt:lpstr>Skema 1 til print</vt:lpstr>
      <vt:lpstr>Skema 2 til print</vt:lpstr>
      <vt:lpstr>Skema 3 til print</vt:lpstr>
      <vt:lpstr>Skema 4 til print</vt:lpstr>
      <vt:lpstr>TOMT ÅR</vt:lpstr>
      <vt:lpstr>TOMT 1. HALVÅR</vt:lpstr>
      <vt:lpstr>TOMT 2. HALVÅR</vt:lpstr>
      <vt:lpstr>April</vt:lpstr>
      <vt:lpstr>April!AUG</vt:lpstr>
      <vt:lpstr>December!AUG</vt:lpstr>
      <vt:lpstr>Februar!AUG</vt:lpstr>
      <vt:lpstr>Januar!AUG</vt:lpstr>
      <vt:lpstr>Juli!AUG</vt:lpstr>
      <vt:lpstr>Juni!AUG</vt:lpstr>
      <vt:lpstr>Maj!AUG</vt:lpstr>
      <vt:lpstr>Marts!AUG</vt:lpstr>
      <vt:lpstr>November!AUG</vt:lpstr>
      <vt:lpstr>Oktober!AUG</vt:lpstr>
      <vt:lpstr>September!AUG</vt:lpstr>
      <vt:lpstr>AUG</vt:lpstr>
      <vt:lpstr>April!august</vt:lpstr>
      <vt:lpstr>August!august</vt:lpstr>
      <vt:lpstr>December!august</vt:lpstr>
      <vt:lpstr>Februar!august</vt:lpstr>
      <vt:lpstr>Januar!august</vt:lpstr>
      <vt:lpstr>Juli!august</vt:lpstr>
      <vt:lpstr>Juni!august</vt:lpstr>
      <vt:lpstr>Maj!august</vt:lpstr>
      <vt:lpstr>Marts!august</vt:lpstr>
      <vt:lpstr>November!august</vt:lpstr>
      <vt:lpstr>Oktober!august</vt:lpstr>
      <vt:lpstr>September!august</vt:lpstr>
      <vt:lpstr>AUGUST</vt:lpstr>
      <vt:lpstr>December</vt:lpstr>
      <vt:lpstr>Februar</vt:lpstr>
      <vt:lpstr>Januar</vt:lpstr>
      <vt:lpstr>Juli</vt:lpstr>
      <vt:lpstr>Juni</vt:lpstr>
      <vt:lpstr>Maj</vt:lpstr>
      <vt:lpstr>Marts</vt:lpstr>
      <vt:lpstr>November</vt:lpstr>
      <vt:lpstr>Oktober</vt:lpstr>
      <vt:lpstr>SEPTEMBER</vt:lpstr>
      <vt:lpstr>Skema_1</vt:lpstr>
      <vt:lpstr>'1.halvaar'!Udskriftsområde</vt:lpstr>
      <vt:lpstr>'2.halvaar'!Udskriftsområde</vt:lpstr>
      <vt:lpstr>April!Udskriftsområde</vt:lpstr>
      <vt:lpstr>Arbejdstidsoversigt!Udskriftsområde</vt:lpstr>
      <vt:lpstr>August!Udskriftsområde</vt:lpstr>
      <vt:lpstr>December!Udskriftsområde</vt:lpstr>
      <vt:lpstr>Februar!Udskriftsområde</vt:lpstr>
      <vt:lpstr>Januar!Udskriftsområde</vt:lpstr>
      <vt:lpstr>Juli!Udskriftsområde</vt:lpstr>
      <vt:lpstr>Juni!Udskriftsområde</vt:lpstr>
      <vt:lpstr>Maj!Udskriftsområde</vt:lpstr>
      <vt:lpstr>Marts!Udskriftsområde</vt:lpstr>
      <vt:lpstr>November!Udskriftsområde</vt:lpstr>
      <vt:lpstr>Oktober!Udskriftsområde</vt:lpstr>
      <vt:lpstr>Opgaver!Udskriftsområde</vt:lpstr>
      <vt:lpstr>Opgørelse!Udskriftsområde</vt:lpstr>
      <vt:lpstr>September!Udskriftsområde</vt:lpstr>
      <vt:lpstr>'Skema 1 til print'!Udskriftsområde</vt:lpstr>
      <vt:lpstr>'Skema 2 til print'!Udskriftsområde</vt:lpstr>
      <vt:lpstr>'Skema 3 til print'!Udskriftsområde</vt:lpstr>
      <vt:lpstr>'Skema 4 til print'!Udskriftsområde</vt:lpstr>
      <vt:lpstr>Skemaoplysninger!Udskriftsområde</vt:lpstr>
      <vt:lpstr>Stamoplysninger!Udskriftsområde</vt:lpstr>
      <vt:lpstr>'TOMT 2. HALVÅR'!Udskriftsområde</vt:lpstr>
      <vt:lpstr>'Ulempe-weekendtillæg'!Udskriftsområde</vt:lpstr>
      <vt:lpstr>Undervisningstillæg!Udskriftsområde</vt:lpstr>
      <vt:lpstr>Vejledning!Udskriftsområde</vt:lpstr>
      <vt:lpstr>Aar!Udskriftsområde</vt:lpstr>
    </vt:vector>
  </TitlesOfParts>
  <Manager/>
  <Company>Dansk Friskoleforening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Tove Dohn</dc:creator>
  <cp:keywords/>
  <dc:description/>
  <cp:lastModifiedBy>Tove Dohn Jensen</cp:lastModifiedBy>
  <cp:lastPrinted>2026-04-07T12:39:43Z</cp:lastPrinted>
  <dcterms:created xsi:type="dcterms:W3CDTF">2014-04-09T06:24:54Z</dcterms:created>
  <dcterms:modified xsi:type="dcterms:W3CDTF">2026-04-17T08:30:50Z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ntityNameForeign">
    <vt:lpwstr>ORG_Organisation</vt:lpwstr>
  </property>
  <property fmtid="{D5CDD505-2E9C-101B-9397-08002B2CF9AE}" pid="3" name="EntityId">
    <vt:lpwstr>317</vt:lpwstr>
  </property>
  <property fmtid="{D5CDD505-2E9C-101B-9397-08002B2CF9AE}" pid="4" name="DL_sAMAccountName">
    <vt:lpwstr>dftoje</vt:lpwstr>
  </property>
  <property fmtid="{D5CDD505-2E9C-101B-9397-08002B2CF9AE}" pid="5" name="DL_AuthorInitials">
    <vt:lpwstr>dftoje</vt:lpwstr>
  </property>
  <property fmtid="{D5CDD505-2E9C-101B-9397-08002B2CF9AE}" pid="6" name="fInit">
    <vt:lpwstr>dftoje</vt:lpwstr>
  </property>
  <property fmtid="{D5CDD505-2E9C-101B-9397-08002B2CF9AE}" pid="7" name="fNavn">
    <vt:lpwstr>Tove D Jensen</vt:lpwstr>
  </property>
  <property fmtid="{D5CDD505-2E9C-101B-9397-08002B2CF9AE}" pid="8" name="fEpost">
    <vt:lpwstr>tove@friskoler.dk</vt:lpwstr>
  </property>
  <property fmtid="{D5CDD505-2E9C-101B-9397-08002B2CF9AE}" pid="9" name="DL_Id">
    <vt:lpwstr>317</vt:lpwstr>
  </property>
  <property fmtid="{D5CDD505-2E9C-101B-9397-08002B2CF9AE}" pid="10" name="sOprettet">
    <vt:lpwstr>06-05-2015</vt:lpwstr>
  </property>
  <property fmtid="{D5CDD505-2E9C-101B-9397-08002B2CF9AE}" pid="11" name="sOprettetAf">
    <vt:lpwstr>test\test</vt:lpwstr>
  </property>
  <property fmtid="{D5CDD505-2E9C-101B-9397-08002B2CF9AE}" pid="12" name="sÆndret">
    <vt:lpwstr>06-05-2015</vt:lpwstr>
  </property>
  <property fmtid="{D5CDD505-2E9C-101B-9397-08002B2CF9AE}" pid="13" name="sÆndretAf">
    <vt:lpwstr>test\test</vt:lpwstr>
  </property>
  <property fmtid="{D5CDD505-2E9C-101B-9397-08002B2CF9AE}" pid="14" name="sKonto">
    <vt:lpwstr>              811007</vt:lpwstr>
  </property>
  <property fmtid="{D5CDD505-2E9C-101B-9397-08002B2CF9AE}" pid="15" name="sAktivitetsnr">
    <vt:lpwstr>811007</vt:lpwstr>
  </property>
  <property fmtid="{D5CDD505-2E9C-101B-9397-08002B2CF9AE}" pid="16" name="sNavn">
    <vt:lpwstr>Klim Friskole</vt:lpwstr>
  </property>
  <property fmtid="{D5CDD505-2E9C-101B-9397-08002B2CF9AE}" pid="17" name="sTitel">
    <vt:lpwstr>Klim Friskole</vt:lpwstr>
  </property>
  <property fmtid="{D5CDD505-2E9C-101B-9397-08002B2CF9AE}" pid="18" name="sGade">
    <vt:lpwstr>Oddevej 59
Klim</vt:lpwstr>
  </property>
  <property fmtid="{D5CDD505-2E9C-101B-9397-08002B2CF9AE}" pid="19" name="sPostnummer">
    <vt:lpwstr>9690</vt:lpwstr>
  </property>
  <property fmtid="{D5CDD505-2E9C-101B-9397-08002B2CF9AE}" pid="20" name="sBy">
    <vt:lpwstr>Fjerritslev</vt:lpwstr>
  </property>
  <property fmtid="{D5CDD505-2E9C-101B-9397-08002B2CF9AE}" pid="21" name="sTelefon">
    <vt:lpwstr>98 22 52 92</vt:lpwstr>
  </property>
  <property fmtid="{D5CDD505-2E9C-101B-9397-08002B2CF9AE}" pid="22" name="sFax">
    <vt:lpwstr/>
  </property>
  <property fmtid="{D5CDD505-2E9C-101B-9397-08002B2CF9AE}" pid="23" name="sCvrNummer">
    <vt:lpwstr/>
  </property>
  <property fmtid="{D5CDD505-2E9C-101B-9397-08002B2CF9AE}" pid="24" name="sAntalMedlemmer">
    <vt:lpwstr>28</vt:lpwstr>
  </property>
  <property fmtid="{D5CDD505-2E9C-101B-9397-08002B2CF9AE}" pid="25" name="sInteressentgruppe">
    <vt:lpwstr>Medlem af Dansk Friskoleforening</vt:lpwstr>
  </property>
  <property fmtid="{D5CDD505-2E9C-101B-9397-08002B2CF9AE}" pid="26" name="sSektion">
    <vt:lpwstr/>
  </property>
  <property fmtid="{D5CDD505-2E9C-101B-9397-08002B2CF9AE}" pid="27" name="sEjerform">
    <vt:lpwstr/>
  </property>
  <property fmtid="{D5CDD505-2E9C-101B-9397-08002B2CF9AE}" pid="28" name="sSelskabsform">
    <vt:lpwstr>0. - 9. klasse</vt:lpwstr>
  </property>
  <property fmtid="{D5CDD505-2E9C-101B-9397-08002B2CF9AE}" pid="29" name="sSagsbehandlernavn">
    <vt:lpwstr/>
  </property>
  <property fmtid="{D5CDD505-2E9C-101B-9397-08002B2CF9AE}" pid="30" name="sAfdeling">
    <vt:lpwstr/>
  </property>
  <property fmtid="{D5CDD505-2E9C-101B-9397-08002B2CF9AE}" pid="31" name="sStatus">
    <vt:lpwstr>0</vt:lpwstr>
  </property>
  <property fmtid="{D5CDD505-2E9C-101B-9397-08002B2CF9AE}" pid="32" name="sStatusDecode">
    <vt:lpwstr>Åben</vt:lpwstr>
  </property>
  <property fmtid="{D5CDD505-2E9C-101B-9397-08002B2CF9AE}" pid="33" name="sSidstÆndret">
    <vt:lpwstr>01-06-2015</vt:lpwstr>
  </property>
  <property fmtid="{D5CDD505-2E9C-101B-9397-08002B2CF9AE}" pid="34" name="sLastmodifiedby">
    <vt:lpwstr>CAMPHOSTING\dftoje</vt:lpwstr>
  </property>
</Properties>
</file>