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ve/Documents/Kurser/Skoleårets planlægning/2027-2028/"/>
    </mc:Choice>
  </mc:AlternateContent>
  <xr:revisionPtr revIDLastSave="0" documentId="13_ncr:1_{05D6A8E3-1E0E-B44B-9466-21985FFBFB8B}" xr6:coauthVersionLast="47" xr6:coauthVersionMax="47" xr10:uidLastSave="{00000000-0000-0000-0000-000000000000}"/>
  <bookViews>
    <workbookView xWindow="0" yWindow="500" windowWidth="27960" windowHeight="17500" tabRatio="500" xr2:uid="{00000000-000D-0000-FFFF-FFFF00000000}"/>
  </bookViews>
  <sheets>
    <sheet name="Maaned" sheetId="22" r:id="rId1"/>
    <sheet name="TOMT ÅR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TOMT 1. HALVÅR" sheetId="41" r:id="rId6"/>
    <sheet name="TOMT 2. HALVÅR" sheetId="42" r:id="rId7"/>
  </sheets>
  <externalReferences>
    <externalReference r:id="rId8"/>
  </externalReferences>
  <definedNames>
    <definedName name="_xlnm._FilterDatabase" localSheetId="0" hidden="1">Maaned!$A$1:$CJ$46</definedName>
    <definedName name="april" localSheetId="0">Maaned!$BH$5:$BH$34</definedName>
    <definedName name="April">#REF!</definedName>
    <definedName name="AUG">#REF!</definedName>
    <definedName name="august" localSheetId="0">Maaned!$D$5:$D$35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Maaned!$AF$5:$AF$35</definedName>
    <definedName name="December">#REF!</definedName>
    <definedName name="februar" localSheetId="0">Maaned!$AT$5:$AT$33</definedName>
    <definedName name="Februar">#REF!</definedName>
    <definedName name="fridageGrå" localSheetId="1">'TOMT ÅR'!fridageGrå</definedName>
    <definedName name="fridageGrå">[0]!fridageGrå</definedName>
    <definedName name="januar" localSheetId="0">Maaned!$AM$5:$AM$35</definedName>
    <definedName name="Januar">#REF!</definedName>
    <definedName name="juli" localSheetId="0">Maaned!$CC$5:$CC$35</definedName>
    <definedName name="Juli">#REF!</definedName>
    <definedName name="juni" localSheetId="0">Maaned!$BV$5:$BV$34</definedName>
    <definedName name="Juni">#REF!</definedName>
    <definedName name="maj" localSheetId="0">Maaned!$BO$5:$BO$35</definedName>
    <definedName name="Maj">#REF!</definedName>
    <definedName name="marts" localSheetId="0">Maaned!$BA$5:$BA$35</definedName>
    <definedName name="Marts">#REF!</definedName>
    <definedName name="november" localSheetId="0">Maaned!$Y$5:$Y$34</definedName>
    <definedName name="November">#REF!</definedName>
    <definedName name="oktober" localSheetId="0">Maaned!$R$5:$R$35</definedName>
    <definedName name="Oktober">#REF!</definedName>
    <definedName name="september" localSheetId="0">Maaned!$K$5:$K$34</definedName>
    <definedName name="SEPTEMBER">#REF!</definedName>
    <definedName name="skolenavn">#REF!</definedName>
    <definedName name="_xlnm.Print_Area" localSheetId="0">Maaned!$B$1:$CK$46</definedName>
    <definedName name="_xlnm.Print_Area" localSheetId="6">'TOMT 2. HALVÅR'!$A$1:$X$33</definedName>
    <definedName name="Ugenr" localSheetId="1">'TOMT ÅR'!Ugenr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7" l="1"/>
  <c r="AX37" i="22"/>
  <c r="BZ37" i="22"/>
  <c r="AN50" i="22"/>
  <c r="AG50" i="22"/>
  <c r="B118" i="22"/>
  <c r="E50" i="22" s="1"/>
  <c r="I118" i="22"/>
  <c r="L50" i="22" s="1"/>
  <c r="P118" i="22"/>
  <c r="W118" i="22"/>
  <c r="AD118" i="22"/>
  <c r="AK118" i="22"/>
  <c r="AR118" i="22"/>
  <c r="AY118" i="22"/>
  <c r="W116" i="22"/>
  <c r="W115" i="22"/>
  <c r="W114" i="22"/>
  <c r="W113" i="22"/>
  <c r="W110" i="22"/>
  <c r="W109" i="22"/>
  <c r="W108" i="22"/>
  <c r="W107" i="22"/>
  <c r="W104" i="22"/>
  <c r="W103" i="22"/>
  <c r="W102" i="22"/>
  <c r="W101" i="22"/>
  <c r="W98" i="22"/>
  <c r="W97" i="22"/>
  <c r="W96" i="22"/>
  <c r="W95" i="22"/>
  <c r="W92" i="22"/>
  <c r="W91" i="22"/>
  <c r="W90" i="22"/>
  <c r="W89" i="22"/>
  <c r="W86" i="22"/>
  <c r="W85" i="22"/>
  <c r="W84" i="22"/>
  <c r="W83" i="22"/>
  <c r="W80" i="22"/>
  <c r="W79" i="22"/>
  <c r="W78" i="22"/>
  <c r="W77" i="22"/>
  <c r="W74" i="22"/>
  <c r="W73" i="22"/>
  <c r="W72" i="22"/>
  <c r="W71" i="22"/>
  <c r="W68" i="22"/>
  <c r="W67" i="22"/>
  <c r="W66" i="22"/>
  <c r="W65" i="22"/>
  <c r="E37" i="22"/>
  <c r="CA117" i="22"/>
  <c r="BF117" i="22"/>
  <c r="AK117" i="22"/>
  <c r="P117" i="22"/>
  <c r="B117" i="22"/>
  <c r="CA116" i="22"/>
  <c r="BT116" i="22"/>
  <c r="BM116" i="22"/>
  <c r="BF116" i="22"/>
  <c r="AY116" i="22"/>
  <c r="AR116" i="22"/>
  <c r="AK116" i="22"/>
  <c r="AD116" i="22"/>
  <c r="P116" i="22"/>
  <c r="I116" i="22"/>
  <c r="B116" i="22"/>
  <c r="CA115" i="22"/>
  <c r="BT115" i="22"/>
  <c r="BM115" i="22"/>
  <c r="BF115" i="22"/>
  <c r="AY115" i="22"/>
  <c r="AR115" i="22"/>
  <c r="AK115" i="22"/>
  <c r="AD115" i="22"/>
  <c r="P115" i="22"/>
  <c r="I115" i="22"/>
  <c r="B115" i="22"/>
  <c r="CA114" i="22"/>
  <c r="BT114" i="22"/>
  <c r="BM114" i="22"/>
  <c r="BF114" i="22"/>
  <c r="AY114" i="22"/>
  <c r="AR114" i="22"/>
  <c r="AK114" i="22"/>
  <c r="AD114" i="22"/>
  <c r="P114" i="22"/>
  <c r="I114" i="22"/>
  <c r="B114" i="22"/>
  <c r="CA113" i="22"/>
  <c r="BT113" i="22"/>
  <c r="BM113" i="22"/>
  <c r="BF113" i="22"/>
  <c r="AY113" i="22"/>
  <c r="AR113" i="22"/>
  <c r="AK113" i="22"/>
  <c r="AD113" i="22"/>
  <c r="P113" i="22"/>
  <c r="I113" i="22"/>
  <c r="B113" i="22"/>
  <c r="CA111" i="22"/>
  <c r="BF111" i="22"/>
  <c r="AK111" i="22"/>
  <c r="P111" i="22"/>
  <c r="B111" i="22"/>
  <c r="CA110" i="22"/>
  <c r="BT110" i="22"/>
  <c r="BM110" i="22"/>
  <c r="BF110" i="22"/>
  <c r="AY110" i="22"/>
  <c r="AR110" i="22"/>
  <c r="AK110" i="22"/>
  <c r="AD110" i="22"/>
  <c r="P110" i="22"/>
  <c r="I110" i="22"/>
  <c r="B110" i="22"/>
  <c r="CA109" i="22"/>
  <c r="BT109" i="22"/>
  <c r="BM109" i="22"/>
  <c r="BF109" i="22"/>
  <c r="AY109" i="22"/>
  <c r="AR109" i="22"/>
  <c r="AK109" i="22"/>
  <c r="AD109" i="22"/>
  <c r="P109" i="22"/>
  <c r="I109" i="22"/>
  <c r="B109" i="22"/>
  <c r="CA108" i="22"/>
  <c r="BT108" i="22"/>
  <c r="BM108" i="22"/>
  <c r="BF108" i="22"/>
  <c r="AY108" i="22"/>
  <c r="AR108" i="22"/>
  <c r="AK108" i="22"/>
  <c r="AD108" i="22"/>
  <c r="P108" i="22"/>
  <c r="I108" i="22"/>
  <c r="B108" i="22"/>
  <c r="CA107" i="22"/>
  <c r="BT107" i="22"/>
  <c r="BM107" i="22"/>
  <c r="BF107" i="22"/>
  <c r="AY107" i="22"/>
  <c r="AR107" i="22"/>
  <c r="AK107" i="22"/>
  <c r="AD107" i="22"/>
  <c r="P107" i="22"/>
  <c r="I107" i="22"/>
  <c r="B107" i="22"/>
  <c r="CA105" i="22"/>
  <c r="BF105" i="22"/>
  <c r="AK105" i="22"/>
  <c r="P105" i="22"/>
  <c r="B105" i="22"/>
  <c r="CA104" i="22"/>
  <c r="BT104" i="22"/>
  <c r="BM104" i="22"/>
  <c r="BF104" i="22"/>
  <c r="AY104" i="22"/>
  <c r="AR104" i="22"/>
  <c r="AK104" i="22"/>
  <c r="AD104" i="22"/>
  <c r="P104" i="22"/>
  <c r="I104" i="22"/>
  <c r="B104" i="22"/>
  <c r="CA103" i="22"/>
  <c r="BT103" i="22"/>
  <c r="BM103" i="22"/>
  <c r="BF103" i="22"/>
  <c r="AY103" i="22"/>
  <c r="AR103" i="22"/>
  <c r="AK103" i="22"/>
  <c r="AD103" i="22"/>
  <c r="P103" i="22"/>
  <c r="I103" i="22"/>
  <c r="B103" i="22"/>
  <c r="CA102" i="22"/>
  <c r="BT102" i="22"/>
  <c r="BM102" i="22"/>
  <c r="BF102" i="22"/>
  <c r="AY102" i="22"/>
  <c r="AR102" i="22"/>
  <c r="AK102" i="22"/>
  <c r="AD102" i="22"/>
  <c r="P102" i="22"/>
  <c r="I102" i="22"/>
  <c r="B102" i="22"/>
  <c r="CA101" i="22"/>
  <c r="BT101" i="22"/>
  <c r="BM101" i="22"/>
  <c r="BF101" i="22"/>
  <c r="AY101" i="22"/>
  <c r="AR101" i="22"/>
  <c r="AK101" i="22"/>
  <c r="AD101" i="22"/>
  <c r="P101" i="22"/>
  <c r="I101" i="22"/>
  <c r="B101" i="22"/>
  <c r="CA99" i="22"/>
  <c r="BF99" i="22"/>
  <c r="AK99" i="22"/>
  <c r="P99" i="22"/>
  <c r="B99" i="22"/>
  <c r="CA98" i="22"/>
  <c r="BT98" i="22"/>
  <c r="BM98" i="22"/>
  <c r="BF98" i="22"/>
  <c r="AY98" i="22"/>
  <c r="AR98" i="22"/>
  <c r="AK98" i="22"/>
  <c r="AD98" i="22"/>
  <c r="P98" i="22"/>
  <c r="I98" i="22"/>
  <c r="B98" i="22"/>
  <c r="CA97" i="22"/>
  <c r="BT97" i="22"/>
  <c r="BM97" i="22"/>
  <c r="BF97" i="22"/>
  <c r="AY97" i="22"/>
  <c r="AR97" i="22"/>
  <c r="AK97" i="22"/>
  <c r="AD97" i="22"/>
  <c r="P97" i="22"/>
  <c r="I97" i="22"/>
  <c r="B97" i="22"/>
  <c r="CA96" i="22"/>
  <c r="BT96" i="22"/>
  <c r="BM96" i="22"/>
  <c r="BF96" i="22"/>
  <c r="AY96" i="22"/>
  <c r="AR96" i="22"/>
  <c r="AK96" i="22"/>
  <c r="AD96" i="22"/>
  <c r="P96" i="22"/>
  <c r="I96" i="22"/>
  <c r="B96" i="22"/>
  <c r="CA95" i="22"/>
  <c r="BT95" i="22"/>
  <c r="BM95" i="22"/>
  <c r="BF95" i="22"/>
  <c r="AY95" i="22"/>
  <c r="AR95" i="22"/>
  <c r="AK95" i="22"/>
  <c r="AD95" i="22"/>
  <c r="P95" i="22"/>
  <c r="I95" i="22"/>
  <c r="B95" i="22"/>
  <c r="CA93" i="22"/>
  <c r="BF93" i="22"/>
  <c r="AK93" i="22"/>
  <c r="P93" i="22"/>
  <c r="B93" i="22"/>
  <c r="CA92" i="22"/>
  <c r="BT92" i="22"/>
  <c r="BM92" i="22"/>
  <c r="BF92" i="22"/>
  <c r="AY92" i="22"/>
  <c r="AR92" i="22"/>
  <c r="AK92" i="22"/>
  <c r="AD92" i="22"/>
  <c r="P92" i="22"/>
  <c r="I92" i="22"/>
  <c r="B92" i="22"/>
  <c r="CA91" i="22"/>
  <c r="BT91" i="22"/>
  <c r="BM91" i="22"/>
  <c r="BF91" i="22"/>
  <c r="AY91" i="22"/>
  <c r="AR91" i="22"/>
  <c r="AK91" i="22"/>
  <c r="AD91" i="22"/>
  <c r="P91" i="22"/>
  <c r="I91" i="22"/>
  <c r="B91" i="22"/>
  <c r="CA90" i="22"/>
  <c r="BT90" i="22"/>
  <c r="BM90" i="22"/>
  <c r="BF90" i="22"/>
  <c r="AY90" i="22"/>
  <c r="AR90" i="22"/>
  <c r="AK90" i="22"/>
  <c r="AD90" i="22"/>
  <c r="P90" i="22"/>
  <c r="I90" i="22"/>
  <c r="B90" i="22"/>
  <c r="CA89" i="22"/>
  <c r="BT89" i="22"/>
  <c r="BM89" i="22"/>
  <c r="BF89" i="22"/>
  <c r="AY89" i="22"/>
  <c r="AR89" i="22"/>
  <c r="AK89" i="22"/>
  <c r="AD89" i="22"/>
  <c r="P89" i="22"/>
  <c r="I89" i="22"/>
  <c r="B89" i="22"/>
  <c r="CA87" i="22"/>
  <c r="BF87" i="22"/>
  <c r="AK87" i="22"/>
  <c r="P87" i="22"/>
  <c r="B87" i="22"/>
  <c r="CA86" i="22"/>
  <c r="BT86" i="22"/>
  <c r="BM86" i="22"/>
  <c r="BF86" i="22"/>
  <c r="AY86" i="22"/>
  <c r="AR86" i="22"/>
  <c r="AK86" i="22"/>
  <c r="AD86" i="22"/>
  <c r="P86" i="22"/>
  <c r="I86" i="22"/>
  <c r="B86" i="22"/>
  <c r="CA85" i="22"/>
  <c r="BT85" i="22"/>
  <c r="BM85" i="22"/>
  <c r="BF85" i="22"/>
  <c r="AY85" i="22"/>
  <c r="AR85" i="22"/>
  <c r="AK85" i="22"/>
  <c r="AD85" i="22"/>
  <c r="P85" i="22"/>
  <c r="I85" i="22"/>
  <c r="B85" i="22"/>
  <c r="CA84" i="22"/>
  <c r="BT84" i="22"/>
  <c r="BM84" i="22"/>
  <c r="BF84" i="22"/>
  <c r="AY84" i="22"/>
  <c r="AR84" i="22"/>
  <c r="AK84" i="22"/>
  <c r="AD84" i="22"/>
  <c r="P84" i="22"/>
  <c r="I84" i="22"/>
  <c r="B84" i="22"/>
  <c r="CA83" i="22"/>
  <c r="BT83" i="22"/>
  <c r="BM83" i="22"/>
  <c r="BF83" i="22"/>
  <c r="AY83" i="22"/>
  <c r="AR83" i="22"/>
  <c r="AK83" i="22"/>
  <c r="AD83" i="22"/>
  <c r="P83" i="22"/>
  <c r="I83" i="22"/>
  <c r="B83" i="22"/>
  <c r="CA81" i="22"/>
  <c r="BF81" i="22"/>
  <c r="AK81" i="22"/>
  <c r="P81" i="22"/>
  <c r="B81" i="22"/>
  <c r="CA80" i="22"/>
  <c r="BT80" i="22"/>
  <c r="BM80" i="22"/>
  <c r="BF80" i="22"/>
  <c r="AY80" i="22"/>
  <c r="AR80" i="22"/>
  <c r="AK80" i="22"/>
  <c r="AD80" i="22"/>
  <c r="P80" i="22"/>
  <c r="I80" i="22"/>
  <c r="B80" i="22"/>
  <c r="CA79" i="22"/>
  <c r="BT79" i="22"/>
  <c r="BM79" i="22"/>
  <c r="BF79" i="22"/>
  <c r="AY79" i="22"/>
  <c r="AR79" i="22"/>
  <c r="AK79" i="22"/>
  <c r="AD79" i="22"/>
  <c r="P79" i="22"/>
  <c r="I79" i="22"/>
  <c r="B79" i="22"/>
  <c r="CA78" i="22"/>
  <c r="BT78" i="22"/>
  <c r="BM78" i="22"/>
  <c r="BF78" i="22"/>
  <c r="AY78" i="22"/>
  <c r="AR78" i="22"/>
  <c r="AK78" i="22"/>
  <c r="AD78" i="22"/>
  <c r="P78" i="22"/>
  <c r="I78" i="22"/>
  <c r="B78" i="22"/>
  <c r="CA77" i="22"/>
  <c r="BT77" i="22"/>
  <c r="BM77" i="22"/>
  <c r="BF77" i="22"/>
  <c r="AY77" i="22"/>
  <c r="AR77" i="22"/>
  <c r="AK77" i="22"/>
  <c r="AD77" i="22"/>
  <c r="P77" i="22"/>
  <c r="I77" i="22"/>
  <c r="B77" i="22"/>
  <c r="CA75" i="22"/>
  <c r="BF75" i="22"/>
  <c r="AK75" i="22"/>
  <c r="P75" i="22"/>
  <c r="B75" i="22"/>
  <c r="CA74" i="22"/>
  <c r="BT74" i="22"/>
  <c r="BM74" i="22"/>
  <c r="BF74" i="22"/>
  <c r="AY74" i="22"/>
  <c r="AR74" i="22"/>
  <c r="AK74" i="22"/>
  <c r="AD74" i="22"/>
  <c r="P74" i="22"/>
  <c r="I74" i="22"/>
  <c r="B74" i="22"/>
  <c r="CA73" i="22"/>
  <c r="BT73" i="22"/>
  <c r="BM73" i="22"/>
  <c r="BF73" i="22"/>
  <c r="AY73" i="22"/>
  <c r="AR73" i="22"/>
  <c r="AK73" i="22"/>
  <c r="AD73" i="22"/>
  <c r="P73" i="22"/>
  <c r="I73" i="22"/>
  <c r="B73" i="22"/>
  <c r="CA72" i="22"/>
  <c r="BT72" i="22"/>
  <c r="BM72" i="22"/>
  <c r="BF72" i="22"/>
  <c r="AY72" i="22"/>
  <c r="AR72" i="22"/>
  <c r="AK72" i="22"/>
  <c r="AD72" i="22"/>
  <c r="P72" i="22"/>
  <c r="I72" i="22"/>
  <c r="B72" i="22"/>
  <c r="CA71" i="22"/>
  <c r="BT71" i="22"/>
  <c r="BM71" i="22"/>
  <c r="BF71" i="22"/>
  <c r="AY71" i="22"/>
  <c r="AR71" i="22"/>
  <c r="AK71" i="22"/>
  <c r="AD71" i="22"/>
  <c r="P71" i="22"/>
  <c r="I71" i="22"/>
  <c r="B71" i="22"/>
  <c r="CA69" i="22"/>
  <c r="CA68" i="22"/>
  <c r="CA67" i="22"/>
  <c r="CA66" i="22"/>
  <c r="CA65" i="22"/>
  <c r="BT68" i="22"/>
  <c r="BT67" i="22"/>
  <c r="BT66" i="22"/>
  <c r="BT65" i="22"/>
  <c r="BM68" i="22"/>
  <c r="BM67" i="22"/>
  <c r="BM66" i="22"/>
  <c r="BM65" i="22"/>
  <c r="BF69" i="22"/>
  <c r="BF68" i="22"/>
  <c r="BF67" i="22"/>
  <c r="BF66" i="22"/>
  <c r="BF65" i="22"/>
  <c r="AY68" i="22"/>
  <c r="AY67" i="22"/>
  <c r="AY66" i="22"/>
  <c r="AY65" i="22"/>
  <c r="AR68" i="22"/>
  <c r="AR67" i="22"/>
  <c r="AR66" i="22"/>
  <c r="AR65" i="22"/>
  <c r="AK69" i="22"/>
  <c r="AK68" i="22"/>
  <c r="AK67" i="22"/>
  <c r="AK66" i="22"/>
  <c r="AK65" i="22"/>
  <c r="AD68" i="22"/>
  <c r="AD67" i="22"/>
  <c r="AD66" i="22"/>
  <c r="AD65" i="22"/>
  <c r="P69" i="22"/>
  <c r="P68" i="22"/>
  <c r="P67" i="22"/>
  <c r="P66" i="22"/>
  <c r="P65" i="22"/>
  <c r="I68" i="22"/>
  <c r="I67" i="22"/>
  <c r="I66" i="22"/>
  <c r="I65" i="22"/>
  <c r="B69" i="22"/>
  <c r="B68" i="22"/>
  <c r="B67" i="22"/>
  <c r="B66" i="22"/>
  <c r="B65" i="22"/>
  <c r="BF118" i="22" l="1"/>
  <c r="AU37" i="22" l="1"/>
  <c r="A1" i="42" l="1"/>
  <c r="A1" i="41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CD50" i="22" s="1"/>
  <c r="BT118" i="22"/>
  <c r="BM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CI69" i="22"/>
  <c r="CI75" i="22"/>
  <c r="CI105" i="22"/>
  <c r="CI111" i="22"/>
  <c r="CI81" i="22"/>
  <c r="CI87" i="22"/>
  <c r="CI93" i="22"/>
  <c r="CD49" i="22"/>
  <c r="AG49" i="22"/>
  <c r="AN49" i="22"/>
  <c r="AU49" i="22"/>
  <c r="BI49" i="22"/>
  <c r="BI50" i="22" s="1"/>
  <c r="BP49" i="22"/>
  <c r="BP50" i="22" s="1"/>
  <c r="BW49" i="22"/>
  <c r="BW50" i="22" s="1"/>
  <c r="Z49" i="22"/>
  <c r="Z50" i="22" s="1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BB50" i="22" l="1"/>
  <c r="CI114" i="22"/>
  <c r="CI102" i="22"/>
  <c r="CI116" i="22"/>
  <c r="CI115" i="22"/>
  <c r="CI90" i="22"/>
  <c r="CI78" i="22"/>
  <c r="AU50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E46" i="22"/>
  <c r="CI118" i="22" l="1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R33" i="22" s="1"/>
  <c r="AS33" i="22" s="1"/>
  <c r="AU33" i="22" s="1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41" i="22" l="1"/>
  <c r="AX40" i="22"/>
  <c r="AX39" i="22"/>
  <c r="AX38" i="22"/>
  <c r="AX43" i="22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CK56" i="22" s="1"/>
  <c r="BE57" i="22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57" i="22" l="1"/>
  <c r="CK44" i="22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<sst xmlns="http://schemas.openxmlformats.org/spreadsheetml/2006/main" count="2466" uniqueCount="151">
  <si>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</si>
  <si>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</si>
  <si>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</si>
  <si>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</si>
  <si>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</si>
  <si>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</si>
  <si>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</si>
  <si>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</si>
  <si>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</si>
  <si>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</si>
  <si>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</si>
  <si>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</si>
  <si>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</si>
  <si>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</si>
  <si>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</si>
  <si>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</si>
  <si>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</si>
  <si>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</si>
  <si>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</si>
  <si>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</si>
  <si>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</si>
  <si>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</si>
  <si>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</si>
  <si>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</si>
  <si>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</si>
  <si>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</si>
  <si>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</si>
  <si>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</si>
  <si>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</si>
  <si>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</si>
  <si>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</si>
  <si>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</si>
  <si>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</si>
  <si>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</si>
  <si>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</si>
  <si>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</si>
  <si>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</si>
  <si>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</si>
  <si>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</si>
  <si>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</si>
  <si>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</si>
  <si>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</si>
  <si>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</si>
  <si>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</si>
  <si>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</si>
  <si>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</si>
  <si>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</si>
  <si>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</si>
  <si>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</si>
  <si>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</si>
  <si>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</si>
  <si>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</si>
  <si>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</si>
  <si>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</si>
  <si>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</si>
  <si>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</si>
  <si>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</si>
  <si>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</si>
  <si>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</si>
  <si>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</si>
  <si>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</si>
  <si>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</si>
  <si>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</si>
  <si>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</si>
  <si>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</si>
  <si>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</si>
  <si>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</si>
  <si>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</si>
  <si>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</si>
  <si>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</si>
  <si>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</si>
  <si>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</si>
  <si>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</si>
  <si>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</si>
  <si>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</si>
  <si>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</si>
  <si>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</si>
  <si>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</si>
  <si>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</si>
  <si>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</si>
  <si>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Nytårsaftensdag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</si>
  <si>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</si>
  <si>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</si>
  <si>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</si>
  <si>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</si>
  <si>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</si>
  <si>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</si>
  <si>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</si>
  <si>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</si>
  <si>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</si>
  <si>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</si>
  <si>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</si>
  <si>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</si>
  <si>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</si>
  <si>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</si>
  <si>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</si>
  <si>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</si>
  <si>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</si>
  <si>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</si>
  <si>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</si>
  <si>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</si>
  <si>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</si>
  <si>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</si>
  <si>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</si>
  <si>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</si>
  <si>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</si>
  <si>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</si>
  <si>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</si>
  <si>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</si>
  <si>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</si>
  <si>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</si>
  <si>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</si>
  <si>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</si>
  <si>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</si>
  <si>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</si>
  <si>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</si>
  <si>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</si>
  <si>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</si>
  <si>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</si>
  <si>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</si>
  <si>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</si>
  <si>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</si>
  <si>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</si>
  <si>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</si>
  <si>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</si>
  <si>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</si>
  <si>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</si>
  <si>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</si>
  <si>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</si>
  <si>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</si>
  <si>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</si>
  <si>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</si>
  <si>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</si>
  <si>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</si>
  <si>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</si>
  <si>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fagdag/emnedage</t>
  </si>
  <si>
    <t>Weekenddage</t>
  </si>
  <si>
    <t>Nuldage</t>
  </si>
  <si>
    <t>Til brug for at beregne korrekt årsnorm hvis skolen planlægger noget hen over en weekend.</t>
  </si>
  <si>
    <t>Antal mulige arb.dage</t>
  </si>
  <si>
    <t>Antal mulige arbejdsdage for et helt skoleår(dage-weekenddage) Bruges som forhold til 1924</t>
  </si>
  <si>
    <t xml:space="preserve">Kalenderen er </t>
  </si>
  <si>
    <t>VIGTIGT:</t>
  </si>
  <si>
    <t>IKKE en del af værktøjet til planlægning af skoleåret 2027-2028. Denne kalender er UDELUKKENDE til at skolen kan skabe et overblik over hvilke dage året byder på.</t>
  </si>
  <si>
    <t>Planlægningsværktøjet for skoleråret 2027-2028 er et andet værktøj, og bliver udarbejdet primo 2027.</t>
  </si>
  <si>
    <t>Langredag</t>
  </si>
  <si>
    <t>Påskedag</t>
  </si>
  <si>
    <t>Lejrskole</t>
  </si>
  <si>
    <t>Pæd.dag</t>
  </si>
  <si>
    <t>Kr. Himmelfarsdag</t>
  </si>
  <si>
    <t>Kalenderne er tiltænkt til forældre, fødselsdagskalendere eller til andet brug. IKKE TIL LÆRERNE!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</si>
</sst>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hair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0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44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44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11" fillId="0" borderId="27" xfId="372" applyBorder="1"/>
    <xf numFmtId="165" fontId="28" fillId="0" borderId="19" xfId="372" applyNumberFormat="1" applyFont="1" applyBorder="1" applyAlignment="1">
      <alignment horizontal="centerContinuous"/>
    </xf>
    <xf numFmtId="165" fontId="28" fillId="0" borderId="27" xfId="372" applyNumberFormat="1" applyFont="1" applyBorder="1" applyAlignment="1">
      <alignment horizontal="centerContinuous"/>
    </xf>
    <xf numFmtId="0" fontId="11" fillId="0" borderId="27" xfId="372" applyBorder="1" applyAlignment="1">
      <alignment horizontal="centerContinuous"/>
    </xf>
    <xf numFmtId="0" fontId="28" fillId="0" borderId="34" xfId="372" applyFont="1" applyBorder="1" applyAlignment="1">
      <alignment horizontal="centerContinuous"/>
    </xf>
    <xf numFmtId="0" fontId="28" fillId="0" borderId="7" xfId="372" applyFont="1" applyBorder="1" applyAlignment="1">
      <alignment horizontal="centerContinuous"/>
    </xf>
    <xf numFmtId="0" fontId="28" fillId="0" borderId="10" xfId="372" applyFont="1" applyBorder="1" applyAlignment="1">
      <alignment horizontal="centerContinuous"/>
    </xf>
    <xf numFmtId="0" fontId="11" fillId="0" borderId="10" xfId="372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11" fillId="0" borderId="2" xfId="372" applyBorder="1" applyAlignment="1">
      <alignment horizontal="centerContinuous"/>
    </xf>
    <xf numFmtId="0" fontId="11" fillId="0" borderId="34" xfId="372" applyBorder="1" applyAlignment="1">
      <alignment horizontal="centerContinuous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48" xfId="372" applyBorder="1"/>
    <xf numFmtId="0" fontId="11" fillId="0" borderId="49" xfId="372" applyBorder="1"/>
    <xf numFmtId="0" fontId="11" fillId="13" borderId="50" xfId="372" applyFill="1" applyBorder="1"/>
    <xf numFmtId="0" fontId="11" fillId="13" borderId="51" xfId="372" applyFill="1" applyBorder="1"/>
    <xf numFmtId="0" fontId="26" fillId="3" borderId="50" xfId="372" applyFont="1" applyFill="1" applyBorder="1"/>
    <xf numFmtId="0" fontId="11" fillId="3" borderId="51" xfId="372" applyFill="1" applyBorder="1"/>
    <xf numFmtId="0" fontId="11" fillId="4" borderId="50" xfId="372" applyFill="1" applyBorder="1"/>
    <xf numFmtId="0" fontId="11" fillId="4" borderId="51" xfId="372" applyFill="1" applyBorder="1"/>
    <xf numFmtId="0" fontId="11" fillId="11" borderId="50" xfId="372" applyFill="1" applyBorder="1"/>
    <xf numFmtId="0" fontId="11" fillId="11" borderId="51" xfId="372" applyFill="1" applyBorder="1"/>
    <xf numFmtId="0" fontId="11" fillId="12" borderId="50" xfId="372" applyFill="1" applyBorder="1"/>
    <xf numFmtId="0" fontId="11" fillId="12" borderId="51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11" fillId="0" borderId="2" xfId="372" applyBorder="1"/>
    <xf numFmtId="0" fontId="11" fillId="0" borderId="7" xfId="372" applyBorder="1"/>
    <xf numFmtId="0" fontId="18" fillId="0" borderId="34" xfId="372" applyFont="1" applyBorder="1"/>
    <xf numFmtId="0" fontId="11" fillId="0" borderId="19" xfId="372" applyBorder="1"/>
    <xf numFmtId="0" fontId="34" fillId="3" borderId="0" xfId="372" applyFont="1" applyFill="1" applyProtection="1">
      <protection locked="0"/>
    </xf>
    <xf numFmtId="0" fontId="11" fillId="2" borderId="0" xfId="372" applyFill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46" xfId="372" applyBorder="1"/>
    <xf numFmtId="0" fontId="11" fillId="0" borderId="45" xfId="372" applyBorder="1"/>
    <xf numFmtId="0" fontId="11" fillId="0" borderId="39" xfId="372" applyBorder="1"/>
    <xf numFmtId="0" fontId="11" fillId="0" borderId="41" xfId="372" applyBorder="1"/>
    <xf numFmtId="0" fontId="11" fillId="0" borderId="42" xfId="372" applyBorder="1"/>
    <xf numFmtId="0" fontId="11" fillId="0" borderId="38" xfId="372" applyBorder="1"/>
    <xf numFmtId="0" fontId="11" fillId="2" borderId="45" xfId="372" applyFill="1" applyBorder="1"/>
    <xf numFmtId="0" fontId="11" fillId="2" borderId="39" xfId="372" applyFill="1" applyBorder="1"/>
    <xf numFmtId="0" fontId="11" fillId="2" borderId="42" xfId="372" applyFill="1" applyBorder="1"/>
    <xf numFmtId="0" fontId="15" fillId="0" borderId="0" xfId="535" applyProtection="1"/>
    <xf numFmtId="0" fontId="11" fillId="14" borderId="50" xfId="372" applyFill="1" applyBorder="1"/>
    <xf numFmtId="0" fontId="11" fillId="14" borderId="51" xfId="372" applyFill="1" applyBorder="1"/>
    <xf numFmtId="0" fontId="11" fillId="16" borderId="50" xfId="372" applyFill="1" applyBorder="1"/>
    <xf numFmtId="0" fontId="11" fillId="16" borderId="51" xfId="372" applyFill="1" applyBorder="1"/>
    <xf numFmtId="0" fontId="32" fillId="0" borderId="53" xfId="372" applyFont="1" applyBorder="1"/>
    <xf numFmtId="0" fontId="33" fillId="15" borderId="52" xfId="372" applyFont="1" applyFill="1" applyBorder="1"/>
    <xf numFmtId="0" fontId="32" fillId="0" borderId="54" xfId="372" applyFont="1" applyBorder="1"/>
    <xf numFmtId="0" fontId="11" fillId="0" borderId="55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2" fillId="2" borderId="23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/>
    </xf>
    <xf numFmtId="0" fontId="12" fillId="2" borderId="24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 vertical="top"/>
    </xf>
    <xf numFmtId="0" fontId="31" fillId="2" borderId="25" xfId="372" applyFont="1" applyFill="1" applyBorder="1" applyAlignment="1">
      <alignment horizontal="centerContinuous" vertical="top"/>
    </xf>
    <xf numFmtId="0" fontId="30" fillId="2" borderId="34" xfId="372" applyFont="1" applyFill="1" applyBorder="1" applyAlignment="1">
      <alignment horizontal="centerContinuous"/>
    </xf>
    <xf numFmtId="0" fontId="29" fillId="2" borderId="27" xfId="372" applyFont="1" applyFill="1" applyBorder="1" applyAlignment="1">
      <alignment horizontal="centerContinuous"/>
    </xf>
    <xf numFmtId="165" fontId="30" fillId="2" borderId="27" xfId="372" applyNumberFormat="1" applyFont="1" applyFill="1" applyBorder="1" applyAlignment="1">
      <alignment horizontal="centerContinuous"/>
    </xf>
    <xf numFmtId="165" fontId="29" fillId="2" borderId="19" xfId="372" applyNumberFormat="1" applyFont="1" applyFill="1" applyBorder="1" applyAlignment="1">
      <alignment horizontal="centerContinuous" vertical="top"/>
    </xf>
    <xf numFmtId="1" fontId="30" fillId="2" borderId="34" xfId="372" applyNumberFormat="1" applyFont="1" applyFill="1" applyBorder="1" applyAlignment="1">
      <alignment horizontal="centerContinuous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27" xfId="372" applyFill="1" applyBorder="1" applyProtection="1">
      <protection locked="0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34" xfId="372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4" borderId="27" xfId="372" applyFill="1" applyBorder="1" applyProtection="1">
      <protection locked="0"/>
    </xf>
    <xf numFmtId="1" fontId="26" fillId="4" borderId="19" xfId="372" applyNumberFormat="1" applyFont="1" applyFill="1" applyBorder="1" applyAlignment="1">
      <alignment horizontal="center"/>
    </xf>
    <xf numFmtId="0" fontId="11" fillId="2" borderId="34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19" xfId="372" applyNumberFormat="1" applyFont="1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4" borderId="6" xfId="372" applyFill="1" applyBorder="1" applyAlignment="1">
      <alignment horizontal="center"/>
    </xf>
    <xf numFmtId="0" fontId="26" fillId="2" borderId="27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26" fillId="2" borderId="5" xfId="372" applyFont="1" applyFill="1" applyBorder="1" applyProtection="1">
      <protection locked="0"/>
    </xf>
    <xf numFmtId="0" fontId="26" fillId="2" borderId="6" xfId="372" applyFont="1" applyFill="1" applyBorder="1" applyProtection="1">
      <protection locked="0"/>
    </xf>
    <xf numFmtId="0" fontId="0" fillId="2" borderId="0" xfId="343" applyNumberFormat="1" applyFont="1" applyFill="1"/>
    <xf numFmtId="0" fontId="11" fillId="7" borderId="46" xfId="372" applyFill="1" applyBorder="1" applyAlignment="1" applyProtection="1">
      <alignment horizontal="left"/>
      <protection locked="0"/>
    </xf>
    <xf numFmtId="0" fontId="11" fillId="7" borderId="47" xfId="372" applyFill="1" applyBorder="1" applyAlignment="1" applyProtection="1">
      <alignment horizontal="left"/>
      <protection locked="0"/>
    </xf>
    <xf numFmtId="0" fontId="11" fillId="7" borderId="45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0" fontId="18" fillId="0" borderId="2" xfId="372" applyFont="1" applyBorder="1" applyAlignment="1">
      <alignment horizontal="left"/>
    </xf>
    <xf numFmtId="0" fontId="18" fillId="0" borderId="10" xfId="372" applyFont="1" applyBorder="1" applyAlignment="1">
      <alignment horizontal="left"/>
    </xf>
    <xf numFmtId="0" fontId="18" fillId="0" borderId="7" xfId="372" applyFont="1" applyBorder="1" applyAlignment="1">
      <alignment horizontal="left"/>
    </xf>
    <xf numFmtId="0" fontId="18" fillId="0" borderId="34" xfId="372" applyFont="1" applyBorder="1" applyAlignment="1">
      <alignment horizontal="left"/>
    </xf>
    <xf numFmtId="0" fontId="18" fillId="0" borderId="27" xfId="372" applyFont="1" applyBorder="1" applyAlignment="1">
      <alignment horizontal="left"/>
    </xf>
    <xf numFmtId="0" fontId="18" fillId="0" borderId="19" xfId="372" applyFont="1" applyBorder="1" applyAlignment="1">
      <alignment horizontal="left"/>
    </xf>
    <xf numFmtId="0" fontId="11" fillId="0" borderId="41" xfId="372" applyBorder="1" applyAlignment="1" applyProtection="1">
      <alignment horizontal="left"/>
      <protection locked="0"/>
    </xf>
    <xf numFmtId="0" fontId="11" fillId="0" borderId="43" xfId="372" applyBorder="1" applyAlignment="1" applyProtection="1">
      <alignment horizontal="left"/>
      <protection locked="0"/>
    </xf>
    <xf numFmtId="0" fontId="11" fillId="0" borderId="42" xfId="372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12" fillId="0" borderId="11" xfId="372" applyFont="1" applyBorder="1" applyAlignment="1">
      <alignment horizontal="center"/>
    </xf>
    <xf numFmtId="0" fontId="12" fillId="0" borderId="36" xfId="372" applyFont="1" applyBorder="1" applyAlignment="1">
      <alignment horizontal="center"/>
    </xf>
    <xf numFmtId="0" fontId="12" fillId="0" borderId="37" xfId="372" applyFont="1" applyBorder="1" applyAlignment="1">
      <alignment horizontal="center"/>
    </xf>
    <xf numFmtId="1" fontId="32" fillId="0" borderId="0" xfId="372" applyNumberFormat="1" applyFont="1"/>
    <xf numFmtId="0" fontId="11" fillId="0" borderId="56" xfId="372" applyBorder="1"/>
    <xf numFmtId="0" fontId="11" fillId="0" borderId="6" xfId="372" applyBorder="1"/>
    <xf numFmtId="0" fontId="11" fillId="0" borderId="57" xfId="372" applyBorder="1"/>
    <xf numFmtId="0" fontId="11" fillId="0" borderId="58" xfId="372" applyBorder="1"/>
    <xf numFmtId="0" fontId="11" fillId="0" borderId="59" xfId="372" applyBorder="1"/>
    <xf numFmtId="0" fontId="11" fillId="0" borderId="60" xfId="372" applyBorder="1"/>
    <xf numFmtId="0" fontId="11" fillId="0" borderId="61" xfId="372" applyBorder="1"/>
    <xf numFmtId="0" fontId="11" fillId="0" borderId="62" xfId="372" applyBorder="1"/>
    <xf numFmtId="0" fontId="11" fillId="0" borderId="63" xfId="372" applyBorder="1"/>
    <xf numFmtId="0" fontId="11" fillId="0" borderId="64" xfId="372" applyBorder="1"/>
    <xf numFmtId="0" fontId="11" fillId="0" borderId="59" xfId="372" applyBorder="1" applyAlignment="1">
      <alignment horizontal="left"/>
    </xf>
    <xf numFmtId="0" fontId="11" fillId="0" borderId="65" xfId="372" applyBorder="1" applyAlignment="1">
      <alignment horizontal="left"/>
    </xf>
    <xf numFmtId="0" fontId="11" fillId="0" borderId="66" xfId="372" applyBorder="1"/>
    <xf numFmtId="0" fontId="11" fillId="0" borderId="65" xfId="372" applyBorder="1"/>
    <xf numFmtId="0" fontId="26" fillId="0" borderId="59" xfId="372" applyFont="1" applyBorder="1"/>
    <xf numFmtId="0" fontId="11" fillId="0" borderId="67" xfId="372" applyBorder="1"/>
    <xf numFmtId="0" fontId="11" fillId="0" borderId="68" xfId="372" applyBorder="1"/>
    <xf numFmtId="0" fontId="11" fillId="0" borderId="69" xfId="372" applyBorder="1"/>
    <xf numFmtId="0" fontId="11" fillId="0" borderId="64" xfId="372" applyBorder="1" applyAlignment="1">
      <alignment horizontal="center"/>
    </xf>
    <xf numFmtId="0" fontId="11" fillId="4" borderId="5" xfId="372" applyFont="1" applyFill="1" applyBorder="1" applyProtection="1">
      <protection locked="0"/>
    </xf>
    <xf numFmtId="0" fontId="11" fillId="4" borderId="5" xfId="372" applyFill="1" applyBorder="1" applyAlignment="1" applyProtection="1">
      <alignment horizontal="center"/>
      <protection locked="0"/>
    </xf>
    <xf numFmtId="0" fontId="11" fillId="4" borderId="6" xfId="372" applyFill="1" applyBorder="1" applyAlignment="1" applyProtection="1">
      <alignment horizontal="center"/>
      <protection locked="0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09"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tabSelected="1" showOutlineSymbols="0" zoomScale="91" workbookViewId="0">
      <pane ySplit="4" topLeftCell="A5" activePane="bottomLeft" state="frozenSplit"/>
      <selection activeCell="F22" sqref="F22"/>
      <selection pane="bottomLeft" activeCell="F8" sqref="F8:H8"/>
    </sheetView>
  </sheetViews>
  <sheetFormatPr baseColWidth="10" defaultColWidth="11.5" defaultRowHeight="13" outlineLevelCol="1"/>
  <cols>
    <col min="1" max="1" width="27.6640625" style="30" customWidth="1"/>
    <col min="2" max="2" width="3.33203125" style="30" customWidth="1"/>
    <col min="3" max="3" width="4.6640625" style="30" customWidth="1"/>
    <col min="4" max="4" width="10.1640625" style="30" customWidth="1"/>
    <col min="5" max="5" width="3.16406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66406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6640625" style="30" customWidth="1"/>
    <col min="18" max="18" width="9" style="30" customWidth="1"/>
    <col min="19" max="19" width="2.83203125" style="30" customWidth="1"/>
    <col min="20" max="20" width="32.66406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66406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6640625" style="30" customWidth="1"/>
    <col min="32" max="32" width="9" style="30" customWidth="1"/>
    <col min="33" max="33" width="3.1640625" style="30" customWidth="1"/>
    <col min="34" max="34" width="32.66406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66406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6640625" style="30" customWidth="1"/>
    <col min="46" max="46" width="9" style="30" customWidth="1"/>
    <col min="47" max="47" width="3.6640625" style="31" customWidth="1"/>
    <col min="48" max="48" width="32.66406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6640625" style="30" customWidth="1"/>
    <col min="53" max="53" width="9" style="30" customWidth="1"/>
    <col min="54" max="54" width="2.83203125" style="31" customWidth="1"/>
    <col min="55" max="55" width="32.66406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6640625" style="30" customWidth="1"/>
    <col min="60" max="60" width="9" style="30" customWidth="1"/>
    <col min="61" max="61" width="2.83203125" style="30" customWidth="1"/>
    <col min="62" max="62" width="32.66406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6640625" style="30" customWidth="1"/>
    <col min="67" max="67" width="9" style="30" customWidth="1"/>
    <col min="68" max="68" width="2.83203125" style="30" customWidth="1"/>
    <col min="69" max="69" width="32.66406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6640625" style="30" customWidth="1"/>
    <col min="74" max="74" width="9" style="30" customWidth="1"/>
    <col min="75" max="75" width="2.83203125" style="30" customWidth="1"/>
    <col min="76" max="76" width="32.66406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6640625" style="30" customWidth="1"/>
    <col min="81" max="81" width="9" style="30" customWidth="1"/>
    <col min="82" max="82" width="2.83203125" style="30" customWidth="1"/>
    <col min="83" max="83" width="32.6640625" style="30" customWidth="1" outlineLevel="1"/>
    <col min="84" max="84" width="15.5" style="30" customWidth="1" outlineLevel="1"/>
    <col min="85" max="85" width="11.83203125" style="30" customWidth="1" outlineLevel="1"/>
    <col min="86" max="86" width="1.6640625" style="30" customWidth="1" outlineLevel="1"/>
    <col min="87" max="87" width="19.83203125" style="30" customWidth="1"/>
    <col min="88" max="88" width="9" style="30" customWidth="1"/>
    <col min="89" max="16384" width="11.5" style="30"/>
  </cols>
  <sheetData>
    <row r="1" spans="1:90" ht="15" customHeight="1">
      <c r="A1" s="85" t="s">
        <v>77</v>
      </c>
      <c r="B1" s="53" t="str">
        <f>"Månedsplan for "&amp;A1</f>
        <v>Månedsplan for Min egen skole</v>
      </c>
      <c r="I1" s="53" t="str">
        <f>$B$1</f>
        <v>Månedsplan for Min egen skole</v>
      </c>
      <c r="P1" s="53" t="str">
        <f>$B$1</f>
        <v>Månedsplan for Min egen skole</v>
      </c>
      <c r="W1" s="53" t="str">
        <f>$B$1</f>
        <v>Månedsplan for Min egen skole</v>
      </c>
      <c r="AD1" s="53" t="str">
        <f>$B$1</f>
        <v>Månedsplan for Min egen skole</v>
      </c>
      <c r="AK1" s="53" t="str">
        <f>$B$1</f>
        <v>Månedsplan for Min egen skole</v>
      </c>
      <c r="AN1" s="30"/>
      <c r="AR1" s="53" t="str">
        <f>$B$1</f>
        <v>Månedsplan for Min egen skole</v>
      </c>
      <c r="AU1" s="30"/>
      <c r="AY1" s="53" t="str">
        <f>$B$1</f>
        <v>Månedsplan for Min egen skole</v>
      </c>
      <c r="BB1" s="30"/>
      <c r="BF1" s="53" t="str">
        <f>$B$1</f>
        <v>Månedsplan for Min egen skole</v>
      </c>
      <c r="BM1" s="53" t="str">
        <f>$B$1</f>
        <v>Månedsplan for Min egen skole</v>
      </c>
      <c r="BT1" s="53" t="str">
        <f>$B$1</f>
        <v>Månedsplan for Min egen skole</v>
      </c>
      <c r="CA1" s="53" t="str">
        <f>$B$1</f>
        <v>Månedsplan for Min egen skole</v>
      </c>
    </row>
    <row r="2" spans="1:90" ht="15" customHeight="1">
      <c r="A2" s="56"/>
      <c r="B2" s="109">
        <v>8</v>
      </c>
      <c r="C2" s="54" t="s">
        <v>140</v>
      </c>
      <c r="D2" s="54"/>
      <c r="E2" s="109">
        <v>31</v>
      </c>
      <c r="F2" s="110">
        <v>261</v>
      </c>
      <c r="I2" s="52">
        <v>9</v>
      </c>
      <c r="P2" s="52">
        <v>10</v>
      </c>
      <c r="W2" s="52">
        <v>11</v>
      </c>
      <c r="AD2" s="52">
        <v>12</v>
      </c>
      <c r="AK2" s="52">
        <v>1</v>
      </c>
      <c r="AN2" s="30"/>
      <c r="AR2" s="52">
        <v>2</v>
      </c>
      <c r="AU2" s="30"/>
      <c r="AY2" s="52">
        <v>3</v>
      </c>
      <c r="BB2" s="30"/>
      <c r="BF2" s="52">
        <v>4</v>
      </c>
      <c r="BM2" s="52">
        <v>5</v>
      </c>
      <c r="BT2" s="52">
        <v>6</v>
      </c>
      <c r="CA2" s="52">
        <v>7</v>
      </c>
    </row>
    <row r="3" spans="1:90" ht="15" customHeight="1">
      <c r="A3" s="111">
        <v>2027</v>
      </c>
      <c r="B3" s="51">
        <f>A3</f>
        <v>2027</v>
      </c>
      <c r="C3" s="61"/>
      <c r="D3" s="49"/>
      <c r="E3" s="48"/>
      <c r="F3" s="172" t="s">
        <v>73</v>
      </c>
      <c r="G3" s="173"/>
      <c r="H3" s="174"/>
      <c r="I3" s="51">
        <f>B3</f>
        <v>2027</v>
      </c>
      <c r="J3" s="50"/>
      <c r="K3" s="49"/>
      <c r="L3" s="48"/>
      <c r="M3" s="172" t="s">
        <v>73</v>
      </c>
      <c r="N3" s="173"/>
      <c r="O3" s="174"/>
      <c r="P3" s="51">
        <f>I3</f>
        <v>2027</v>
      </c>
      <c r="Q3" s="50"/>
      <c r="R3" s="49"/>
      <c r="S3" s="48"/>
      <c r="T3" s="172" t="s">
        <v>73</v>
      </c>
      <c r="U3" s="173"/>
      <c r="V3" s="174"/>
      <c r="W3" s="51">
        <f>P3</f>
        <v>2027</v>
      </c>
      <c r="X3" s="50"/>
      <c r="Y3" s="49"/>
      <c r="Z3" s="48"/>
      <c r="AA3" s="172" t="s">
        <v>73</v>
      </c>
      <c r="AB3" s="173"/>
      <c r="AC3" s="174"/>
      <c r="AD3" s="51">
        <f>W3</f>
        <v>2027</v>
      </c>
      <c r="AE3" s="50"/>
      <c r="AF3" s="49"/>
      <c r="AG3" s="48"/>
      <c r="AH3" s="172" t="s">
        <v>73</v>
      </c>
      <c r="AI3" s="173"/>
      <c r="AJ3" s="174"/>
      <c r="AK3" s="51">
        <f>AD3+1</f>
        <v>2028</v>
      </c>
      <c r="AL3" s="50"/>
      <c r="AM3" s="49"/>
      <c r="AN3" s="48"/>
      <c r="AO3" s="81"/>
      <c r="AP3" s="32"/>
      <c r="AQ3" s="82"/>
      <c r="AR3" s="51">
        <f>$AK3</f>
        <v>2028</v>
      </c>
      <c r="AS3" s="50"/>
      <c r="AT3" s="49"/>
      <c r="AU3" s="48"/>
      <c r="AV3" s="81"/>
      <c r="AW3" s="32"/>
      <c r="AX3" s="82"/>
      <c r="AY3" s="51">
        <f>$AK3</f>
        <v>2028</v>
      </c>
      <c r="AZ3" s="50"/>
      <c r="BA3" s="49"/>
      <c r="BB3" s="48"/>
      <c r="BC3" s="81"/>
      <c r="BD3" s="32"/>
      <c r="BE3" s="82"/>
      <c r="BF3" s="51">
        <f>$AK3</f>
        <v>2028</v>
      </c>
      <c r="BG3" s="50"/>
      <c r="BH3" s="49"/>
      <c r="BI3" s="48"/>
      <c r="BJ3" s="81"/>
      <c r="BK3" s="32"/>
      <c r="BL3" s="82"/>
      <c r="BM3" s="51">
        <f>$AK3</f>
        <v>2028</v>
      </c>
      <c r="BN3" s="50"/>
      <c r="BO3" s="49"/>
      <c r="BP3" s="48"/>
      <c r="BQ3" s="81"/>
      <c r="BR3" s="32"/>
      <c r="BS3" s="82"/>
      <c r="BT3" s="51">
        <f>$AK3</f>
        <v>2028</v>
      </c>
      <c r="BU3" s="50"/>
      <c r="BV3" s="49"/>
      <c r="BW3" s="48"/>
      <c r="BX3" s="81"/>
      <c r="BY3" s="32"/>
      <c r="BZ3" s="82"/>
      <c r="CA3" s="51">
        <f>$AK3</f>
        <v>2028</v>
      </c>
      <c r="CB3" s="61"/>
      <c r="CC3" s="49"/>
      <c r="CD3" s="48"/>
      <c r="CE3" s="172" t="s">
        <v>73</v>
      </c>
      <c r="CF3" s="173"/>
      <c r="CG3" s="174"/>
      <c r="CH3" s="78"/>
    </row>
    <row r="4" spans="1:90" ht="18">
      <c r="A4" s="127" t="s">
        <v>142</v>
      </c>
      <c r="B4" s="47" t="s">
        <v>46</v>
      </c>
      <c r="C4" s="62"/>
      <c r="D4" s="45"/>
      <c r="E4" s="44"/>
      <c r="F4" s="175"/>
      <c r="G4" s="176"/>
      <c r="H4" s="177"/>
      <c r="I4" s="47" t="s">
        <v>47</v>
      </c>
      <c r="J4" s="46"/>
      <c r="K4" s="45"/>
      <c r="L4" s="44"/>
      <c r="M4" s="175"/>
      <c r="N4" s="176"/>
      <c r="O4" s="177"/>
      <c r="P4" s="47" t="s">
        <v>48</v>
      </c>
      <c r="Q4" s="46"/>
      <c r="R4" s="45"/>
      <c r="S4" s="44"/>
      <c r="T4" s="175"/>
      <c r="U4" s="176"/>
      <c r="V4" s="177"/>
      <c r="W4" s="47" t="s">
        <v>49</v>
      </c>
      <c r="X4" s="46"/>
      <c r="Y4" s="45"/>
      <c r="Z4" s="44"/>
      <c r="AA4" s="175"/>
      <c r="AB4" s="176"/>
      <c r="AC4" s="177"/>
      <c r="AD4" s="47" t="s">
        <v>50</v>
      </c>
      <c r="AE4" s="46"/>
      <c r="AF4" s="45"/>
      <c r="AG4" s="44"/>
      <c r="AH4" s="175"/>
      <c r="AI4" s="176"/>
      <c r="AJ4" s="177"/>
      <c r="AK4" s="47" t="s">
        <v>51</v>
      </c>
      <c r="AL4" s="46"/>
      <c r="AM4" s="45"/>
      <c r="AN4" s="44"/>
      <c r="AO4" s="83" t="s">
        <v>73</v>
      </c>
      <c r="AP4" s="43"/>
      <c r="AQ4" s="84"/>
      <c r="AR4" s="47" t="s">
        <v>54</v>
      </c>
      <c r="AS4" s="46"/>
      <c r="AT4" s="45"/>
      <c r="AU4" s="44"/>
      <c r="AV4" s="83" t="s">
        <v>73</v>
      </c>
      <c r="AW4" s="43"/>
      <c r="AX4" s="84"/>
      <c r="AY4" s="47" t="s">
        <v>55</v>
      </c>
      <c r="AZ4" s="46"/>
      <c r="BA4" s="45"/>
      <c r="BB4" s="44"/>
      <c r="BC4" s="83" t="s">
        <v>73</v>
      </c>
      <c r="BD4" s="43"/>
      <c r="BE4" s="84"/>
      <c r="BF4" s="47" t="s">
        <v>56</v>
      </c>
      <c r="BG4" s="46"/>
      <c r="BH4" s="45"/>
      <c r="BI4" s="44"/>
      <c r="BJ4" s="83" t="s">
        <v>73</v>
      </c>
      <c r="BK4" s="43"/>
      <c r="BL4" s="84"/>
      <c r="BM4" s="47" t="s">
        <v>57</v>
      </c>
      <c r="BN4" s="46"/>
      <c r="BO4" s="45"/>
      <c r="BP4" s="44"/>
      <c r="BQ4" s="83" t="s">
        <v>73</v>
      </c>
      <c r="BR4" s="43"/>
      <c r="BS4" s="84"/>
      <c r="BT4" s="47" t="s">
        <v>58</v>
      </c>
      <c r="BU4" s="46"/>
      <c r="BV4" s="45"/>
      <c r="BW4" s="44"/>
      <c r="BX4" s="83" t="s">
        <v>73</v>
      </c>
      <c r="BY4" s="43"/>
      <c r="BZ4" s="84"/>
      <c r="CA4" s="47" t="s">
        <v>59</v>
      </c>
      <c r="CB4" s="62"/>
      <c r="CC4" s="45"/>
      <c r="CD4" s="44"/>
      <c r="CE4" s="175"/>
      <c r="CF4" s="176"/>
      <c r="CG4" s="177"/>
      <c r="CH4" s="78"/>
    </row>
    <row r="5" spans="1:90" ht="18" customHeight="1">
      <c r="A5" s="126" t="s">
        <v>141</v>
      </c>
      <c r="B5" s="57">
        <f>IF(ISNUMBER(B4),B4+1,1)</f>
        <v>1</v>
      </c>
      <c r="C5" s="58" t="str">
        <f>CHOOSE(MOD(WEEKDAY(DATE(B$3,B$2,B5)),7)+1,"lø","sø","ma","ti","on","to","fr",)</f>
        <v>sø</v>
      </c>
      <c r="D5" s="59" t="s">
        <v>76</v>
      </c>
      <c r="E5" s="60" t="str">
        <f>IF(C5="ma",(DATE(B$3,B$2,B5)-DATE(B$3,1,1)+7)/7,"")</f>
        <v/>
      </c>
      <c r="F5" s="163"/>
      <c r="G5" s="164"/>
      <c r="H5" s="165"/>
      <c r="I5" s="57">
        <f>IF(ISNUMBER(I4),I4+1,1)</f>
        <v>1</v>
      </c>
      <c r="J5" s="58" t="str">
        <f>CHOOSE(MOD(WEEKDAY(DATE(I$3,I$2,I5)),7)+1,"lø","sø","ma","ti","on","to","fr",)</f>
        <v>on</v>
      </c>
      <c r="K5" s="59" t="s">
        <v>127</v>
      </c>
      <c r="L5" s="60" t="str">
        <f>IF(J5="ma",(DATE(I$3,I$2,I5)-DATE(I$3,1,1)+7)/7,"")</f>
        <v/>
      </c>
      <c r="M5" s="163"/>
      <c r="N5" s="164"/>
      <c r="O5" s="165"/>
      <c r="P5" s="57">
        <f>IF(ISNUMBER(P4),P4+1,1)</f>
        <v>1</v>
      </c>
      <c r="Q5" s="58" t="str">
        <f>CHOOSE(MOD(WEEKDAY(DATE(P$3,P$2,P5)),7)+1,"lø","sø","ma","ti","on","to","fr",)</f>
        <v>fr</v>
      </c>
      <c r="R5" s="59" t="s">
        <v>127</v>
      </c>
      <c r="S5" s="60" t="str">
        <f>IF(Q5="ma",(DATE(P$3,P$2,P5)-DATE(P$3,1,1)+7)/7,"")</f>
        <v/>
      </c>
      <c r="T5" s="163"/>
      <c r="U5" s="164"/>
      <c r="V5" s="165"/>
      <c r="W5" s="57">
        <f>IF(ISNUMBER(W4),W4+1,1)</f>
        <v>1</v>
      </c>
      <c r="X5" s="58" t="str">
        <f>CHOOSE(MOD(WEEKDAY(DATE(W$3,W$2,W5)),7)+1,"lø","sø","ma","ti","on","to","fr",)</f>
        <v>ma</v>
      </c>
      <c r="Y5" s="59" t="s">
        <v>127</v>
      </c>
      <c r="Z5" s="60">
        <f>IF(X5="ma",(DATE(W$3,W$2,W5)-DATE(W$3,1,1)+7)/7,"")</f>
        <v>44.428571428571431</v>
      </c>
      <c r="AA5" s="163"/>
      <c r="AB5" s="164"/>
      <c r="AC5" s="165"/>
      <c r="AD5" s="57">
        <f>IF(ISNUMBER(AD4),AD4+1,1)</f>
        <v>1</v>
      </c>
      <c r="AE5" s="58" t="str">
        <f>CHOOSE(MOD(WEEKDAY(DATE(AD$3,AD$2,AD5)),7)+1,"lø","sø","ma","ti","on","to","fr",)</f>
        <v>on</v>
      </c>
      <c r="AF5" s="59" t="s">
        <v>127</v>
      </c>
      <c r="AG5" s="60" t="str">
        <f>IF(AE5="ma",(DATE(AD$3,AD$2,AD5)-DATE(AD$3,1,1)+7)/7,"")</f>
        <v/>
      </c>
      <c r="AH5" s="163"/>
      <c r="AI5" s="164"/>
      <c r="AJ5" s="165"/>
      <c r="AK5" s="57">
        <f>IF(ISNUMBER(AK4),AK4+1,1)</f>
        <v>1</v>
      </c>
      <c r="AL5" s="58" t="str">
        <f>CHOOSE(MOD(WEEKDAY(DATE(AK$3,AK$2,AK5)),7)+1,"lø","sø","ma","ti","on","to","fr",)</f>
        <v>lø</v>
      </c>
      <c r="AM5" s="59" t="s">
        <v>76</v>
      </c>
      <c r="AN5" s="60" t="str">
        <f>IF(AL5="ma",(DATE(AK$3,AK$2,AK5)-DATE(AK$3,1,1)+7)/7,"")</f>
        <v/>
      </c>
      <c r="AO5" s="166" t="s">
        <v>87</v>
      </c>
      <c r="AP5" s="167"/>
      <c r="AQ5" s="168"/>
      <c r="AR5" s="57">
        <f>IF(ISNUMBER(AR4),AR4+1,1)</f>
        <v>1</v>
      </c>
      <c r="AS5" s="58" t="str">
        <f>CHOOSE(MOD(WEEKDAY(DATE(AR$3,AR$2,AR5)),7)+1,"lø","sø","ma","ti","on","to","fr",)</f>
        <v>ti</v>
      </c>
      <c r="AT5" s="59" t="s">
        <v>127</v>
      </c>
      <c r="AU5" s="60" t="str">
        <f>IF(AS5="ma",(DATE(AR$3,AR$2,AR5)-DATE(AR$3,1,1)+7)/7,"")</f>
        <v/>
      </c>
      <c r="AV5" s="163"/>
      <c r="AW5" s="164"/>
      <c r="AX5" s="165"/>
      <c r="AY5" s="57">
        <f>IF(ISNUMBER(AY4),AY4+1,1)</f>
        <v>1</v>
      </c>
      <c r="AZ5" s="58" t="str">
        <f>CHOOSE(MOD(WEEKDAY(DATE(AY$3,AY$2,AY5)),7)+1,"lø","sø","ma","ti","on","to","fr",)</f>
        <v>on</v>
      </c>
      <c r="BA5" s="59" t="s">
        <v>127</v>
      </c>
      <c r="BB5" s="60" t="str">
        <f>IF(AZ5="ma",(DATE(AY$3,AY$2,AY5)-DATE(AY$3,1,1)+7)/7,"")</f>
        <v/>
      </c>
      <c r="BC5" s="163"/>
      <c r="BD5" s="164"/>
      <c r="BE5" s="165"/>
      <c r="BF5" s="57">
        <f>IF(ISNUMBER(BF4),BF4+1,1)</f>
        <v>1</v>
      </c>
      <c r="BG5" s="58" t="str">
        <f>CHOOSE(MOD(WEEKDAY(DATE(BF$3,BF$2,BF5)),7)+1,"lø","sø","ma","ti","on","to","fr",)</f>
        <v>lø</v>
      </c>
      <c r="BH5" s="59" t="s">
        <v>76</v>
      </c>
      <c r="BI5" s="60" t="str">
        <f>IF(BG5="ma",(DATE(BF$3,BF$2,BF5)-DATE(BF$3,1,1)+7)/7,"")</f>
        <v/>
      </c>
      <c r="BJ5" s="163"/>
      <c r="BK5" s="164"/>
      <c r="BL5" s="165"/>
      <c r="BM5" s="57">
        <f>IF(ISNUMBER(BM4),BM4+1,1)</f>
        <v>1</v>
      </c>
      <c r="BN5" s="58" t="str">
        <f>CHOOSE(MOD(WEEKDAY(DATE(BM$3,BM$2,BM5)),7)+1,"lø","sø","ma","ti","on","to","fr",)</f>
        <v>ma</v>
      </c>
      <c r="BO5" s="59" t="s">
        <v>127</v>
      </c>
      <c r="BP5" s="60">
        <f>IF(BN5="ma",(DATE(BM$3,BM$2,BM5)-DATE(BM$3,1,1)+7)/7,"")</f>
        <v>18.285714285714285</v>
      </c>
      <c r="BQ5" s="163"/>
      <c r="BR5" s="164"/>
      <c r="BS5" s="165"/>
      <c r="BT5" s="57">
        <f>IF(ISNUMBER(BT4),BT4+1,1)</f>
        <v>1</v>
      </c>
      <c r="BU5" s="58" t="str">
        <f>CHOOSE(MOD(WEEKDAY(DATE(BT$3,BT$2,BT5)),7)+1,"lø","sø","ma","ti","on","to","fr",)</f>
        <v>to</v>
      </c>
      <c r="BV5" s="59" t="s">
        <v>127</v>
      </c>
      <c r="BW5" s="60" t="str">
        <f>IF(BU5="ma",(DATE(BT$3,BT$2,BT5)-DATE(BT$3,1,1)+7)/7,"")</f>
        <v/>
      </c>
      <c r="BX5" s="163"/>
      <c r="BY5" s="164"/>
      <c r="BZ5" s="165"/>
      <c r="CA5" s="57">
        <f>IF(ISNUMBER(CA4),CA4+1,1)</f>
        <v>1</v>
      </c>
      <c r="CB5" s="58" t="str">
        <f>CHOOSE(MOD(WEEKDAY(DATE(CA$3,CA$2,CA5)),7)+1,"lø","sø","ma","ti","on","to","fr",)</f>
        <v>lø</v>
      </c>
      <c r="CC5" s="59" t="s">
        <v>76</v>
      </c>
      <c r="CD5" s="60" t="str">
        <f>IF(CB5="ma",(DATE(CA$3,CA$2,CA5)-DATE(CA$3,1,1)+7)/7,"")</f>
        <v/>
      </c>
      <c r="CE5" s="169"/>
      <c r="CF5" s="170"/>
      <c r="CG5" s="171"/>
      <c r="CH5" s="79"/>
      <c r="CI5" s="39"/>
      <c r="CJ5" s="39"/>
      <c r="CK5" s="39"/>
      <c r="CL5" s="39"/>
    </row>
    <row r="6" spans="1:90" ht="18" customHeight="1">
      <c r="A6" s="181" t="s">
        <v>143</v>
      </c>
      <c r="B6" s="57">
        <f t="shared" ref="B6:B34" si="0">IF(ISNUMBER(B5),B5+1,1)</f>
        <v>2</v>
      </c>
      <c r="C6" s="58" t="str">
        <f t="shared" ref="C6:C34" si="1">CHOOSE(MOD(WEEKDAY(DATE(B$3,B$2,B6)),7)+1,"lø","sø","ma","ti","on","to","fr",)</f>
        <v>ma</v>
      </c>
      <c r="D6" s="59" t="s">
        <v>131</v>
      </c>
      <c r="E6" s="60">
        <f t="shared" ref="E6:E34" si="2">IF(C6="ma",(DATE(B$3,B$2,B6)-DATE(B$3,1,1)+7)/7,"")</f>
        <v>31.428571428571427</v>
      </c>
      <c r="F6" s="163" t="s">
        <v>69</v>
      </c>
      <c r="G6" s="164"/>
      <c r="H6" s="165"/>
      <c r="I6" s="57">
        <f t="shared" ref="I6:I34" si="3">IF(ISNUMBER(I5),I5+1,1)</f>
        <v>2</v>
      </c>
      <c r="J6" s="58" t="str">
        <f t="shared" ref="J6:J34" si="4">CHOOSE(MOD(WEEKDAY(DATE(I$3,I$2,I6)),7)+1,"lø","sø","ma","ti","on","to","fr",)</f>
        <v>to</v>
      </c>
      <c r="K6" s="59" t="s">
        <v>127</v>
      </c>
      <c r="L6" s="60" t="str">
        <f t="shared" ref="L6:L34" si="5">IF(J6="ma",(DATE(I$3,I$2,I6)-DATE(I$3,1,1)+7)/7,"")</f>
        <v/>
      </c>
      <c r="M6" s="163"/>
      <c r="N6" s="164"/>
      <c r="O6" s="165"/>
      <c r="P6" s="57">
        <f t="shared" ref="P6:P34" si="6">IF(ISNUMBER(P5),P5+1,1)</f>
        <v>2</v>
      </c>
      <c r="Q6" s="58" t="str">
        <f t="shared" ref="Q6:Q34" si="7">CHOOSE(MOD(WEEKDAY(DATE(P$3,P$2,P6)),7)+1,"lø","sø","ma","ti","on","to","fr",)</f>
        <v>lø</v>
      </c>
      <c r="R6" s="59" t="s">
        <v>76</v>
      </c>
      <c r="S6" s="60" t="str">
        <f t="shared" ref="S6:S34" si="8">IF(Q6="ma",(DATE(P$3,P$2,P6)-DATE(P$3,1,1)+7)/7,"")</f>
        <v/>
      </c>
      <c r="T6" s="163"/>
      <c r="U6" s="164"/>
      <c r="V6" s="165"/>
      <c r="W6" s="57">
        <f t="shared" ref="W6:W34" si="9">IF(ISNUMBER(W5),W5+1,1)</f>
        <v>2</v>
      </c>
      <c r="X6" s="58" t="str">
        <f t="shared" ref="X6:X34" si="10">CHOOSE(MOD(WEEKDAY(DATE(W$3,W$2,W6)),7)+1,"lø","sø","ma","ti","on","to","fr",)</f>
        <v>ti</v>
      </c>
      <c r="Y6" s="59" t="s">
        <v>127</v>
      </c>
      <c r="Z6" s="60" t="str">
        <f t="shared" ref="Z6:Z34" si="11">IF(X6="ma",(DATE(W$3,W$2,W6)-DATE(W$3,1,1)+7)/7,"")</f>
        <v/>
      </c>
      <c r="AA6" s="163"/>
      <c r="AB6" s="164"/>
      <c r="AC6" s="165"/>
      <c r="AD6" s="57">
        <f t="shared" ref="AD6:AD34" si="12">IF(ISNUMBER(AD5),AD5+1,1)</f>
        <v>2</v>
      </c>
      <c r="AE6" s="58" t="str">
        <f t="shared" ref="AE6:AE34" si="13">CHOOSE(MOD(WEEKDAY(DATE(AD$3,AD$2,AD6)),7)+1,"lø","sø","ma","ti","on","to","fr",)</f>
        <v>to</v>
      </c>
      <c r="AF6" s="59" t="s">
        <v>127</v>
      </c>
      <c r="AG6" s="60" t="str">
        <f t="shared" ref="AG6:AG33" si="14">IF(AE6="ma",(DATE(AD$3,AD$2,AD6)-DATE(AD$3,1,1)+7)/7,"")</f>
        <v/>
      </c>
      <c r="AH6" s="163"/>
      <c r="AI6" s="164"/>
      <c r="AJ6" s="165"/>
      <c r="AK6" s="57">
        <f t="shared" ref="AK6:AK34" si="15">IF(ISNUMBER(AK5),AK5+1,1)</f>
        <v>2</v>
      </c>
      <c r="AL6" s="58" t="str">
        <f t="shared" ref="AL6:AL34" si="16">CHOOSE(MOD(WEEKDAY(DATE(AK$3,AK$2,AK6)),7)+1,"lø","sø","ma","ti","on","to","fr",)</f>
        <v>sø</v>
      </c>
      <c r="AM6" s="59" t="s">
        <v>76</v>
      </c>
      <c r="AN6" s="60" t="str">
        <f t="shared" ref="AN6:AN34" si="17">IF(AL6="ma",(DATE(AK$3,AK$2,AK6)-DATE(AK$3,1,1)+7)/7,"")</f>
        <v/>
      </c>
      <c r="AO6" s="166"/>
      <c r="AP6" s="167"/>
      <c r="AQ6" s="168"/>
      <c r="AR6" s="57">
        <f t="shared" ref="AR6:AR33" si="18">IF(ISNUMBER(AR5),AR5+1,1)</f>
        <v>2</v>
      </c>
      <c r="AS6" s="58" t="str">
        <f t="shared" ref="AS6:AS33" si="19">CHOOSE(MOD(WEEKDAY(DATE(AR$3,AR$2,AR6)),7)+1,"lø","sø","ma","ti","on","to","fr",)</f>
        <v>on</v>
      </c>
      <c r="AT6" s="59" t="s">
        <v>127</v>
      </c>
      <c r="AU6" s="60" t="str">
        <f t="shared" ref="AU6:AU33" si="20">IF(AS6="ma",(DATE(AR$3,AR$2,AR6)-DATE(AR$3,1,1)+7)/7,"")</f>
        <v/>
      </c>
      <c r="AV6" s="163"/>
      <c r="AW6" s="164"/>
      <c r="AX6" s="165"/>
      <c r="AY6" s="57">
        <f t="shared" ref="AY6:AY34" si="21">IF(ISNUMBER(AY5),AY5+1,1)</f>
        <v>2</v>
      </c>
      <c r="AZ6" s="58" t="str">
        <f t="shared" ref="AZ6:AZ34" si="22">CHOOSE(MOD(WEEKDAY(DATE(AY$3,AY$2,AY6)),7)+1,"lø","sø","ma","ti","on","to","fr",)</f>
        <v>to</v>
      </c>
      <c r="BA6" s="59" t="s">
        <v>127</v>
      </c>
      <c r="BB6" s="60" t="str">
        <f t="shared" ref="BB6:BB34" si="23">IF(AZ6="ma",(DATE(AY$3,AY$2,AY6)-DATE(AY$3,1,1)+7)/7,"")</f>
        <v/>
      </c>
      <c r="BC6" s="163"/>
      <c r="BD6" s="164"/>
      <c r="BE6" s="165"/>
      <c r="BF6" s="57">
        <f t="shared" ref="BF6:BF34" si="24">IF(ISNUMBER(BF5),BF5+1,1)</f>
        <v>2</v>
      </c>
      <c r="BG6" s="58" t="str">
        <f t="shared" ref="BG6:BG34" si="25">CHOOSE(MOD(WEEKDAY(DATE(BF$3,BF$2,BF6)),7)+1,"lø","sø","ma","ti","on","to","fr",)</f>
        <v>sø</v>
      </c>
      <c r="BH6" s="59" t="s">
        <v>76</v>
      </c>
      <c r="BI6" s="60" t="str">
        <f t="shared" ref="BI6:BI34" si="26">IF(BG6="ma",(DATE(BF$3,BF$2,BF6)-DATE(BF$3,1,1)+7)/7,"")</f>
        <v/>
      </c>
      <c r="BJ6" s="163"/>
      <c r="BK6" s="164"/>
      <c r="BL6" s="165"/>
      <c r="BM6" s="57">
        <f t="shared" ref="BM6:BM34" si="27">IF(ISNUMBER(BM5),BM5+1,1)</f>
        <v>2</v>
      </c>
      <c r="BN6" s="58" t="str">
        <f t="shared" ref="BN6:BN34" si="28">CHOOSE(MOD(WEEKDAY(DATE(BM$3,BM$2,BM6)),7)+1,"lø","sø","ma","ti","on","to","fr",)</f>
        <v>ti</v>
      </c>
      <c r="BO6" s="59" t="s">
        <v>127</v>
      </c>
      <c r="BP6" s="60" t="str">
        <f t="shared" ref="BP6:BP34" si="29">IF(BN6="ma",(DATE(BM$3,BM$2,BM6)-DATE(BM$3,1,1)+7)/7,"")</f>
        <v/>
      </c>
      <c r="BQ6" s="163"/>
      <c r="BR6" s="164"/>
      <c r="BS6" s="165"/>
      <c r="BT6" s="57">
        <f t="shared" ref="BT6:BT34" si="30">IF(ISNUMBER(BT5),BT5+1,1)</f>
        <v>2</v>
      </c>
      <c r="BU6" s="58" t="str">
        <f t="shared" ref="BU6:BU34" si="31">CHOOSE(MOD(WEEKDAY(DATE(BT$3,BT$2,BT6)),7)+1,"lø","sø","ma","ti","on","to","fr",)</f>
        <v>fr</v>
      </c>
      <c r="BV6" s="59" t="s">
        <v>127</v>
      </c>
      <c r="BW6" s="60" t="str">
        <f t="shared" ref="BW6:BW34" si="32">IF(BU6="ma",(DATE(BT$3,BT$2,BT6)-DATE(BT$3,1,1)+7)/7,"")</f>
        <v/>
      </c>
      <c r="BX6" s="163"/>
      <c r="BY6" s="164"/>
      <c r="BZ6" s="165"/>
      <c r="CA6" s="57">
        <f t="shared" ref="CA6:CA34" si="33">IF(ISNUMBER(CA5),CA5+1,1)</f>
        <v>2</v>
      </c>
      <c r="CB6" s="58" t="str">
        <f t="shared" ref="CB6:CB34" si="34">CHOOSE(MOD(WEEKDAY(DATE(CA$3,CA$2,CA6)),7)+1,"lø","sø","ma","ti","on","to","fr",)</f>
        <v>sø</v>
      </c>
      <c r="CC6" s="59" t="s">
        <v>76</v>
      </c>
      <c r="CD6" s="60" t="str">
        <f>IF(CB6="ma",(DATE(CA$3,CA$2,CA6)-DATE(CA$3,1,1)+7)/7,"")</f>
        <v/>
      </c>
      <c r="CE6" s="169"/>
      <c r="CF6" s="170"/>
      <c r="CG6" s="171"/>
      <c r="CH6" s="79"/>
      <c r="CI6" s="39"/>
      <c r="CJ6" s="39"/>
      <c r="CK6" s="39"/>
      <c r="CL6" s="39"/>
    </row>
    <row r="7" spans="1:90" ht="18" customHeight="1">
      <c r="A7" s="181"/>
      <c r="B7" s="57">
        <f t="shared" si="0"/>
        <v>3</v>
      </c>
      <c r="C7" s="58" t="str">
        <f t="shared" si="1"/>
        <v>ti</v>
      </c>
      <c r="D7" s="59" t="s">
        <v>131</v>
      </c>
      <c r="E7" s="60" t="str">
        <f t="shared" si="2"/>
        <v/>
      </c>
      <c r="F7" s="163" t="s">
        <v>69</v>
      </c>
      <c r="G7" s="164"/>
      <c r="H7" s="165"/>
      <c r="I7" s="57">
        <f t="shared" si="3"/>
        <v>3</v>
      </c>
      <c r="J7" s="58" t="str">
        <f t="shared" si="4"/>
        <v>fr</v>
      </c>
      <c r="K7" s="59" t="s">
        <v>127</v>
      </c>
      <c r="L7" s="60" t="str">
        <f t="shared" si="5"/>
        <v/>
      </c>
      <c r="M7" s="163"/>
      <c r="N7" s="164"/>
      <c r="O7" s="165"/>
      <c r="P7" s="57">
        <f t="shared" si="6"/>
        <v>3</v>
      </c>
      <c r="Q7" s="58" t="str">
        <f t="shared" si="7"/>
        <v>sø</v>
      </c>
      <c r="R7" s="59" t="s">
        <v>76</v>
      </c>
      <c r="S7" s="60" t="str">
        <f t="shared" si="8"/>
        <v/>
      </c>
      <c r="T7" s="163"/>
      <c r="U7" s="164"/>
      <c r="V7" s="165"/>
      <c r="W7" s="57">
        <f t="shared" si="9"/>
        <v>3</v>
      </c>
      <c r="X7" s="58" t="str">
        <f t="shared" si="10"/>
        <v>on</v>
      </c>
      <c r="Y7" s="59" t="s">
        <v>127</v>
      </c>
      <c r="Z7" s="60" t="str">
        <f t="shared" si="11"/>
        <v/>
      </c>
      <c r="AA7" s="163"/>
      <c r="AB7" s="164"/>
      <c r="AC7" s="165"/>
      <c r="AD7" s="57">
        <f t="shared" si="12"/>
        <v>3</v>
      </c>
      <c r="AE7" s="58" t="str">
        <f t="shared" si="13"/>
        <v>fr</v>
      </c>
      <c r="AF7" s="59" t="s">
        <v>127</v>
      </c>
      <c r="AG7" s="60" t="str">
        <f t="shared" si="14"/>
        <v/>
      </c>
      <c r="AH7" s="163"/>
      <c r="AI7" s="164"/>
      <c r="AJ7" s="165"/>
      <c r="AK7" s="57">
        <f t="shared" si="15"/>
        <v>3</v>
      </c>
      <c r="AL7" s="58" t="str">
        <f t="shared" si="16"/>
        <v>ma</v>
      </c>
      <c r="AM7" s="59" t="s">
        <v>127</v>
      </c>
      <c r="AN7" s="60">
        <f t="shared" si="17"/>
        <v>1.2857142857142858</v>
      </c>
      <c r="AO7" s="166"/>
      <c r="AP7" s="167"/>
      <c r="AQ7" s="168"/>
      <c r="AR7" s="57">
        <f t="shared" si="18"/>
        <v>3</v>
      </c>
      <c r="AS7" s="58" t="str">
        <f t="shared" si="19"/>
        <v>to</v>
      </c>
      <c r="AT7" s="59" t="s">
        <v>127</v>
      </c>
      <c r="AU7" s="60" t="str">
        <f t="shared" si="20"/>
        <v/>
      </c>
      <c r="AV7" s="163"/>
      <c r="AW7" s="164"/>
      <c r="AX7" s="165"/>
      <c r="AY7" s="57">
        <f t="shared" si="21"/>
        <v>3</v>
      </c>
      <c r="AZ7" s="58" t="str">
        <f t="shared" si="22"/>
        <v>fr</v>
      </c>
      <c r="BA7" s="59" t="s">
        <v>127</v>
      </c>
      <c r="BB7" s="60" t="str">
        <f t="shared" si="23"/>
        <v/>
      </c>
      <c r="BC7" s="163"/>
      <c r="BD7" s="164"/>
      <c r="BE7" s="165"/>
      <c r="BF7" s="57">
        <f t="shared" si="24"/>
        <v>3</v>
      </c>
      <c r="BG7" s="58" t="str">
        <f t="shared" si="25"/>
        <v>ma</v>
      </c>
      <c r="BH7" s="59" t="s">
        <v>127</v>
      </c>
      <c r="BI7" s="60">
        <f t="shared" si="26"/>
        <v>14.285714285714286</v>
      </c>
      <c r="BJ7" s="163"/>
      <c r="BK7" s="164"/>
      <c r="BL7" s="165"/>
      <c r="BM7" s="57">
        <f t="shared" si="27"/>
        <v>3</v>
      </c>
      <c r="BN7" s="58" t="str">
        <f t="shared" si="28"/>
        <v>on</v>
      </c>
      <c r="BO7" s="59" t="s">
        <v>127</v>
      </c>
      <c r="BP7" s="60" t="str">
        <f t="shared" si="29"/>
        <v/>
      </c>
      <c r="BQ7" s="163"/>
      <c r="BR7" s="164"/>
      <c r="BS7" s="165"/>
      <c r="BT7" s="57">
        <f t="shared" si="30"/>
        <v>3</v>
      </c>
      <c r="BU7" s="58" t="str">
        <f t="shared" si="31"/>
        <v>lø</v>
      </c>
      <c r="BV7" s="59" t="s">
        <v>76</v>
      </c>
      <c r="BW7" s="60" t="str">
        <f t="shared" si="32"/>
        <v/>
      </c>
      <c r="BX7" s="163"/>
      <c r="BY7" s="164"/>
      <c r="BZ7" s="165"/>
      <c r="CA7" s="57">
        <f t="shared" si="33"/>
        <v>3</v>
      </c>
      <c r="CB7" s="58" t="str">
        <f t="shared" si="34"/>
        <v>ma</v>
      </c>
      <c r="CC7" s="59" t="s">
        <v>79</v>
      </c>
      <c r="CD7" s="60">
        <f t="shared" ref="CD7:CD34" si="35">IF(CB7="ma",(DATE(CA$3,CA$2,CA7)-DATE(CA$3,1,1)+7)/7,"")</f>
        <v>27.285714285714285</v>
      </c>
      <c r="CE7" s="169"/>
      <c r="CF7" s="170"/>
      <c r="CG7" s="171"/>
      <c r="CH7" s="79"/>
      <c r="CI7" s="39"/>
      <c r="CJ7" s="39"/>
      <c r="CK7" s="39"/>
      <c r="CL7" s="39"/>
    </row>
    <row r="8" spans="1:90" ht="18" customHeight="1">
      <c r="A8" s="181"/>
      <c r="B8" s="57">
        <f t="shared" si="0"/>
        <v>4</v>
      </c>
      <c r="C8" s="58" t="str">
        <f t="shared" si="1"/>
        <v>on</v>
      </c>
      <c r="D8" s="59" t="s">
        <v>79</v>
      </c>
      <c r="E8" s="60" t="str">
        <f t="shared" si="2"/>
        <v/>
      </c>
      <c r="F8" s="163"/>
      <c r="G8" s="164"/>
      <c r="H8" s="165"/>
      <c r="I8" s="57">
        <f t="shared" si="3"/>
        <v>4</v>
      </c>
      <c r="J8" s="58" t="str">
        <f t="shared" si="4"/>
        <v>lø</v>
      </c>
      <c r="K8" s="59" t="s">
        <v>76</v>
      </c>
      <c r="L8" s="60" t="str">
        <f t="shared" si="5"/>
        <v/>
      </c>
      <c r="M8" s="163"/>
      <c r="N8" s="164"/>
      <c r="O8" s="165"/>
      <c r="P8" s="57">
        <f t="shared" si="6"/>
        <v>4</v>
      </c>
      <c r="Q8" s="58" t="str">
        <f t="shared" si="7"/>
        <v>ma</v>
      </c>
      <c r="R8" s="59" t="s">
        <v>127</v>
      </c>
      <c r="S8" s="60">
        <f t="shared" si="8"/>
        <v>40.428571428571431</v>
      </c>
      <c r="T8" s="163"/>
      <c r="U8" s="164"/>
      <c r="V8" s="165"/>
      <c r="W8" s="57">
        <f t="shared" si="9"/>
        <v>4</v>
      </c>
      <c r="X8" s="58" t="str">
        <f t="shared" si="10"/>
        <v>to</v>
      </c>
      <c r="Y8" s="59" t="s">
        <v>127</v>
      </c>
      <c r="Z8" s="60" t="str">
        <f t="shared" si="11"/>
        <v/>
      </c>
      <c r="AA8" s="163"/>
      <c r="AB8" s="164"/>
      <c r="AC8" s="165"/>
      <c r="AD8" s="57">
        <f t="shared" si="12"/>
        <v>4</v>
      </c>
      <c r="AE8" s="58" t="str">
        <f t="shared" si="13"/>
        <v>lø</v>
      </c>
      <c r="AF8" s="59" t="s">
        <v>76</v>
      </c>
      <c r="AG8" s="60" t="str">
        <f t="shared" si="14"/>
        <v/>
      </c>
      <c r="AH8" s="163"/>
      <c r="AI8" s="164"/>
      <c r="AJ8" s="165"/>
      <c r="AK8" s="57">
        <f t="shared" si="15"/>
        <v>4</v>
      </c>
      <c r="AL8" s="58" t="str">
        <f t="shared" si="16"/>
        <v>ti</v>
      </c>
      <c r="AM8" s="59" t="s">
        <v>127</v>
      </c>
      <c r="AN8" s="60" t="str">
        <f t="shared" si="17"/>
        <v/>
      </c>
      <c r="AO8" s="166"/>
      <c r="AP8" s="167"/>
      <c r="AQ8" s="168"/>
      <c r="AR8" s="57">
        <f t="shared" si="18"/>
        <v>4</v>
      </c>
      <c r="AS8" s="58" t="str">
        <f t="shared" si="19"/>
        <v>fr</v>
      </c>
      <c r="AT8" s="59" t="s">
        <v>127</v>
      </c>
      <c r="AU8" s="60" t="str">
        <f t="shared" si="20"/>
        <v/>
      </c>
      <c r="AV8" s="163"/>
      <c r="AW8" s="164"/>
      <c r="AX8" s="165"/>
      <c r="AY8" s="57">
        <f t="shared" si="21"/>
        <v>4</v>
      </c>
      <c r="AZ8" s="58" t="str">
        <f t="shared" si="22"/>
        <v>lø</v>
      </c>
      <c r="BA8" s="59" t="s">
        <v>76</v>
      </c>
      <c r="BB8" s="60" t="str">
        <f t="shared" si="23"/>
        <v/>
      </c>
      <c r="BC8" s="163"/>
      <c r="BD8" s="164"/>
      <c r="BE8" s="165"/>
      <c r="BF8" s="57">
        <f t="shared" si="24"/>
        <v>4</v>
      </c>
      <c r="BG8" s="58" t="str">
        <f t="shared" si="25"/>
        <v>ti</v>
      </c>
      <c r="BH8" s="59" t="s">
        <v>127</v>
      </c>
      <c r="BI8" s="60" t="str">
        <f t="shared" si="26"/>
        <v/>
      </c>
      <c r="BJ8" s="163"/>
      <c r="BK8" s="164"/>
      <c r="BL8" s="165"/>
      <c r="BM8" s="57">
        <f t="shared" si="27"/>
        <v>4</v>
      </c>
      <c r="BN8" s="58" t="str">
        <f t="shared" si="28"/>
        <v>to</v>
      </c>
      <c r="BO8" s="59" t="s">
        <v>127</v>
      </c>
      <c r="BP8" s="60" t="str">
        <f t="shared" si="29"/>
        <v/>
      </c>
      <c r="BQ8" s="163"/>
      <c r="BR8" s="164"/>
      <c r="BS8" s="165"/>
      <c r="BT8" s="57">
        <f t="shared" si="30"/>
        <v>4</v>
      </c>
      <c r="BU8" s="58" t="str">
        <f t="shared" si="31"/>
        <v>sø</v>
      </c>
      <c r="BV8" s="59" t="s">
        <v>76</v>
      </c>
      <c r="BW8" s="60" t="str">
        <f t="shared" si="32"/>
        <v/>
      </c>
      <c r="BX8" s="163" t="s">
        <v>105</v>
      </c>
      <c r="BY8" s="164"/>
      <c r="BZ8" s="165"/>
      <c r="CA8" s="57">
        <f t="shared" si="33"/>
        <v>4</v>
      </c>
      <c r="CB8" s="58" t="str">
        <f t="shared" si="34"/>
        <v>ti</v>
      </c>
      <c r="CC8" s="59" t="s">
        <v>79</v>
      </c>
      <c r="CD8" s="60" t="str">
        <f t="shared" si="35"/>
        <v/>
      </c>
      <c r="CE8" s="169"/>
      <c r="CF8" s="170"/>
      <c r="CG8" s="171"/>
      <c r="CH8" s="79"/>
      <c r="CI8" s="39"/>
      <c r="CJ8" s="39"/>
      <c r="CK8" s="39"/>
      <c r="CL8" s="39"/>
    </row>
    <row r="9" spans="1:90" ht="18" customHeight="1">
      <c r="A9" s="181"/>
      <c r="B9" s="57">
        <f t="shared" si="0"/>
        <v>5</v>
      </c>
      <c r="C9" s="58" t="str">
        <f t="shared" si="1"/>
        <v>to</v>
      </c>
      <c r="D9" s="59" t="s">
        <v>79</v>
      </c>
      <c r="E9" s="60" t="str">
        <f t="shared" si="2"/>
        <v/>
      </c>
      <c r="F9" s="163"/>
      <c r="G9" s="164"/>
      <c r="H9" s="165"/>
      <c r="I9" s="57">
        <f t="shared" si="3"/>
        <v>5</v>
      </c>
      <c r="J9" s="58" t="str">
        <f t="shared" si="4"/>
        <v>sø</v>
      </c>
      <c r="K9" s="59" t="s">
        <v>76</v>
      </c>
      <c r="L9" s="60" t="str">
        <f t="shared" si="5"/>
        <v/>
      </c>
      <c r="M9" s="163"/>
      <c r="N9" s="164"/>
      <c r="O9" s="165"/>
      <c r="P9" s="57">
        <f t="shared" si="6"/>
        <v>5</v>
      </c>
      <c r="Q9" s="58" t="str">
        <f t="shared" si="7"/>
        <v>ti</v>
      </c>
      <c r="R9" s="59" t="s">
        <v>127</v>
      </c>
      <c r="S9" s="60" t="str">
        <f t="shared" si="8"/>
        <v/>
      </c>
      <c r="T9" s="163"/>
      <c r="U9" s="164"/>
      <c r="V9" s="165"/>
      <c r="W9" s="57">
        <f t="shared" si="9"/>
        <v>5</v>
      </c>
      <c r="X9" s="58" t="str">
        <f t="shared" si="10"/>
        <v>fr</v>
      </c>
      <c r="Y9" s="59" t="s">
        <v>127</v>
      </c>
      <c r="Z9" s="60" t="str">
        <f t="shared" si="11"/>
        <v/>
      </c>
      <c r="AA9" s="163"/>
      <c r="AB9" s="164"/>
      <c r="AC9" s="165"/>
      <c r="AD9" s="57">
        <f t="shared" si="12"/>
        <v>5</v>
      </c>
      <c r="AE9" s="58" t="str">
        <f t="shared" si="13"/>
        <v>sø</v>
      </c>
      <c r="AF9" s="59" t="s">
        <v>76</v>
      </c>
      <c r="AG9" s="60" t="str">
        <f t="shared" si="14"/>
        <v/>
      </c>
      <c r="AH9" s="163"/>
      <c r="AI9" s="164"/>
      <c r="AJ9" s="165"/>
      <c r="AK9" s="57">
        <f t="shared" si="15"/>
        <v>5</v>
      </c>
      <c r="AL9" s="58" t="str">
        <f t="shared" si="16"/>
        <v>on</v>
      </c>
      <c r="AM9" s="59" t="s">
        <v>127</v>
      </c>
      <c r="AN9" s="60" t="str">
        <f t="shared" si="17"/>
        <v/>
      </c>
      <c r="AO9" s="166"/>
      <c r="AP9" s="167"/>
      <c r="AQ9" s="168"/>
      <c r="AR9" s="57">
        <f t="shared" si="18"/>
        <v>5</v>
      </c>
      <c r="AS9" s="58" t="str">
        <f t="shared" si="19"/>
        <v>lø</v>
      </c>
      <c r="AT9" s="59" t="s">
        <v>76</v>
      </c>
      <c r="AU9" s="60" t="str">
        <f t="shared" si="20"/>
        <v/>
      </c>
      <c r="AV9" s="163"/>
      <c r="AW9" s="164"/>
      <c r="AX9" s="165"/>
      <c r="AY9" s="57">
        <f t="shared" si="21"/>
        <v>5</v>
      </c>
      <c r="AZ9" s="58" t="str">
        <f t="shared" si="22"/>
        <v>sø</v>
      </c>
      <c r="BA9" s="59" t="s">
        <v>76</v>
      </c>
      <c r="BB9" s="60" t="str">
        <f t="shared" si="23"/>
        <v/>
      </c>
      <c r="BC9" s="163"/>
      <c r="BD9" s="164"/>
      <c r="BE9" s="165"/>
      <c r="BF9" s="57">
        <f t="shared" si="24"/>
        <v>5</v>
      </c>
      <c r="BG9" s="58" t="str">
        <f t="shared" si="25"/>
        <v>on</v>
      </c>
      <c r="BH9" s="59" t="s">
        <v>127</v>
      </c>
      <c r="BI9" s="60" t="str">
        <f t="shared" si="26"/>
        <v/>
      </c>
      <c r="BJ9" s="163"/>
      <c r="BK9" s="164"/>
      <c r="BL9" s="165"/>
      <c r="BM9" s="57">
        <f t="shared" si="27"/>
        <v>5</v>
      </c>
      <c r="BN9" s="58" t="str">
        <f t="shared" si="28"/>
        <v>fr</v>
      </c>
      <c r="BO9" s="59" t="s">
        <v>127</v>
      </c>
      <c r="BP9" s="60" t="str">
        <f t="shared" si="29"/>
        <v/>
      </c>
      <c r="BQ9" s="163"/>
      <c r="BR9" s="164"/>
      <c r="BS9" s="165"/>
      <c r="BT9" s="57">
        <f t="shared" si="30"/>
        <v>5</v>
      </c>
      <c r="BU9" s="58" t="str">
        <f t="shared" si="31"/>
        <v>ma</v>
      </c>
      <c r="BV9" s="59" t="s">
        <v>75</v>
      </c>
      <c r="BW9" s="60">
        <f t="shared" si="32"/>
        <v>23.285714285714285</v>
      </c>
      <c r="BX9" s="163" t="s">
        <v>102</v>
      </c>
      <c r="BY9" s="164"/>
      <c r="BZ9" s="165"/>
      <c r="CA9" s="57">
        <f t="shared" si="33"/>
        <v>5</v>
      </c>
      <c r="CB9" s="58" t="str">
        <f t="shared" si="34"/>
        <v>on</v>
      </c>
      <c r="CC9" s="59" t="s">
        <v>79</v>
      </c>
      <c r="CD9" s="60" t="str">
        <f t="shared" si="35"/>
        <v/>
      </c>
      <c r="CE9" s="169"/>
      <c r="CF9" s="170"/>
      <c r="CG9" s="171"/>
      <c r="CH9" s="79"/>
      <c r="CI9" s="39"/>
      <c r="CJ9" s="39"/>
      <c r="CK9" s="39"/>
      <c r="CL9" s="39"/>
    </row>
    <row r="10" spans="1:90" ht="18" customHeight="1">
      <c r="A10" s="181"/>
      <c r="B10" s="57">
        <f t="shared" si="0"/>
        <v>6</v>
      </c>
      <c r="C10" s="58" t="str">
        <f t="shared" si="1"/>
        <v>fr</v>
      </c>
      <c r="D10" s="59" t="s">
        <v>79</v>
      </c>
      <c r="E10" s="60" t="str">
        <f t="shared" si="2"/>
        <v/>
      </c>
      <c r="F10" s="163"/>
      <c r="G10" s="164"/>
      <c r="H10" s="165"/>
      <c r="I10" s="57">
        <f t="shared" si="3"/>
        <v>6</v>
      </c>
      <c r="J10" s="58" t="str">
        <f t="shared" si="4"/>
        <v>ma</v>
      </c>
      <c r="K10" s="59" t="s">
        <v>127</v>
      </c>
      <c r="L10" s="60">
        <f t="shared" si="5"/>
        <v>36.428571428571431</v>
      </c>
      <c r="M10" s="163"/>
      <c r="N10" s="164"/>
      <c r="O10" s="165"/>
      <c r="P10" s="57">
        <f t="shared" si="6"/>
        <v>6</v>
      </c>
      <c r="Q10" s="58" t="str">
        <f t="shared" si="7"/>
        <v>on</v>
      </c>
      <c r="R10" s="59" t="s">
        <v>127</v>
      </c>
      <c r="S10" s="60" t="str">
        <f t="shared" si="8"/>
        <v/>
      </c>
      <c r="T10" s="163"/>
      <c r="U10" s="164"/>
      <c r="V10" s="165"/>
      <c r="W10" s="57">
        <f t="shared" si="9"/>
        <v>6</v>
      </c>
      <c r="X10" s="58" t="str">
        <f t="shared" si="10"/>
        <v>lø</v>
      </c>
      <c r="Y10" s="59" t="s">
        <v>76</v>
      </c>
      <c r="Z10" s="60" t="str">
        <f t="shared" si="11"/>
        <v/>
      </c>
      <c r="AA10" s="163"/>
      <c r="AB10" s="164"/>
      <c r="AC10" s="165"/>
      <c r="AD10" s="57">
        <f t="shared" si="12"/>
        <v>6</v>
      </c>
      <c r="AE10" s="58" t="str">
        <f t="shared" si="13"/>
        <v>ma</v>
      </c>
      <c r="AF10" s="59" t="s">
        <v>127</v>
      </c>
      <c r="AG10" s="60">
        <f t="shared" si="14"/>
        <v>49.428571428571431</v>
      </c>
      <c r="AH10" s="163"/>
      <c r="AI10" s="164"/>
      <c r="AJ10" s="165"/>
      <c r="AK10" s="57">
        <f t="shared" si="15"/>
        <v>6</v>
      </c>
      <c r="AL10" s="58" t="str">
        <f t="shared" si="16"/>
        <v>to</v>
      </c>
      <c r="AM10" s="59" t="s">
        <v>127</v>
      </c>
      <c r="AN10" s="60" t="str">
        <f t="shared" si="17"/>
        <v/>
      </c>
      <c r="AO10" s="166"/>
      <c r="AP10" s="167"/>
      <c r="AQ10" s="168"/>
      <c r="AR10" s="57">
        <f t="shared" si="18"/>
        <v>6</v>
      </c>
      <c r="AS10" s="58" t="str">
        <f t="shared" si="19"/>
        <v>sø</v>
      </c>
      <c r="AT10" s="59" t="s">
        <v>76</v>
      </c>
      <c r="AU10" s="60" t="str">
        <f t="shared" si="20"/>
        <v/>
      </c>
      <c r="AV10" s="163"/>
      <c r="AW10" s="164"/>
      <c r="AX10" s="165"/>
      <c r="AY10" s="57">
        <f t="shared" si="21"/>
        <v>6</v>
      </c>
      <c r="AZ10" s="58" t="str">
        <f t="shared" si="22"/>
        <v>ma</v>
      </c>
      <c r="BA10" s="59" t="s">
        <v>127</v>
      </c>
      <c r="BB10" s="60">
        <f t="shared" si="23"/>
        <v>10.285714285714286</v>
      </c>
      <c r="BC10" s="163"/>
      <c r="BD10" s="164"/>
      <c r="BE10" s="165"/>
      <c r="BF10" s="57">
        <f t="shared" si="24"/>
        <v>6</v>
      </c>
      <c r="BG10" s="58" t="str">
        <f t="shared" si="25"/>
        <v>to</v>
      </c>
      <c r="BH10" s="59" t="s">
        <v>127</v>
      </c>
      <c r="BI10" s="60" t="str">
        <f t="shared" si="26"/>
        <v/>
      </c>
      <c r="BJ10" s="163"/>
      <c r="BK10" s="164"/>
      <c r="BL10" s="165"/>
      <c r="BM10" s="57">
        <f t="shared" si="27"/>
        <v>6</v>
      </c>
      <c r="BN10" s="58" t="str">
        <f t="shared" si="28"/>
        <v>lø</v>
      </c>
      <c r="BO10" s="59" t="s">
        <v>76</v>
      </c>
      <c r="BP10" s="60" t="str">
        <f t="shared" si="29"/>
        <v/>
      </c>
      <c r="BQ10" s="163"/>
      <c r="BR10" s="164"/>
      <c r="BS10" s="165"/>
      <c r="BT10" s="57">
        <f t="shared" si="30"/>
        <v>6</v>
      </c>
      <c r="BU10" s="58" t="str">
        <f t="shared" si="31"/>
        <v>ti</v>
      </c>
      <c r="BV10" s="59" t="s">
        <v>127</v>
      </c>
      <c r="BW10" s="60" t="str">
        <f t="shared" si="32"/>
        <v/>
      </c>
      <c r="BX10" s="163"/>
      <c r="BY10" s="164"/>
      <c r="BZ10" s="165"/>
      <c r="CA10" s="57">
        <f t="shared" si="33"/>
        <v>6</v>
      </c>
      <c r="CB10" s="58" t="str">
        <f t="shared" si="34"/>
        <v>to</v>
      </c>
      <c r="CC10" s="59" t="s">
        <v>131</v>
      </c>
      <c r="CD10" s="60" t="str">
        <f t="shared" si="35"/>
        <v/>
      </c>
      <c r="CE10" s="169" t="s">
        <v>69</v>
      </c>
      <c r="CF10" s="170"/>
      <c r="CG10" s="171"/>
      <c r="CH10" s="79"/>
      <c r="CI10" s="39"/>
      <c r="CJ10" s="39"/>
      <c r="CK10" s="39"/>
      <c r="CL10" s="39"/>
    </row>
    <row r="11" spans="1:90" ht="18" customHeight="1">
      <c r="A11" s="181"/>
      <c r="B11" s="57">
        <f t="shared" si="0"/>
        <v>7</v>
      </c>
      <c r="C11" s="58" t="str">
        <f t="shared" si="1"/>
        <v>lø</v>
      </c>
      <c r="D11" s="59" t="s">
        <v>76</v>
      </c>
      <c r="E11" s="60" t="str">
        <f t="shared" si="2"/>
        <v/>
      </c>
      <c r="F11" s="163"/>
      <c r="G11" s="164"/>
      <c r="H11" s="165"/>
      <c r="I11" s="57">
        <f t="shared" si="3"/>
        <v>7</v>
      </c>
      <c r="J11" s="58" t="str">
        <f t="shared" si="4"/>
        <v>ti</v>
      </c>
      <c r="K11" s="59" t="s">
        <v>127</v>
      </c>
      <c r="L11" s="60" t="str">
        <f t="shared" si="5"/>
        <v/>
      </c>
      <c r="M11" s="163"/>
      <c r="N11" s="164"/>
      <c r="O11" s="165"/>
      <c r="P11" s="57">
        <f t="shared" si="6"/>
        <v>7</v>
      </c>
      <c r="Q11" s="58" t="str">
        <f t="shared" si="7"/>
        <v>to</v>
      </c>
      <c r="R11" s="59" t="s">
        <v>127</v>
      </c>
      <c r="S11" s="60" t="str">
        <f t="shared" si="8"/>
        <v/>
      </c>
      <c r="T11" s="163"/>
      <c r="U11" s="164"/>
      <c r="V11" s="165"/>
      <c r="W11" s="57">
        <f t="shared" si="9"/>
        <v>7</v>
      </c>
      <c r="X11" s="58" t="str">
        <f t="shared" si="10"/>
        <v>sø</v>
      </c>
      <c r="Y11" s="59" t="s">
        <v>76</v>
      </c>
      <c r="Z11" s="60" t="str">
        <f t="shared" si="11"/>
        <v/>
      </c>
      <c r="AA11" s="163"/>
      <c r="AB11" s="164"/>
      <c r="AC11" s="165"/>
      <c r="AD11" s="57">
        <f t="shared" si="12"/>
        <v>7</v>
      </c>
      <c r="AE11" s="58" t="str">
        <f t="shared" si="13"/>
        <v>ti</v>
      </c>
      <c r="AF11" s="59" t="s">
        <v>127</v>
      </c>
      <c r="AG11" s="60" t="str">
        <f t="shared" si="14"/>
        <v/>
      </c>
      <c r="AH11" s="163"/>
      <c r="AI11" s="164"/>
      <c r="AJ11" s="165"/>
      <c r="AK11" s="57">
        <f t="shared" si="15"/>
        <v>7</v>
      </c>
      <c r="AL11" s="58" t="str">
        <f t="shared" si="16"/>
        <v>fr</v>
      </c>
      <c r="AM11" s="59" t="s">
        <v>127</v>
      </c>
      <c r="AN11" s="60" t="str">
        <f t="shared" si="17"/>
        <v/>
      </c>
      <c r="AO11" s="166"/>
      <c r="AP11" s="167"/>
      <c r="AQ11" s="168"/>
      <c r="AR11" s="57">
        <f t="shared" si="18"/>
        <v>7</v>
      </c>
      <c r="AS11" s="58" t="str">
        <f t="shared" si="19"/>
        <v>ma</v>
      </c>
      <c r="AT11" s="59" t="s">
        <v>79</v>
      </c>
      <c r="AU11" s="60">
        <f t="shared" si="20"/>
        <v>6.2857142857142856</v>
      </c>
      <c r="AV11" s="163" t="s">
        <v>82</v>
      </c>
      <c r="AW11" s="164"/>
      <c r="AX11" s="165"/>
      <c r="AY11" s="57">
        <f t="shared" si="21"/>
        <v>7</v>
      </c>
      <c r="AZ11" s="58" t="str">
        <f t="shared" si="22"/>
        <v>ti</v>
      </c>
      <c r="BA11" s="59" t="s">
        <v>127</v>
      </c>
      <c r="BB11" s="60" t="str">
        <f t="shared" si="23"/>
        <v/>
      </c>
      <c r="BC11" s="163"/>
      <c r="BD11" s="164"/>
      <c r="BE11" s="165"/>
      <c r="BF11" s="57">
        <f t="shared" si="24"/>
        <v>7</v>
      </c>
      <c r="BG11" s="58" t="str">
        <f t="shared" si="25"/>
        <v>fr</v>
      </c>
      <c r="BH11" s="59" t="s">
        <v>127</v>
      </c>
      <c r="BI11" s="60" t="str">
        <f t="shared" si="26"/>
        <v/>
      </c>
      <c r="BJ11" s="163"/>
      <c r="BK11" s="164"/>
      <c r="BL11" s="165"/>
      <c r="BM11" s="57">
        <f t="shared" si="27"/>
        <v>7</v>
      </c>
      <c r="BN11" s="58" t="str">
        <f t="shared" si="28"/>
        <v>sø</v>
      </c>
      <c r="BO11" s="59" t="s">
        <v>76</v>
      </c>
      <c r="BP11" s="60" t="str">
        <f t="shared" si="29"/>
        <v/>
      </c>
      <c r="BQ11" s="163"/>
      <c r="BR11" s="164"/>
      <c r="BS11" s="165"/>
      <c r="BT11" s="57">
        <f t="shared" si="30"/>
        <v>7</v>
      </c>
      <c r="BU11" s="58" t="str">
        <f t="shared" si="31"/>
        <v>on</v>
      </c>
      <c r="BV11" s="59" t="s">
        <v>127</v>
      </c>
      <c r="BW11" s="60" t="str">
        <f t="shared" si="32"/>
        <v/>
      </c>
      <c r="BX11" s="163"/>
      <c r="BY11" s="164"/>
      <c r="BZ11" s="165"/>
      <c r="CA11" s="57">
        <f t="shared" si="33"/>
        <v>7</v>
      </c>
      <c r="CB11" s="58" t="str">
        <f t="shared" si="34"/>
        <v>fr</v>
      </c>
      <c r="CC11" s="59" t="s">
        <v>131</v>
      </c>
      <c r="CD11" s="60" t="str">
        <f t="shared" si="35"/>
        <v/>
      </c>
      <c r="CE11" s="169" t="s">
        <v>69</v>
      </c>
      <c r="CF11" s="170"/>
      <c r="CG11" s="171"/>
      <c r="CH11" s="79"/>
      <c r="CI11" s="39"/>
      <c r="CJ11" s="39"/>
      <c r="CK11" s="39"/>
      <c r="CL11" s="90" t="s">
        <v>101</v>
      </c>
    </row>
    <row r="12" spans="1:90" ht="18" customHeight="1">
      <c r="A12" s="181"/>
      <c r="B12" s="57">
        <f t="shared" si="0"/>
        <v>8</v>
      </c>
      <c r="C12" s="58" t="str">
        <f t="shared" si="1"/>
        <v>sø</v>
      </c>
      <c r="D12" s="59" t="s">
        <v>76</v>
      </c>
      <c r="E12" s="60" t="str">
        <f t="shared" si="2"/>
        <v/>
      </c>
      <c r="F12" s="163"/>
      <c r="G12" s="164"/>
      <c r="H12" s="165"/>
      <c r="I12" s="57">
        <f t="shared" si="3"/>
        <v>8</v>
      </c>
      <c r="J12" s="58" t="str">
        <f t="shared" si="4"/>
        <v>on</v>
      </c>
      <c r="K12" s="59" t="s">
        <v>127</v>
      </c>
      <c r="L12" s="60" t="str">
        <f t="shared" si="5"/>
        <v/>
      </c>
      <c r="M12" s="163"/>
      <c r="N12" s="164"/>
      <c r="O12" s="165"/>
      <c r="P12" s="57">
        <f t="shared" si="6"/>
        <v>8</v>
      </c>
      <c r="Q12" s="58" t="str">
        <f t="shared" si="7"/>
        <v>fr</v>
      </c>
      <c r="R12" s="59" t="s">
        <v>127</v>
      </c>
      <c r="S12" s="60" t="str">
        <f t="shared" si="8"/>
        <v/>
      </c>
      <c r="T12" s="163"/>
      <c r="U12" s="164"/>
      <c r="V12" s="165"/>
      <c r="W12" s="57">
        <f t="shared" si="9"/>
        <v>8</v>
      </c>
      <c r="X12" s="58" t="str">
        <f t="shared" si="10"/>
        <v>ma</v>
      </c>
      <c r="Y12" s="59" t="s">
        <v>127</v>
      </c>
      <c r="Z12" s="60">
        <f t="shared" si="11"/>
        <v>45.428571428571431</v>
      </c>
      <c r="AA12" s="163"/>
      <c r="AB12" s="164"/>
      <c r="AC12" s="165"/>
      <c r="AD12" s="57">
        <f t="shared" si="12"/>
        <v>8</v>
      </c>
      <c r="AE12" s="58" t="str">
        <f t="shared" si="13"/>
        <v>on</v>
      </c>
      <c r="AF12" s="59" t="s">
        <v>127</v>
      </c>
      <c r="AG12" s="60" t="str">
        <f t="shared" si="14"/>
        <v/>
      </c>
      <c r="AH12" s="163"/>
      <c r="AI12" s="164"/>
      <c r="AJ12" s="165"/>
      <c r="AK12" s="57">
        <f t="shared" si="15"/>
        <v>8</v>
      </c>
      <c r="AL12" s="58" t="str">
        <f t="shared" si="16"/>
        <v>lø</v>
      </c>
      <c r="AM12" s="59" t="s">
        <v>76</v>
      </c>
      <c r="AN12" s="60" t="str">
        <f t="shared" si="17"/>
        <v/>
      </c>
      <c r="AO12" s="166"/>
      <c r="AP12" s="167"/>
      <c r="AQ12" s="168"/>
      <c r="AR12" s="57">
        <f t="shared" si="18"/>
        <v>8</v>
      </c>
      <c r="AS12" s="58" t="str">
        <f t="shared" si="19"/>
        <v>ti</v>
      </c>
      <c r="AT12" s="59" t="s">
        <v>79</v>
      </c>
      <c r="AU12" s="60" t="str">
        <f t="shared" si="20"/>
        <v/>
      </c>
      <c r="AV12" s="163" t="s">
        <v>82</v>
      </c>
      <c r="AW12" s="164"/>
      <c r="AX12" s="165"/>
      <c r="AY12" s="57">
        <f t="shared" si="21"/>
        <v>8</v>
      </c>
      <c r="AZ12" s="58" t="str">
        <f t="shared" si="22"/>
        <v>on</v>
      </c>
      <c r="BA12" s="59" t="s">
        <v>127</v>
      </c>
      <c r="BB12" s="60" t="str">
        <f t="shared" si="23"/>
        <v/>
      </c>
      <c r="BC12" s="163"/>
      <c r="BD12" s="164"/>
      <c r="BE12" s="165"/>
      <c r="BF12" s="57">
        <f t="shared" si="24"/>
        <v>8</v>
      </c>
      <c r="BG12" s="58" t="str">
        <f t="shared" si="25"/>
        <v>lø</v>
      </c>
      <c r="BH12" s="59" t="s">
        <v>76</v>
      </c>
      <c r="BI12" s="60" t="str">
        <f t="shared" si="26"/>
        <v/>
      </c>
      <c r="BJ12" s="163"/>
      <c r="BK12" s="164"/>
      <c r="BL12" s="165"/>
      <c r="BM12" s="57">
        <f t="shared" si="27"/>
        <v>8</v>
      </c>
      <c r="BN12" s="58" t="str">
        <f t="shared" si="28"/>
        <v>ma</v>
      </c>
      <c r="BO12" s="59" t="s">
        <v>127</v>
      </c>
      <c r="BP12" s="60">
        <f t="shared" si="29"/>
        <v>19.285714285714285</v>
      </c>
      <c r="BQ12" s="163"/>
      <c r="BR12" s="164"/>
      <c r="BS12" s="165"/>
      <c r="BT12" s="57">
        <f t="shared" si="30"/>
        <v>8</v>
      </c>
      <c r="BU12" s="58" t="str">
        <f t="shared" si="31"/>
        <v>to</v>
      </c>
      <c r="BV12" s="59" t="s">
        <v>127</v>
      </c>
      <c r="BW12" s="60" t="str">
        <f t="shared" si="32"/>
        <v/>
      </c>
      <c r="BX12" s="163"/>
      <c r="BY12" s="164"/>
      <c r="BZ12" s="165"/>
      <c r="CA12" s="57">
        <f t="shared" si="33"/>
        <v>8</v>
      </c>
      <c r="CB12" s="58" t="str">
        <f t="shared" si="34"/>
        <v>lø</v>
      </c>
      <c r="CC12" s="59" t="s">
        <v>76</v>
      </c>
      <c r="CD12" s="60" t="str">
        <f t="shared" si="35"/>
        <v/>
      </c>
      <c r="CE12" s="169"/>
      <c r="CF12" s="170"/>
      <c r="CG12" s="171"/>
      <c r="CH12" s="79"/>
      <c r="CI12" s="39"/>
      <c r="CJ12" s="39"/>
      <c r="CK12" s="39"/>
      <c r="CL12" s="39"/>
    </row>
    <row r="13" spans="1:90" ht="18" customHeight="1">
      <c r="A13" s="125"/>
      <c r="B13" s="57">
        <f t="shared" si="0"/>
        <v>9</v>
      </c>
      <c r="C13" s="58" t="str">
        <f t="shared" si="1"/>
        <v>ma</v>
      </c>
      <c r="D13" s="59" t="s">
        <v>79</v>
      </c>
      <c r="E13" s="60">
        <f t="shared" si="2"/>
        <v>32.428571428571431</v>
      </c>
      <c r="F13" s="163"/>
      <c r="G13" s="164"/>
      <c r="H13" s="165"/>
      <c r="I13" s="57">
        <f t="shared" si="3"/>
        <v>9</v>
      </c>
      <c r="J13" s="58" t="str">
        <f t="shared" si="4"/>
        <v>to</v>
      </c>
      <c r="K13" s="59" t="s">
        <v>127</v>
      </c>
      <c r="L13" s="60" t="str">
        <f t="shared" si="5"/>
        <v/>
      </c>
      <c r="M13" s="163"/>
      <c r="N13" s="164"/>
      <c r="O13" s="165"/>
      <c r="P13" s="57">
        <f t="shared" si="6"/>
        <v>9</v>
      </c>
      <c r="Q13" s="58" t="str">
        <f t="shared" si="7"/>
        <v>lø</v>
      </c>
      <c r="R13" s="59" t="s">
        <v>76</v>
      </c>
      <c r="S13" s="60" t="str">
        <f t="shared" si="8"/>
        <v/>
      </c>
      <c r="T13" s="163"/>
      <c r="U13" s="164"/>
      <c r="V13" s="165"/>
      <c r="W13" s="57">
        <f t="shared" si="9"/>
        <v>9</v>
      </c>
      <c r="X13" s="58" t="str">
        <f t="shared" si="10"/>
        <v>ti</v>
      </c>
      <c r="Y13" s="59" t="s">
        <v>127</v>
      </c>
      <c r="Z13" s="60" t="str">
        <f t="shared" si="11"/>
        <v/>
      </c>
      <c r="AA13" s="163"/>
      <c r="AB13" s="164"/>
      <c r="AC13" s="165"/>
      <c r="AD13" s="57">
        <f t="shared" si="12"/>
        <v>9</v>
      </c>
      <c r="AE13" s="58" t="str">
        <f t="shared" si="13"/>
        <v>to</v>
      </c>
      <c r="AF13" s="59" t="s">
        <v>127</v>
      </c>
      <c r="AG13" s="60" t="str">
        <f t="shared" si="14"/>
        <v/>
      </c>
      <c r="AH13" s="163"/>
      <c r="AI13" s="164"/>
      <c r="AJ13" s="165"/>
      <c r="AK13" s="57">
        <f t="shared" si="15"/>
        <v>9</v>
      </c>
      <c r="AL13" s="58" t="str">
        <f t="shared" si="16"/>
        <v>sø</v>
      </c>
      <c r="AM13" s="59" t="s">
        <v>76</v>
      </c>
      <c r="AN13" s="60" t="str">
        <f t="shared" si="17"/>
        <v/>
      </c>
      <c r="AO13" s="166"/>
      <c r="AP13" s="167"/>
      <c r="AQ13" s="168"/>
      <c r="AR13" s="57">
        <f t="shared" si="18"/>
        <v>9</v>
      </c>
      <c r="AS13" s="58" t="str">
        <f t="shared" si="19"/>
        <v>on</v>
      </c>
      <c r="AT13" s="59" t="s">
        <v>79</v>
      </c>
      <c r="AU13" s="60" t="str">
        <f t="shared" si="20"/>
        <v/>
      </c>
      <c r="AV13" s="163" t="s">
        <v>82</v>
      </c>
      <c r="AW13" s="164"/>
      <c r="AX13" s="165"/>
      <c r="AY13" s="57">
        <f t="shared" si="21"/>
        <v>9</v>
      </c>
      <c r="AZ13" s="58" t="str">
        <f t="shared" si="22"/>
        <v>to</v>
      </c>
      <c r="BA13" s="59" t="s">
        <v>127</v>
      </c>
      <c r="BB13" s="60" t="str">
        <f t="shared" si="23"/>
        <v/>
      </c>
      <c r="BC13" s="163"/>
      <c r="BD13" s="164"/>
      <c r="BE13" s="165"/>
      <c r="BF13" s="57">
        <f t="shared" si="24"/>
        <v>9</v>
      </c>
      <c r="BG13" s="58" t="str">
        <f t="shared" si="25"/>
        <v>sø</v>
      </c>
      <c r="BH13" s="59" t="s">
        <v>76</v>
      </c>
      <c r="BI13" s="60" t="str">
        <f t="shared" si="26"/>
        <v/>
      </c>
      <c r="BJ13" s="163" t="s">
        <v>104</v>
      </c>
      <c r="BK13" s="164"/>
      <c r="BL13" s="165"/>
      <c r="BM13" s="57">
        <f t="shared" si="27"/>
        <v>9</v>
      </c>
      <c r="BN13" s="58" t="str">
        <f t="shared" si="28"/>
        <v>ti</v>
      </c>
      <c r="BO13" s="59" t="s">
        <v>127</v>
      </c>
      <c r="BP13" s="60" t="str">
        <f t="shared" si="29"/>
        <v/>
      </c>
      <c r="BQ13" s="163"/>
      <c r="BR13" s="164"/>
      <c r="BS13" s="165"/>
      <c r="BT13" s="57">
        <f t="shared" si="30"/>
        <v>9</v>
      </c>
      <c r="BU13" s="58" t="str">
        <f t="shared" si="31"/>
        <v>fr</v>
      </c>
      <c r="BV13" s="59" t="s">
        <v>127</v>
      </c>
      <c r="BW13" s="60" t="str">
        <f t="shared" si="32"/>
        <v/>
      </c>
      <c r="BX13" s="163"/>
      <c r="BY13" s="164"/>
      <c r="BZ13" s="165"/>
      <c r="CA13" s="57">
        <f t="shared" si="33"/>
        <v>9</v>
      </c>
      <c r="CB13" s="58" t="str">
        <f t="shared" si="34"/>
        <v>sø</v>
      </c>
      <c r="CC13" s="59" t="s">
        <v>76</v>
      </c>
      <c r="CD13" s="60" t="str">
        <f t="shared" si="35"/>
        <v/>
      </c>
      <c r="CE13" s="169"/>
      <c r="CF13" s="170"/>
      <c r="CG13" s="171"/>
      <c r="CH13" s="79"/>
      <c r="CI13" s="39"/>
      <c r="CJ13" s="39"/>
      <c r="CK13" s="39"/>
      <c r="CL13" s="39"/>
    </row>
    <row r="14" spans="1:90" ht="18" customHeight="1">
      <c r="A14" s="181" t="s">
        <v>144</v>
      </c>
      <c r="B14" s="57">
        <f t="shared" si="0"/>
        <v>10</v>
      </c>
      <c r="C14" s="58" t="str">
        <f t="shared" si="1"/>
        <v>ti</v>
      </c>
      <c r="D14" s="59" t="s">
        <v>127</v>
      </c>
      <c r="E14" s="60" t="str">
        <f t="shared" si="2"/>
        <v/>
      </c>
      <c r="F14" s="163"/>
      <c r="G14" s="164"/>
      <c r="H14" s="165"/>
      <c r="I14" s="57">
        <f t="shared" si="3"/>
        <v>10</v>
      </c>
      <c r="J14" s="58" t="str">
        <f t="shared" si="4"/>
        <v>fr</v>
      </c>
      <c r="K14" s="59" t="s">
        <v>127</v>
      </c>
      <c r="L14" s="60" t="str">
        <f t="shared" si="5"/>
        <v/>
      </c>
      <c r="M14" s="163"/>
      <c r="N14" s="164"/>
      <c r="O14" s="165"/>
      <c r="P14" s="57">
        <f t="shared" si="6"/>
        <v>10</v>
      </c>
      <c r="Q14" s="58" t="str">
        <f t="shared" si="7"/>
        <v>sø</v>
      </c>
      <c r="R14" s="59" t="s">
        <v>76</v>
      </c>
      <c r="S14" s="60" t="str">
        <f t="shared" si="8"/>
        <v/>
      </c>
      <c r="T14" s="163"/>
      <c r="U14" s="164"/>
      <c r="V14" s="165"/>
      <c r="W14" s="57">
        <f t="shared" si="9"/>
        <v>10</v>
      </c>
      <c r="X14" s="58" t="str">
        <f t="shared" si="10"/>
        <v>on</v>
      </c>
      <c r="Y14" s="59" t="s">
        <v>127</v>
      </c>
      <c r="Z14" s="60" t="str">
        <f t="shared" si="11"/>
        <v/>
      </c>
      <c r="AA14" s="163"/>
      <c r="AB14" s="164"/>
      <c r="AC14" s="165"/>
      <c r="AD14" s="57">
        <f t="shared" si="12"/>
        <v>10</v>
      </c>
      <c r="AE14" s="58" t="str">
        <f t="shared" si="13"/>
        <v>fr</v>
      </c>
      <c r="AF14" s="59" t="s">
        <v>127</v>
      </c>
      <c r="AG14" s="60" t="str">
        <f t="shared" si="14"/>
        <v/>
      </c>
      <c r="AH14" s="163"/>
      <c r="AI14" s="164"/>
      <c r="AJ14" s="165"/>
      <c r="AK14" s="57">
        <f t="shared" si="15"/>
        <v>10</v>
      </c>
      <c r="AL14" s="58" t="str">
        <f t="shared" si="16"/>
        <v>ma</v>
      </c>
      <c r="AM14" s="59" t="s">
        <v>127</v>
      </c>
      <c r="AN14" s="60">
        <f t="shared" si="17"/>
        <v>2.2857142857142856</v>
      </c>
      <c r="AO14" s="166"/>
      <c r="AP14" s="167"/>
      <c r="AQ14" s="168"/>
      <c r="AR14" s="57">
        <f t="shared" si="18"/>
        <v>10</v>
      </c>
      <c r="AS14" s="58" t="str">
        <f t="shared" si="19"/>
        <v>to</v>
      </c>
      <c r="AT14" s="59" t="s">
        <v>79</v>
      </c>
      <c r="AU14" s="60" t="str">
        <f t="shared" si="20"/>
        <v/>
      </c>
      <c r="AV14" s="163" t="s">
        <v>82</v>
      </c>
      <c r="AW14" s="164"/>
      <c r="AX14" s="165"/>
      <c r="AY14" s="57">
        <f t="shared" si="21"/>
        <v>10</v>
      </c>
      <c r="AZ14" s="58" t="str">
        <f t="shared" si="22"/>
        <v>fr</v>
      </c>
      <c r="BA14" s="59" t="s">
        <v>127</v>
      </c>
      <c r="BB14" s="60" t="str">
        <f t="shared" si="23"/>
        <v/>
      </c>
      <c r="BC14" s="163"/>
      <c r="BD14" s="164"/>
      <c r="BE14" s="165"/>
      <c r="BF14" s="57">
        <f t="shared" si="24"/>
        <v>10</v>
      </c>
      <c r="BG14" s="58" t="str">
        <f t="shared" si="25"/>
        <v>ma</v>
      </c>
      <c r="BH14" s="59" t="s">
        <v>79</v>
      </c>
      <c r="BI14" s="60">
        <f t="shared" si="26"/>
        <v>15.285714285714286</v>
      </c>
      <c r="BJ14" s="163"/>
      <c r="BK14" s="164"/>
      <c r="BL14" s="165"/>
      <c r="BM14" s="57">
        <f t="shared" si="27"/>
        <v>10</v>
      </c>
      <c r="BN14" s="58" t="str">
        <f t="shared" si="28"/>
        <v>on</v>
      </c>
      <c r="BO14" s="59" t="s">
        <v>127</v>
      </c>
      <c r="BP14" s="60" t="str">
        <f t="shared" si="29"/>
        <v/>
      </c>
      <c r="BQ14" s="163"/>
      <c r="BR14" s="164"/>
      <c r="BS14" s="165"/>
      <c r="BT14" s="57">
        <f t="shared" si="30"/>
        <v>10</v>
      </c>
      <c r="BU14" s="58" t="str">
        <f t="shared" si="31"/>
        <v>lø</v>
      </c>
      <c r="BV14" s="59" t="s">
        <v>76</v>
      </c>
      <c r="BW14" s="60" t="str">
        <f t="shared" si="32"/>
        <v/>
      </c>
      <c r="BX14" s="163"/>
      <c r="BY14" s="164"/>
      <c r="BZ14" s="165"/>
      <c r="CA14" s="57">
        <f t="shared" si="33"/>
        <v>10</v>
      </c>
      <c r="CB14" s="58" t="str">
        <f t="shared" si="34"/>
        <v>ma</v>
      </c>
      <c r="CC14" s="59" t="s">
        <v>131</v>
      </c>
      <c r="CD14" s="60">
        <f t="shared" si="35"/>
        <v>28.285714285714285</v>
      </c>
      <c r="CE14" s="169" t="s">
        <v>69</v>
      </c>
      <c r="CF14" s="170"/>
      <c r="CG14" s="171"/>
      <c r="CH14" s="79"/>
      <c r="CI14" s="39"/>
      <c r="CJ14" s="39"/>
      <c r="CK14" s="39"/>
      <c r="CL14" s="39"/>
    </row>
    <row r="15" spans="1:90" ht="18" customHeight="1">
      <c r="A15" s="181"/>
      <c r="B15" s="57">
        <f t="shared" si="0"/>
        <v>11</v>
      </c>
      <c r="C15" s="58" t="str">
        <f t="shared" si="1"/>
        <v>on</v>
      </c>
      <c r="D15" s="59" t="s">
        <v>127</v>
      </c>
      <c r="E15" s="60" t="str">
        <f t="shared" si="2"/>
        <v/>
      </c>
      <c r="F15" s="178"/>
      <c r="G15" s="179"/>
      <c r="H15" s="180"/>
      <c r="I15" s="57">
        <f t="shared" si="3"/>
        <v>11</v>
      </c>
      <c r="J15" s="58" t="str">
        <f t="shared" si="4"/>
        <v>lø</v>
      </c>
      <c r="K15" s="59" t="s">
        <v>76</v>
      </c>
      <c r="L15" s="60" t="str">
        <f t="shared" si="5"/>
        <v/>
      </c>
      <c r="M15" s="163"/>
      <c r="N15" s="164"/>
      <c r="O15" s="165"/>
      <c r="P15" s="57">
        <f t="shared" si="6"/>
        <v>11</v>
      </c>
      <c r="Q15" s="58" t="str">
        <f t="shared" si="7"/>
        <v>ma</v>
      </c>
      <c r="R15" s="59" t="s">
        <v>131</v>
      </c>
      <c r="S15" s="60">
        <f t="shared" si="8"/>
        <v>41.428571428571431</v>
      </c>
      <c r="T15" s="163" t="s">
        <v>85</v>
      </c>
      <c r="U15" s="164"/>
      <c r="V15" s="165"/>
      <c r="W15" s="57">
        <f t="shared" si="9"/>
        <v>11</v>
      </c>
      <c r="X15" s="58" t="str">
        <f t="shared" si="10"/>
        <v>to</v>
      </c>
      <c r="Y15" s="59" t="s">
        <v>127</v>
      </c>
      <c r="Z15" s="60" t="str">
        <f t="shared" si="11"/>
        <v/>
      </c>
      <c r="AA15" s="163"/>
      <c r="AB15" s="164"/>
      <c r="AC15" s="165"/>
      <c r="AD15" s="57">
        <f t="shared" si="12"/>
        <v>11</v>
      </c>
      <c r="AE15" s="58" t="str">
        <f t="shared" si="13"/>
        <v>lø</v>
      </c>
      <c r="AF15" s="59" t="s">
        <v>76</v>
      </c>
      <c r="AG15" s="60" t="str">
        <f t="shared" si="14"/>
        <v/>
      </c>
      <c r="AH15" s="163"/>
      <c r="AI15" s="164"/>
      <c r="AJ15" s="165"/>
      <c r="AK15" s="57">
        <f t="shared" si="15"/>
        <v>11</v>
      </c>
      <c r="AL15" s="58" t="str">
        <f t="shared" si="16"/>
        <v>ti</v>
      </c>
      <c r="AM15" s="59" t="s">
        <v>127</v>
      </c>
      <c r="AN15" s="60" t="str">
        <f t="shared" si="17"/>
        <v/>
      </c>
      <c r="AO15" s="166"/>
      <c r="AP15" s="167"/>
      <c r="AQ15" s="168"/>
      <c r="AR15" s="57">
        <f t="shared" si="18"/>
        <v>11</v>
      </c>
      <c r="AS15" s="58" t="str">
        <f t="shared" si="19"/>
        <v>fr</v>
      </c>
      <c r="AT15" s="59" t="s">
        <v>79</v>
      </c>
      <c r="AU15" s="60" t="str">
        <f t="shared" si="20"/>
        <v/>
      </c>
      <c r="AV15" s="163" t="s">
        <v>82</v>
      </c>
      <c r="AW15" s="164"/>
      <c r="AX15" s="165"/>
      <c r="AY15" s="57">
        <f t="shared" si="21"/>
        <v>11</v>
      </c>
      <c r="AZ15" s="58" t="str">
        <f t="shared" si="22"/>
        <v>lø</v>
      </c>
      <c r="BA15" s="59" t="s">
        <v>76</v>
      </c>
      <c r="BB15" s="60" t="str">
        <f t="shared" si="23"/>
        <v/>
      </c>
      <c r="BC15" s="163"/>
      <c r="BD15" s="164"/>
      <c r="BE15" s="165"/>
      <c r="BF15" s="57">
        <f t="shared" si="24"/>
        <v>11</v>
      </c>
      <c r="BG15" s="58" t="str">
        <f t="shared" si="25"/>
        <v>ti</v>
      </c>
      <c r="BH15" s="59" t="s">
        <v>79</v>
      </c>
      <c r="BI15" s="60" t="str">
        <f t="shared" si="26"/>
        <v/>
      </c>
      <c r="BJ15" s="163"/>
      <c r="BK15" s="164"/>
      <c r="BL15" s="165"/>
      <c r="BM15" s="57">
        <f t="shared" si="27"/>
        <v>11</v>
      </c>
      <c r="BN15" s="58" t="str">
        <f t="shared" si="28"/>
        <v>to</v>
      </c>
      <c r="BO15" s="59" t="s">
        <v>127</v>
      </c>
      <c r="BP15" s="60" t="str">
        <f t="shared" si="29"/>
        <v/>
      </c>
      <c r="BQ15" s="163"/>
      <c r="BR15" s="164"/>
      <c r="BS15" s="165"/>
      <c r="BT15" s="57">
        <f t="shared" si="30"/>
        <v>11</v>
      </c>
      <c r="BU15" s="58" t="str">
        <f t="shared" si="31"/>
        <v>sø</v>
      </c>
      <c r="BV15" s="59" t="s">
        <v>76</v>
      </c>
      <c r="BW15" s="60" t="str">
        <f t="shared" si="32"/>
        <v/>
      </c>
      <c r="BX15" s="163"/>
      <c r="BY15" s="164"/>
      <c r="BZ15" s="165"/>
      <c r="CA15" s="57">
        <f t="shared" si="33"/>
        <v>11</v>
      </c>
      <c r="CB15" s="58" t="str">
        <f t="shared" si="34"/>
        <v>ti</v>
      </c>
      <c r="CC15" s="59" t="s">
        <v>131</v>
      </c>
      <c r="CD15" s="60" t="str">
        <f t="shared" si="35"/>
        <v/>
      </c>
      <c r="CE15" s="169" t="s">
        <v>69</v>
      </c>
      <c r="CF15" s="170"/>
      <c r="CG15" s="171"/>
      <c r="CH15" s="79"/>
      <c r="CI15" s="39"/>
      <c r="CJ15" s="39"/>
      <c r="CK15" s="39"/>
      <c r="CL15" s="39"/>
    </row>
    <row r="16" spans="1:90" ht="19" customHeight="1">
      <c r="A16" s="181"/>
      <c r="B16" s="57">
        <f>IF(ISNUMBER(B15),B15+1,1)</f>
        <v>12</v>
      </c>
      <c r="C16" s="58" t="str">
        <f>CHOOSE(MOD(WEEKDAY(DATE(B$3,B$2,B16)),7)+1,"lø","sø","ma","ti","on","to","fr",)</f>
        <v>to</v>
      </c>
      <c r="D16" s="59" t="s">
        <v>127</v>
      </c>
      <c r="E16" s="60" t="str">
        <f>IF(C16="ma",(DATE(B$3,B$2,B16)-DATE(B$3,1,1)+7)/7,"")</f>
        <v/>
      </c>
      <c r="F16" s="163"/>
      <c r="G16" s="164"/>
      <c r="H16" s="165"/>
      <c r="I16" s="57">
        <f t="shared" si="3"/>
        <v>12</v>
      </c>
      <c r="J16" s="58" t="str">
        <f t="shared" si="4"/>
        <v>sø</v>
      </c>
      <c r="K16" s="59" t="s">
        <v>76</v>
      </c>
      <c r="L16" s="60" t="str">
        <f t="shared" si="5"/>
        <v/>
      </c>
      <c r="M16" s="166"/>
      <c r="N16" s="167"/>
      <c r="O16" s="168"/>
      <c r="P16" s="57">
        <f t="shared" si="6"/>
        <v>12</v>
      </c>
      <c r="Q16" s="58" t="str">
        <f t="shared" si="7"/>
        <v>ti</v>
      </c>
      <c r="R16" s="59" t="s">
        <v>131</v>
      </c>
      <c r="S16" s="60" t="str">
        <f t="shared" si="8"/>
        <v/>
      </c>
      <c r="T16" s="166" t="s">
        <v>85</v>
      </c>
      <c r="U16" s="167"/>
      <c r="V16" s="168"/>
      <c r="W16" s="57">
        <f t="shared" si="9"/>
        <v>12</v>
      </c>
      <c r="X16" s="58" t="str">
        <f t="shared" si="10"/>
        <v>fr</v>
      </c>
      <c r="Y16" s="59" t="s">
        <v>127</v>
      </c>
      <c r="Z16" s="60" t="str">
        <f t="shared" si="11"/>
        <v/>
      </c>
      <c r="AA16" s="166"/>
      <c r="AB16" s="167"/>
      <c r="AC16" s="168"/>
      <c r="AD16" s="57">
        <f t="shared" si="12"/>
        <v>12</v>
      </c>
      <c r="AE16" s="58" t="str">
        <f t="shared" si="13"/>
        <v>sø</v>
      </c>
      <c r="AF16" s="59" t="s">
        <v>76</v>
      </c>
      <c r="AG16" s="60" t="str">
        <f t="shared" si="14"/>
        <v/>
      </c>
      <c r="AH16" s="166"/>
      <c r="AI16" s="167"/>
      <c r="AJ16" s="168"/>
      <c r="AK16" s="57">
        <f t="shared" si="15"/>
        <v>12</v>
      </c>
      <c r="AL16" s="58" t="str">
        <f t="shared" si="16"/>
        <v>on</v>
      </c>
      <c r="AM16" s="59" t="s">
        <v>127</v>
      </c>
      <c r="AN16" s="60" t="str">
        <f t="shared" si="17"/>
        <v/>
      </c>
      <c r="AO16" s="166"/>
      <c r="AP16" s="167"/>
      <c r="AQ16" s="168"/>
      <c r="AR16" s="57">
        <f t="shared" si="18"/>
        <v>12</v>
      </c>
      <c r="AS16" s="58" t="str">
        <f t="shared" si="19"/>
        <v>lø</v>
      </c>
      <c r="AT16" s="59" t="s">
        <v>76</v>
      </c>
      <c r="AU16" s="60" t="str">
        <f t="shared" si="20"/>
        <v/>
      </c>
      <c r="AV16" s="166"/>
      <c r="AW16" s="167"/>
      <c r="AX16" s="168"/>
      <c r="AY16" s="57">
        <f t="shared" si="21"/>
        <v>12</v>
      </c>
      <c r="AZ16" s="58" t="str">
        <f t="shared" si="22"/>
        <v>sø</v>
      </c>
      <c r="BA16" s="59" t="s">
        <v>76</v>
      </c>
      <c r="BB16" s="60" t="str">
        <f t="shared" si="23"/>
        <v/>
      </c>
      <c r="BC16" s="166"/>
      <c r="BD16" s="167"/>
      <c r="BE16" s="168"/>
      <c r="BF16" s="57">
        <f t="shared" si="24"/>
        <v>12</v>
      </c>
      <c r="BG16" s="58" t="str">
        <f t="shared" si="25"/>
        <v>on</v>
      </c>
      <c r="BH16" s="59" t="s">
        <v>79</v>
      </c>
      <c r="BI16" s="60" t="str">
        <f t="shared" si="26"/>
        <v/>
      </c>
      <c r="BJ16" s="166"/>
      <c r="BK16" s="167"/>
      <c r="BL16" s="168"/>
      <c r="BM16" s="57">
        <f t="shared" si="27"/>
        <v>12</v>
      </c>
      <c r="BN16" s="58" t="str">
        <f t="shared" si="28"/>
        <v>fr</v>
      </c>
      <c r="BO16" s="59" t="s">
        <v>127</v>
      </c>
      <c r="BP16" s="60" t="str">
        <f t="shared" si="29"/>
        <v/>
      </c>
      <c r="BQ16" s="166"/>
      <c r="BR16" s="167"/>
      <c r="BS16" s="168"/>
      <c r="BT16" s="57">
        <f t="shared" si="30"/>
        <v>12</v>
      </c>
      <c r="BU16" s="58" t="str">
        <f t="shared" si="31"/>
        <v>ma</v>
      </c>
      <c r="BV16" s="59" t="s">
        <v>127</v>
      </c>
      <c r="BW16" s="60">
        <f t="shared" si="32"/>
        <v>24.285714285714285</v>
      </c>
      <c r="BX16" s="166"/>
      <c r="BY16" s="167"/>
      <c r="BZ16" s="168"/>
      <c r="CA16" s="57">
        <f t="shared" si="33"/>
        <v>12</v>
      </c>
      <c r="CB16" s="58" t="str">
        <f t="shared" si="34"/>
        <v>on</v>
      </c>
      <c r="CC16" s="59" t="s">
        <v>131</v>
      </c>
      <c r="CD16" s="60" t="str">
        <f t="shared" si="35"/>
        <v/>
      </c>
      <c r="CE16" s="166" t="s">
        <v>69</v>
      </c>
      <c r="CF16" s="167"/>
      <c r="CG16" s="168"/>
      <c r="CH16" s="79"/>
      <c r="CI16" s="39"/>
      <c r="CJ16" s="39"/>
      <c r="CK16" s="39"/>
      <c r="CL16" s="39"/>
    </row>
    <row r="17" spans="1:90" ht="18" customHeight="1">
      <c r="A17" s="181"/>
      <c r="B17" s="57">
        <f>IF(ISNUMBER(B16),B16+1,1)</f>
        <v>13</v>
      </c>
      <c r="C17" s="58" t="str">
        <f t="shared" si="1"/>
        <v>fr</v>
      </c>
      <c r="D17" s="59" t="s">
        <v>127</v>
      </c>
      <c r="E17" s="60" t="str">
        <f t="shared" si="2"/>
        <v/>
      </c>
      <c r="F17" s="166"/>
      <c r="G17" s="167"/>
      <c r="H17" s="168"/>
      <c r="I17" s="57">
        <f t="shared" si="3"/>
        <v>13</v>
      </c>
      <c r="J17" s="58" t="str">
        <f t="shared" si="4"/>
        <v>ma</v>
      </c>
      <c r="K17" s="59" t="s">
        <v>127</v>
      </c>
      <c r="L17" s="60">
        <f t="shared" si="5"/>
        <v>37.428571428571431</v>
      </c>
      <c r="M17" s="166"/>
      <c r="N17" s="167"/>
      <c r="O17" s="168"/>
      <c r="P17" s="57">
        <f t="shared" si="6"/>
        <v>13</v>
      </c>
      <c r="Q17" s="58" t="str">
        <f t="shared" si="7"/>
        <v>on</v>
      </c>
      <c r="R17" s="59" t="s">
        <v>131</v>
      </c>
      <c r="S17" s="60" t="str">
        <f t="shared" si="8"/>
        <v/>
      </c>
      <c r="T17" s="166" t="s">
        <v>85</v>
      </c>
      <c r="U17" s="167"/>
      <c r="V17" s="168"/>
      <c r="W17" s="57">
        <f t="shared" si="9"/>
        <v>13</v>
      </c>
      <c r="X17" s="58" t="str">
        <f t="shared" si="10"/>
        <v>lø</v>
      </c>
      <c r="Y17" s="59" t="s">
        <v>76</v>
      </c>
      <c r="Z17" s="60" t="str">
        <f t="shared" si="11"/>
        <v/>
      </c>
      <c r="AA17" s="166"/>
      <c r="AB17" s="167"/>
      <c r="AC17" s="168"/>
      <c r="AD17" s="57">
        <f t="shared" si="12"/>
        <v>13</v>
      </c>
      <c r="AE17" s="58" t="str">
        <f t="shared" si="13"/>
        <v>ma</v>
      </c>
      <c r="AF17" s="59" t="s">
        <v>127</v>
      </c>
      <c r="AG17" s="60">
        <f t="shared" si="14"/>
        <v>50.428571428571431</v>
      </c>
      <c r="AH17" s="166"/>
      <c r="AI17" s="167"/>
      <c r="AJ17" s="168"/>
      <c r="AK17" s="57">
        <f t="shared" si="15"/>
        <v>13</v>
      </c>
      <c r="AL17" s="58" t="str">
        <f t="shared" si="16"/>
        <v>to</v>
      </c>
      <c r="AM17" s="59" t="s">
        <v>127</v>
      </c>
      <c r="AN17" s="60" t="str">
        <f t="shared" si="17"/>
        <v/>
      </c>
      <c r="AO17" s="166"/>
      <c r="AP17" s="167"/>
      <c r="AQ17" s="168"/>
      <c r="AR17" s="57">
        <f t="shared" si="18"/>
        <v>13</v>
      </c>
      <c r="AS17" s="58" t="str">
        <f t="shared" si="19"/>
        <v>sø</v>
      </c>
      <c r="AT17" s="59" t="s">
        <v>76</v>
      </c>
      <c r="AU17" s="60" t="str">
        <f t="shared" si="20"/>
        <v/>
      </c>
      <c r="AV17" s="166"/>
      <c r="AW17" s="167"/>
      <c r="AX17" s="168"/>
      <c r="AY17" s="57">
        <f t="shared" si="21"/>
        <v>13</v>
      </c>
      <c r="AZ17" s="58" t="str">
        <f t="shared" si="22"/>
        <v>ma</v>
      </c>
      <c r="BA17" s="59" t="s">
        <v>127</v>
      </c>
      <c r="BB17" s="60">
        <f t="shared" si="23"/>
        <v>11.285714285714286</v>
      </c>
      <c r="BC17" s="166"/>
      <c r="BD17" s="167"/>
      <c r="BE17" s="168"/>
      <c r="BF17" s="57">
        <f t="shared" si="24"/>
        <v>13</v>
      </c>
      <c r="BG17" s="58" t="str">
        <f t="shared" si="25"/>
        <v>to</v>
      </c>
      <c r="BH17" s="59" t="s">
        <v>75</v>
      </c>
      <c r="BI17" s="60" t="str">
        <f t="shared" si="26"/>
        <v/>
      </c>
      <c r="BJ17" s="166" t="s">
        <v>60</v>
      </c>
      <c r="BK17" s="167"/>
      <c r="BL17" s="168"/>
      <c r="BM17" s="57">
        <f t="shared" si="27"/>
        <v>13</v>
      </c>
      <c r="BN17" s="58" t="str">
        <f t="shared" si="28"/>
        <v>lø</v>
      </c>
      <c r="BO17" s="59" t="s">
        <v>76</v>
      </c>
      <c r="BP17" s="60" t="str">
        <f t="shared" si="29"/>
        <v/>
      </c>
      <c r="BQ17" s="166"/>
      <c r="BR17" s="167"/>
      <c r="BS17" s="168"/>
      <c r="BT17" s="57">
        <f t="shared" si="30"/>
        <v>13</v>
      </c>
      <c r="BU17" s="58" t="str">
        <f t="shared" si="31"/>
        <v>ti</v>
      </c>
      <c r="BV17" s="59" t="s">
        <v>127</v>
      </c>
      <c r="BW17" s="60" t="str">
        <f t="shared" si="32"/>
        <v/>
      </c>
      <c r="BX17" s="166"/>
      <c r="BY17" s="167"/>
      <c r="BZ17" s="168"/>
      <c r="CA17" s="57">
        <f t="shared" si="33"/>
        <v>13</v>
      </c>
      <c r="CB17" s="58" t="str">
        <f t="shared" si="34"/>
        <v>to</v>
      </c>
      <c r="CC17" s="59" t="s">
        <v>131</v>
      </c>
      <c r="CD17" s="60" t="str">
        <f t="shared" si="35"/>
        <v/>
      </c>
      <c r="CE17" s="166" t="s">
        <v>69</v>
      </c>
      <c r="CF17" s="167"/>
      <c r="CG17" s="168"/>
      <c r="CH17" s="79"/>
      <c r="CI17" s="39"/>
      <c r="CJ17" s="39"/>
      <c r="CK17" s="39"/>
      <c r="CL17" s="39"/>
    </row>
    <row r="18" spans="1:90" ht="18" customHeight="1">
      <c r="A18" s="181"/>
      <c r="B18" s="57">
        <f t="shared" si="0"/>
        <v>14</v>
      </c>
      <c r="C18" s="58" t="str">
        <f t="shared" si="1"/>
        <v>lø</v>
      </c>
      <c r="D18" s="59" t="s">
        <v>76</v>
      </c>
      <c r="E18" s="60" t="str">
        <f t="shared" si="2"/>
        <v/>
      </c>
      <c r="F18" s="166"/>
      <c r="G18" s="167"/>
      <c r="H18" s="168"/>
      <c r="I18" s="57">
        <f t="shared" si="3"/>
        <v>14</v>
      </c>
      <c r="J18" s="58" t="str">
        <f t="shared" si="4"/>
        <v>ti</v>
      </c>
      <c r="K18" s="59" t="s">
        <v>127</v>
      </c>
      <c r="L18" s="60" t="str">
        <f t="shared" si="5"/>
        <v/>
      </c>
      <c r="M18" s="166"/>
      <c r="N18" s="167"/>
      <c r="O18" s="168"/>
      <c r="P18" s="57">
        <f t="shared" si="6"/>
        <v>14</v>
      </c>
      <c r="Q18" s="58" t="str">
        <f t="shared" si="7"/>
        <v>to</v>
      </c>
      <c r="R18" s="59" t="s">
        <v>131</v>
      </c>
      <c r="S18" s="60" t="str">
        <f t="shared" si="8"/>
        <v/>
      </c>
      <c r="T18" s="166" t="s">
        <v>85</v>
      </c>
      <c r="U18" s="167"/>
      <c r="V18" s="168"/>
      <c r="W18" s="57">
        <f t="shared" si="9"/>
        <v>14</v>
      </c>
      <c r="X18" s="58" t="str">
        <f t="shared" si="10"/>
        <v>sø</v>
      </c>
      <c r="Y18" s="59" t="s">
        <v>76</v>
      </c>
      <c r="Z18" s="60" t="str">
        <f t="shared" si="11"/>
        <v/>
      </c>
      <c r="AA18" s="166"/>
      <c r="AB18" s="167"/>
      <c r="AC18" s="168"/>
      <c r="AD18" s="57">
        <f t="shared" si="12"/>
        <v>14</v>
      </c>
      <c r="AE18" s="58" t="str">
        <f t="shared" si="13"/>
        <v>ti</v>
      </c>
      <c r="AF18" s="59" t="s">
        <v>127</v>
      </c>
      <c r="AG18" s="60" t="str">
        <f t="shared" si="14"/>
        <v/>
      </c>
      <c r="AH18" s="166"/>
      <c r="AI18" s="167"/>
      <c r="AJ18" s="168"/>
      <c r="AK18" s="57">
        <f t="shared" si="15"/>
        <v>14</v>
      </c>
      <c r="AL18" s="58" t="str">
        <f t="shared" si="16"/>
        <v>fr</v>
      </c>
      <c r="AM18" s="59" t="s">
        <v>127</v>
      </c>
      <c r="AN18" s="60" t="str">
        <f t="shared" si="17"/>
        <v/>
      </c>
      <c r="AO18" s="166"/>
      <c r="AP18" s="167"/>
      <c r="AQ18" s="168"/>
      <c r="AR18" s="57">
        <f t="shared" si="18"/>
        <v>14</v>
      </c>
      <c r="AS18" s="58" t="str">
        <f t="shared" si="19"/>
        <v>ma</v>
      </c>
      <c r="AT18" s="59" t="s">
        <v>127</v>
      </c>
      <c r="AU18" s="60">
        <f t="shared" si="20"/>
        <v>7.2857142857142856</v>
      </c>
      <c r="AV18" s="166"/>
      <c r="AW18" s="167"/>
      <c r="AX18" s="168"/>
      <c r="AY18" s="57">
        <f t="shared" si="21"/>
        <v>14</v>
      </c>
      <c r="AZ18" s="58" t="str">
        <f t="shared" si="22"/>
        <v>ti</v>
      </c>
      <c r="BA18" s="59" t="s">
        <v>127</v>
      </c>
      <c r="BB18" s="60" t="str">
        <f t="shared" si="23"/>
        <v/>
      </c>
      <c r="BC18" s="166"/>
      <c r="BD18" s="167"/>
      <c r="BE18" s="168"/>
      <c r="BF18" s="57">
        <f t="shared" si="24"/>
        <v>14</v>
      </c>
      <c r="BG18" s="58" t="str">
        <f t="shared" si="25"/>
        <v>fr</v>
      </c>
      <c r="BH18" s="59" t="s">
        <v>75</v>
      </c>
      <c r="BI18" s="60" t="str">
        <f t="shared" si="26"/>
        <v/>
      </c>
      <c r="BJ18" s="166" t="s">
        <v>145</v>
      </c>
      <c r="BK18" s="167"/>
      <c r="BL18" s="168"/>
      <c r="BM18" s="57">
        <f t="shared" si="27"/>
        <v>14</v>
      </c>
      <c r="BN18" s="58" t="str">
        <f t="shared" si="28"/>
        <v>sø</v>
      </c>
      <c r="BO18" s="59" t="s">
        <v>76</v>
      </c>
      <c r="BP18" s="60" t="str">
        <f t="shared" si="29"/>
        <v/>
      </c>
      <c r="BQ18" s="166"/>
      <c r="BR18" s="167"/>
      <c r="BS18" s="168"/>
      <c r="BT18" s="57">
        <f t="shared" si="30"/>
        <v>14</v>
      </c>
      <c r="BU18" s="58" t="str">
        <f t="shared" si="31"/>
        <v>on</v>
      </c>
      <c r="BV18" s="59" t="s">
        <v>127</v>
      </c>
      <c r="BW18" s="60" t="str">
        <f t="shared" si="32"/>
        <v/>
      </c>
      <c r="BX18" s="166"/>
      <c r="BY18" s="167"/>
      <c r="BZ18" s="168"/>
      <c r="CA18" s="57">
        <f t="shared" si="33"/>
        <v>14</v>
      </c>
      <c r="CB18" s="58" t="str">
        <f t="shared" si="34"/>
        <v>fr</v>
      </c>
      <c r="CC18" s="59" t="s">
        <v>131</v>
      </c>
      <c r="CD18" s="60" t="str">
        <f t="shared" si="35"/>
        <v/>
      </c>
      <c r="CE18" s="166" t="s">
        <v>69</v>
      </c>
      <c r="CF18" s="167"/>
      <c r="CG18" s="168"/>
      <c r="CH18" s="79"/>
      <c r="CI18" s="39"/>
      <c r="CJ18" s="39"/>
      <c r="CK18" s="39"/>
      <c r="CL18" s="39"/>
    </row>
    <row r="19" spans="1:90" ht="18" customHeight="1">
      <c r="A19" s="184"/>
      <c r="B19" s="57">
        <f t="shared" si="0"/>
        <v>15</v>
      </c>
      <c r="C19" s="58" t="str">
        <f t="shared" si="1"/>
        <v>sø</v>
      </c>
      <c r="D19" s="59" t="s">
        <v>76</v>
      </c>
      <c r="E19" s="60" t="str">
        <f t="shared" si="2"/>
        <v/>
      </c>
      <c r="F19" s="166"/>
      <c r="G19" s="167"/>
      <c r="H19" s="168"/>
      <c r="I19" s="57">
        <f t="shared" si="3"/>
        <v>15</v>
      </c>
      <c r="J19" s="58" t="str">
        <f t="shared" si="4"/>
        <v>on</v>
      </c>
      <c r="K19" s="59" t="s">
        <v>127</v>
      </c>
      <c r="L19" s="60" t="str">
        <f t="shared" si="5"/>
        <v/>
      </c>
      <c r="M19" s="166"/>
      <c r="N19" s="167"/>
      <c r="O19" s="168"/>
      <c r="P19" s="57">
        <f t="shared" si="6"/>
        <v>15</v>
      </c>
      <c r="Q19" s="58" t="str">
        <f t="shared" si="7"/>
        <v>fr</v>
      </c>
      <c r="R19" s="59" t="s">
        <v>131</v>
      </c>
      <c r="S19" s="60" t="str">
        <f t="shared" si="8"/>
        <v/>
      </c>
      <c r="T19" s="166" t="s">
        <v>85</v>
      </c>
      <c r="U19" s="167"/>
      <c r="V19" s="168"/>
      <c r="W19" s="57">
        <f t="shared" si="9"/>
        <v>15</v>
      </c>
      <c r="X19" s="58" t="str">
        <f t="shared" si="10"/>
        <v>ma</v>
      </c>
      <c r="Y19" s="59" t="s">
        <v>127</v>
      </c>
      <c r="Z19" s="60">
        <f t="shared" si="11"/>
        <v>46.428571428571431</v>
      </c>
      <c r="AA19" s="166"/>
      <c r="AB19" s="167"/>
      <c r="AC19" s="168"/>
      <c r="AD19" s="57">
        <f t="shared" si="12"/>
        <v>15</v>
      </c>
      <c r="AE19" s="58" t="str">
        <f t="shared" si="13"/>
        <v>on</v>
      </c>
      <c r="AF19" s="59" t="s">
        <v>127</v>
      </c>
      <c r="AG19" s="60" t="str">
        <f t="shared" si="14"/>
        <v/>
      </c>
      <c r="AH19" s="166"/>
      <c r="AI19" s="167"/>
      <c r="AJ19" s="168"/>
      <c r="AK19" s="57">
        <f t="shared" si="15"/>
        <v>15</v>
      </c>
      <c r="AL19" s="58" t="str">
        <f t="shared" si="16"/>
        <v>lø</v>
      </c>
      <c r="AM19" s="59" t="s">
        <v>76</v>
      </c>
      <c r="AN19" s="60" t="str">
        <f t="shared" si="17"/>
        <v/>
      </c>
      <c r="AO19" s="166"/>
      <c r="AP19" s="167"/>
      <c r="AQ19" s="168"/>
      <c r="AR19" s="57">
        <f t="shared" si="18"/>
        <v>15</v>
      </c>
      <c r="AS19" s="58" t="str">
        <f t="shared" si="19"/>
        <v>ti</v>
      </c>
      <c r="AT19" s="59" t="s">
        <v>127</v>
      </c>
      <c r="AU19" s="60" t="str">
        <f t="shared" si="20"/>
        <v/>
      </c>
      <c r="AV19" s="166"/>
      <c r="AW19" s="167"/>
      <c r="AX19" s="168"/>
      <c r="AY19" s="57">
        <f t="shared" si="21"/>
        <v>15</v>
      </c>
      <c r="AZ19" s="58" t="str">
        <f t="shared" si="22"/>
        <v>on</v>
      </c>
      <c r="BA19" s="59" t="s">
        <v>127</v>
      </c>
      <c r="BB19" s="60" t="str">
        <f t="shared" si="23"/>
        <v/>
      </c>
      <c r="BC19" s="166"/>
      <c r="BD19" s="167"/>
      <c r="BE19" s="168"/>
      <c r="BF19" s="57">
        <f t="shared" si="24"/>
        <v>15</v>
      </c>
      <c r="BG19" s="58" t="str">
        <f t="shared" si="25"/>
        <v>lø</v>
      </c>
      <c r="BH19" s="59" t="s">
        <v>76</v>
      </c>
      <c r="BI19" s="60" t="str">
        <f t="shared" si="26"/>
        <v/>
      </c>
      <c r="BJ19" s="166"/>
      <c r="BK19" s="167"/>
      <c r="BL19" s="168"/>
      <c r="BM19" s="57">
        <f t="shared" si="27"/>
        <v>15</v>
      </c>
      <c r="BN19" s="58" t="str">
        <f t="shared" si="28"/>
        <v>ma</v>
      </c>
      <c r="BO19" s="59" t="s">
        <v>127</v>
      </c>
      <c r="BP19" s="60">
        <f t="shared" si="29"/>
        <v>20.285714285714285</v>
      </c>
      <c r="BQ19" s="166"/>
      <c r="BR19" s="167"/>
      <c r="BS19" s="168"/>
      <c r="BT19" s="57">
        <f t="shared" si="30"/>
        <v>15</v>
      </c>
      <c r="BU19" s="58" t="str">
        <f t="shared" si="31"/>
        <v>to</v>
      </c>
      <c r="BV19" s="59" t="s">
        <v>127</v>
      </c>
      <c r="BW19" s="60" t="str">
        <f t="shared" si="32"/>
        <v/>
      </c>
      <c r="BX19" s="166"/>
      <c r="BY19" s="167"/>
      <c r="BZ19" s="168"/>
      <c r="CA19" s="57">
        <f t="shared" si="33"/>
        <v>15</v>
      </c>
      <c r="CB19" s="58" t="str">
        <f t="shared" si="34"/>
        <v>lø</v>
      </c>
      <c r="CC19" s="59" t="s">
        <v>76</v>
      </c>
      <c r="CD19" s="60" t="str">
        <f t="shared" si="35"/>
        <v/>
      </c>
      <c r="CE19" s="166"/>
      <c r="CF19" s="167"/>
      <c r="CG19" s="168"/>
      <c r="CH19" s="79"/>
      <c r="CI19" s="39"/>
      <c r="CJ19" s="39"/>
      <c r="CK19" s="39"/>
      <c r="CL19" s="39"/>
    </row>
    <row r="20" spans="1:90" ht="18" customHeight="1">
      <c r="A20" s="184"/>
      <c r="B20" s="57">
        <f>IF(ISNUMBER(B19),B19+1,1)</f>
        <v>16</v>
      </c>
      <c r="C20" s="58" t="str">
        <f t="shared" si="1"/>
        <v>ma</v>
      </c>
      <c r="D20" s="59" t="s">
        <v>127</v>
      </c>
      <c r="E20" s="60">
        <f t="shared" si="2"/>
        <v>33.428571428571431</v>
      </c>
      <c r="F20" s="163"/>
      <c r="G20" s="164"/>
      <c r="H20" s="165"/>
      <c r="I20" s="57">
        <f>IF(ISNUMBER(I19),I19+1,1)</f>
        <v>16</v>
      </c>
      <c r="J20" s="58" t="str">
        <f t="shared" si="4"/>
        <v>to</v>
      </c>
      <c r="K20" s="59" t="s">
        <v>127</v>
      </c>
      <c r="L20" s="60" t="str">
        <f t="shared" si="5"/>
        <v/>
      </c>
      <c r="M20" s="163"/>
      <c r="N20" s="164"/>
      <c r="O20" s="165"/>
      <c r="P20" s="57">
        <f>IF(ISNUMBER(P19),P19+1,1)</f>
        <v>16</v>
      </c>
      <c r="Q20" s="58" t="str">
        <f t="shared" si="7"/>
        <v>lø</v>
      </c>
      <c r="R20" s="59" t="s">
        <v>76</v>
      </c>
      <c r="S20" s="60" t="str">
        <f t="shared" si="8"/>
        <v/>
      </c>
      <c r="T20" s="163"/>
      <c r="U20" s="164"/>
      <c r="V20" s="165"/>
      <c r="W20" s="57">
        <f>IF(ISNUMBER(W19),W19+1,1)</f>
        <v>16</v>
      </c>
      <c r="X20" s="58" t="str">
        <f t="shared" si="10"/>
        <v>ti</v>
      </c>
      <c r="Y20" s="59" t="s">
        <v>127</v>
      </c>
      <c r="Z20" s="60" t="str">
        <f t="shared" si="11"/>
        <v/>
      </c>
      <c r="AA20" s="163"/>
      <c r="AB20" s="164"/>
      <c r="AC20" s="165"/>
      <c r="AD20" s="57">
        <f>IF(ISNUMBER(AD19),AD19+1,1)</f>
        <v>16</v>
      </c>
      <c r="AE20" s="58" t="str">
        <f t="shared" si="13"/>
        <v>to</v>
      </c>
      <c r="AF20" s="59" t="s">
        <v>127</v>
      </c>
      <c r="AG20" s="60" t="str">
        <f t="shared" si="14"/>
        <v/>
      </c>
      <c r="AH20" s="163"/>
      <c r="AI20" s="164"/>
      <c r="AJ20" s="165"/>
      <c r="AK20" s="57">
        <f>IF(ISNUMBER(AK19),AK19+1,1)</f>
        <v>16</v>
      </c>
      <c r="AL20" s="58" t="str">
        <f t="shared" si="16"/>
        <v>sø</v>
      </c>
      <c r="AM20" s="59" t="s">
        <v>76</v>
      </c>
      <c r="AN20" s="60" t="str">
        <f t="shared" si="17"/>
        <v/>
      </c>
      <c r="AO20" s="166"/>
      <c r="AP20" s="167"/>
      <c r="AQ20" s="168"/>
      <c r="AR20" s="57">
        <f>IF(ISNUMBER(AR19),AR19+1,1)</f>
        <v>16</v>
      </c>
      <c r="AS20" s="58" t="str">
        <f t="shared" si="19"/>
        <v>on</v>
      </c>
      <c r="AT20" s="59" t="s">
        <v>127</v>
      </c>
      <c r="AU20" s="60" t="str">
        <f t="shared" si="20"/>
        <v/>
      </c>
      <c r="AV20" s="163"/>
      <c r="AW20" s="164"/>
      <c r="AX20" s="165"/>
      <c r="AY20" s="57">
        <f>IF(ISNUMBER(AY19),AY19+1,1)</f>
        <v>16</v>
      </c>
      <c r="AZ20" s="58" t="str">
        <f t="shared" si="22"/>
        <v>to</v>
      </c>
      <c r="BA20" s="59" t="s">
        <v>127</v>
      </c>
      <c r="BB20" s="60" t="str">
        <f t="shared" si="23"/>
        <v/>
      </c>
      <c r="BC20" s="163"/>
      <c r="BD20" s="164"/>
      <c r="BE20" s="165"/>
      <c r="BF20" s="57">
        <f>IF(ISNUMBER(BF19),BF19+1,1)</f>
        <v>16</v>
      </c>
      <c r="BG20" s="58" t="str">
        <f t="shared" si="25"/>
        <v>sø</v>
      </c>
      <c r="BH20" s="59" t="s">
        <v>76</v>
      </c>
      <c r="BI20" s="60" t="str">
        <f t="shared" si="26"/>
        <v/>
      </c>
      <c r="BJ20" s="163" t="s">
        <v>146</v>
      </c>
      <c r="BK20" s="164"/>
      <c r="BL20" s="165"/>
      <c r="BM20" s="57">
        <f>IF(ISNUMBER(BM19),BM19+1,1)</f>
        <v>16</v>
      </c>
      <c r="BN20" s="58" t="str">
        <f t="shared" si="28"/>
        <v>ti</v>
      </c>
      <c r="BO20" s="59" t="s">
        <v>127</v>
      </c>
      <c r="BP20" s="60" t="str">
        <f t="shared" si="29"/>
        <v/>
      </c>
      <c r="BQ20" s="163"/>
      <c r="BR20" s="164"/>
      <c r="BS20" s="165"/>
      <c r="BT20" s="57">
        <f>IF(ISNUMBER(BT19),BT19+1,1)</f>
        <v>16</v>
      </c>
      <c r="BU20" s="58" t="str">
        <f t="shared" si="31"/>
        <v>fr</v>
      </c>
      <c r="BV20" s="59" t="s">
        <v>127</v>
      </c>
      <c r="BW20" s="60" t="str">
        <f t="shared" si="32"/>
        <v/>
      </c>
      <c r="BX20" s="163"/>
      <c r="BY20" s="164"/>
      <c r="BZ20" s="165"/>
      <c r="CA20" s="57">
        <f>IF(ISNUMBER(CA19),CA19+1,1)</f>
        <v>16</v>
      </c>
      <c r="CB20" s="58" t="str">
        <f t="shared" si="34"/>
        <v>sø</v>
      </c>
      <c r="CC20" s="59" t="s">
        <v>76</v>
      </c>
      <c r="CD20" s="60" t="str">
        <f t="shared" si="35"/>
        <v/>
      </c>
      <c r="CE20" s="169"/>
      <c r="CF20" s="170"/>
      <c r="CG20" s="171"/>
      <c r="CH20" s="79"/>
      <c r="CI20" s="39"/>
      <c r="CJ20" s="39"/>
      <c r="CK20" s="39"/>
      <c r="CL20" s="39"/>
    </row>
    <row r="21" spans="1:90" ht="18" customHeight="1">
      <c r="A21" s="184"/>
      <c r="B21" s="57">
        <f t="shared" si="0"/>
        <v>17</v>
      </c>
      <c r="C21" s="58" t="str">
        <f t="shared" si="1"/>
        <v>ti</v>
      </c>
      <c r="D21" s="59" t="s">
        <v>127</v>
      </c>
      <c r="E21" s="60" t="str">
        <f t="shared" si="2"/>
        <v/>
      </c>
      <c r="F21" s="163"/>
      <c r="G21" s="164"/>
      <c r="H21" s="165"/>
      <c r="I21" s="57">
        <f t="shared" si="3"/>
        <v>17</v>
      </c>
      <c r="J21" s="58" t="str">
        <f t="shared" si="4"/>
        <v>fr</v>
      </c>
      <c r="K21" s="59" t="s">
        <v>127</v>
      </c>
      <c r="L21" s="60" t="str">
        <f t="shared" si="5"/>
        <v/>
      </c>
      <c r="M21" s="163"/>
      <c r="N21" s="164"/>
      <c r="O21" s="165"/>
      <c r="P21" s="57">
        <f t="shared" si="6"/>
        <v>17</v>
      </c>
      <c r="Q21" s="58" t="str">
        <f t="shared" si="7"/>
        <v>sø</v>
      </c>
      <c r="R21" s="59" t="s">
        <v>76</v>
      </c>
      <c r="S21" s="60" t="str">
        <f t="shared" si="8"/>
        <v/>
      </c>
      <c r="T21" s="166"/>
      <c r="U21" s="167"/>
      <c r="V21" s="168"/>
      <c r="W21" s="57">
        <f t="shared" si="9"/>
        <v>17</v>
      </c>
      <c r="X21" s="58" t="str">
        <f t="shared" si="10"/>
        <v>on</v>
      </c>
      <c r="Y21" s="59" t="s">
        <v>127</v>
      </c>
      <c r="Z21" s="60" t="str">
        <f t="shared" si="11"/>
        <v/>
      </c>
      <c r="AA21" s="163"/>
      <c r="AB21" s="164"/>
      <c r="AC21" s="165"/>
      <c r="AD21" s="57">
        <f t="shared" si="12"/>
        <v>17</v>
      </c>
      <c r="AE21" s="58" t="str">
        <f t="shared" si="13"/>
        <v>fr</v>
      </c>
      <c r="AF21" s="59" t="s">
        <v>127</v>
      </c>
      <c r="AG21" s="60" t="str">
        <f t="shared" si="14"/>
        <v/>
      </c>
      <c r="AH21" s="163"/>
      <c r="AI21" s="164"/>
      <c r="AJ21" s="165"/>
      <c r="AK21" s="57">
        <f t="shared" si="15"/>
        <v>17</v>
      </c>
      <c r="AL21" s="58" t="str">
        <f t="shared" si="16"/>
        <v>ma</v>
      </c>
      <c r="AM21" s="59" t="s">
        <v>127</v>
      </c>
      <c r="AN21" s="60">
        <f t="shared" si="17"/>
        <v>3.2857142857142856</v>
      </c>
      <c r="AO21" s="166"/>
      <c r="AP21" s="167"/>
      <c r="AQ21" s="168"/>
      <c r="AR21" s="57">
        <f t="shared" si="18"/>
        <v>17</v>
      </c>
      <c r="AS21" s="58" t="str">
        <f t="shared" si="19"/>
        <v>to</v>
      </c>
      <c r="AT21" s="59" t="s">
        <v>127</v>
      </c>
      <c r="AU21" s="60" t="str">
        <f t="shared" si="20"/>
        <v/>
      </c>
      <c r="AV21" s="163"/>
      <c r="AW21" s="164"/>
      <c r="AX21" s="165"/>
      <c r="AY21" s="57">
        <f t="shared" si="21"/>
        <v>17</v>
      </c>
      <c r="AZ21" s="58" t="str">
        <f t="shared" si="22"/>
        <v>fr</v>
      </c>
      <c r="BA21" s="59" t="s">
        <v>127</v>
      </c>
      <c r="BB21" s="60" t="str">
        <f t="shared" si="23"/>
        <v/>
      </c>
      <c r="BC21" s="163"/>
      <c r="BD21" s="164"/>
      <c r="BE21" s="165"/>
      <c r="BF21" s="57">
        <f t="shared" si="24"/>
        <v>17</v>
      </c>
      <c r="BG21" s="58" t="str">
        <f t="shared" si="25"/>
        <v>ma</v>
      </c>
      <c r="BH21" s="59" t="s">
        <v>75</v>
      </c>
      <c r="BI21" s="60">
        <f t="shared" si="26"/>
        <v>16.285714285714285</v>
      </c>
      <c r="BJ21" s="163" t="s">
        <v>72</v>
      </c>
      <c r="BK21" s="164"/>
      <c r="BL21" s="165"/>
      <c r="BM21" s="57">
        <f t="shared" si="27"/>
        <v>17</v>
      </c>
      <c r="BN21" s="58" t="str">
        <f t="shared" si="28"/>
        <v>on</v>
      </c>
      <c r="BO21" s="59" t="s">
        <v>127</v>
      </c>
      <c r="BP21" s="60" t="str">
        <f t="shared" si="29"/>
        <v/>
      </c>
      <c r="BQ21" s="163"/>
      <c r="BR21" s="164"/>
      <c r="BS21" s="165"/>
      <c r="BT21" s="57">
        <f t="shared" si="30"/>
        <v>17</v>
      </c>
      <c r="BU21" s="58" t="str">
        <f t="shared" si="31"/>
        <v>lø</v>
      </c>
      <c r="BV21" s="59" t="s">
        <v>76</v>
      </c>
      <c r="BW21" s="60" t="str">
        <f t="shared" si="32"/>
        <v/>
      </c>
      <c r="BX21" s="163"/>
      <c r="BY21" s="164"/>
      <c r="BZ21" s="165"/>
      <c r="CA21" s="57">
        <f t="shared" si="33"/>
        <v>17</v>
      </c>
      <c r="CB21" s="58" t="str">
        <f t="shared" si="34"/>
        <v>ma</v>
      </c>
      <c r="CC21" s="59" t="s">
        <v>131</v>
      </c>
      <c r="CD21" s="60">
        <f t="shared" si="35"/>
        <v>29.285714285714285</v>
      </c>
      <c r="CE21" s="169" t="s">
        <v>69</v>
      </c>
      <c r="CF21" s="170"/>
      <c r="CG21" s="171"/>
      <c r="CH21" s="79"/>
      <c r="CI21" s="39"/>
      <c r="CJ21" s="39"/>
      <c r="CK21" s="39"/>
      <c r="CL21" s="39"/>
    </row>
    <row r="22" spans="1:90" ht="18" customHeight="1">
      <c r="A22" s="184"/>
      <c r="B22" s="57">
        <f t="shared" si="0"/>
        <v>18</v>
      </c>
      <c r="C22" s="58" t="str">
        <f t="shared" si="1"/>
        <v>on</v>
      </c>
      <c r="D22" s="59" t="s">
        <v>127</v>
      </c>
      <c r="E22" s="60" t="str">
        <f t="shared" si="2"/>
        <v/>
      </c>
      <c r="F22" s="163"/>
      <c r="G22" s="164"/>
      <c r="H22" s="165"/>
      <c r="I22" s="57">
        <f t="shared" si="3"/>
        <v>18</v>
      </c>
      <c r="J22" s="58" t="str">
        <f t="shared" si="4"/>
        <v>lø</v>
      </c>
      <c r="K22" s="59" t="s">
        <v>76</v>
      </c>
      <c r="L22" s="60" t="str">
        <f t="shared" si="5"/>
        <v/>
      </c>
      <c r="M22" s="163"/>
      <c r="N22" s="164"/>
      <c r="O22" s="165"/>
      <c r="P22" s="57">
        <f t="shared" si="6"/>
        <v>18</v>
      </c>
      <c r="Q22" s="58" t="str">
        <f t="shared" si="7"/>
        <v>ma</v>
      </c>
      <c r="R22" s="59" t="s">
        <v>127</v>
      </c>
      <c r="S22" s="60">
        <f t="shared" si="8"/>
        <v>42.428571428571431</v>
      </c>
      <c r="T22" s="166"/>
      <c r="U22" s="167"/>
      <c r="V22" s="168"/>
      <c r="W22" s="57">
        <f t="shared" si="9"/>
        <v>18</v>
      </c>
      <c r="X22" s="58" t="str">
        <f t="shared" si="10"/>
        <v>to</v>
      </c>
      <c r="Y22" s="59" t="s">
        <v>127</v>
      </c>
      <c r="Z22" s="60" t="str">
        <f t="shared" si="11"/>
        <v/>
      </c>
      <c r="AA22" s="163"/>
      <c r="AB22" s="164"/>
      <c r="AC22" s="165"/>
      <c r="AD22" s="57">
        <f t="shared" si="12"/>
        <v>18</v>
      </c>
      <c r="AE22" s="58" t="str">
        <f t="shared" si="13"/>
        <v>lø</v>
      </c>
      <c r="AF22" s="59" t="s">
        <v>76</v>
      </c>
      <c r="AG22" s="60" t="str">
        <f t="shared" si="14"/>
        <v/>
      </c>
      <c r="AH22" s="163"/>
      <c r="AI22" s="164"/>
      <c r="AJ22" s="165"/>
      <c r="AK22" s="57">
        <f t="shared" si="15"/>
        <v>18</v>
      </c>
      <c r="AL22" s="58" t="str">
        <f t="shared" si="16"/>
        <v>ti</v>
      </c>
      <c r="AM22" s="59" t="s">
        <v>127</v>
      </c>
      <c r="AN22" s="60" t="str">
        <f t="shared" si="17"/>
        <v/>
      </c>
      <c r="AO22" s="166"/>
      <c r="AP22" s="167"/>
      <c r="AQ22" s="168"/>
      <c r="AR22" s="57">
        <f t="shared" si="18"/>
        <v>18</v>
      </c>
      <c r="AS22" s="58" t="str">
        <f t="shared" si="19"/>
        <v>fr</v>
      </c>
      <c r="AT22" s="59" t="s">
        <v>127</v>
      </c>
      <c r="AU22" s="60" t="str">
        <f t="shared" si="20"/>
        <v/>
      </c>
      <c r="AV22" s="163"/>
      <c r="AW22" s="164"/>
      <c r="AX22" s="165"/>
      <c r="AY22" s="57">
        <f t="shared" si="21"/>
        <v>18</v>
      </c>
      <c r="AZ22" s="58" t="str">
        <f t="shared" si="22"/>
        <v>lø</v>
      </c>
      <c r="BA22" s="59" t="s">
        <v>76</v>
      </c>
      <c r="BB22" s="60" t="str">
        <f t="shared" si="23"/>
        <v/>
      </c>
      <c r="BC22" s="163"/>
      <c r="BD22" s="164"/>
      <c r="BE22" s="165"/>
      <c r="BF22" s="57">
        <f t="shared" si="24"/>
        <v>18</v>
      </c>
      <c r="BG22" s="58" t="str">
        <f t="shared" si="25"/>
        <v>ti</v>
      </c>
      <c r="BH22" s="59" t="s">
        <v>127</v>
      </c>
      <c r="BI22" s="60" t="str">
        <f t="shared" si="26"/>
        <v/>
      </c>
      <c r="BJ22" s="163"/>
      <c r="BK22" s="164"/>
      <c r="BL22" s="165"/>
      <c r="BM22" s="57">
        <f t="shared" si="27"/>
        <v>18</v>
      </c>
      <c r="BN22" s="58" t="str">
        <f t="shared" si="28"/>
        <v>to</v>
      </c>
      <c r="BO22" s="59" t="s">
        <v>127</v>
      </c>
      <c r="BP22" s="60" t="str">
        <f t="shared" si="29"/>
        <v/>
      </c>
      <c r="BQ22" s="163"/>
      <c r="BR22" s="164"/>
      <c r="BS22" s="165"/>
      <c r="BT22" s="57">
        <f t="shared" si="30"/>
        <v>18</v>
      </c>
      <c r="BU22" s="58" t="str">
        <f t="shared" si="31"/>
        <v>sø</v>
      </c>
      <c r="BV22" s="59" t="s">
        <v>76</v>
      </c>
      <c r="BW22" s="60" t="str">
        <f t="shared" si="32"/>
        <v/>
      </c>
      <c r="BX22" s="163"/>
      <c r="BY22" s="164"/>
      <c r="BZ22" s="165"/>
      <c r="CA22" s="57">
        <f t="shared" si="33"/>
        <v>18</v>
      </c>
      <c r="CB22" s="58" t="str">
        <f t="shared" si="34"/>
        <v>ti</v>
      </c>
      <c r="CC22" s="59" t="s">
        <v>131</v>
      </c>
      <c r="CD22" s="60" t="str">
        <f t="shared" si="35"/>
        <v/>
      </c>
      <c r="CE22" s="169" t="s">
        <v>69</v>
      </c>
      <c r="CF22" s="170"/>
      <c r="CG22" s="171"/>
      <c r="CH22" s="79"/>
      <c r="CI22" s="39"/>
      <c r="CJ22" s="39"/>
      <c r="CK22" s="39"/>
      <c r="CL22" s="39"/>
    </row>
    <row r="23" spans="1:90" ht="18" customHeight="1" thickBot="1">
      <c r="A23" s="184"/>
      <c r="B23" s="57">
        <f t="shared" si="0"/>
        <v>19</v>
      </c>
      <c r="C23" s="58" t="str">
        <f t="shared" si="1"/>
        <v>to</v>
      </c>
      <c r="D23" s="59" t="s">
        <v>127</v>
      </c>
      <c r="E23" s="60" t="str">
        <f t="shared" si="2"/>
        <v/>
      </c>
      <c r="F23" s="163"/>
      <c r="G23" s="164"/>
      <c r="H23" s="165"/>
      <c r="I23" s="57">
        <f t="shared" si="3"/>
        <v>19</v>
      </c>
      <c r="J23" s="58" t="str">
        <f t="shared" si="4"/>
        <v>sø</v>
      </c>
      <c r="K23" s="59" t="s">
        <v>76</v>
      </c>
      <c r="L23" s="60" t="str">
        <f t="shared" si="5"/>
        <v/>
      </c>
      <c r="M23" s="163"/>
      <c r="N23" s="164"/>
      <c r="O23" s="165"/>
      <c r="P23" s="57">
        <f t="shared" si="6"/>
        <v>19</v>
      </c>
      <c r="Q23" s="58" t="str">
        <f t="shared" si="7"/>
        <v>ti</v>
      </c>
      <c r="R23" s="59" t="s">
        <v>127</v>
      </c>
      <c r="S23" s="60" t="str">
        <f t="shared" si="8"/>
        <v/>
      </c>
      <c r="T23" s="166"/>
      <c r="U23" s="167"/>
      <c r="V23" s="168"/>
      <c r="W23" s="57">
        <f t="shared" si="9"/>
        <v>19</v>
      </c>
      <c r="X23" s="58" t="str">
        <f t="shared" si="10"/>
        <v>fr</v>
      </c>
      <c r="Y23" s="59" t="s">
        <v>127</v>
      </c>
      <c r="Z23" s="60" t="str">
        <f t="shared" si="11"/>
        <v/>
      </c>
      <c r="AA23" s="163"/>
      <c r="AB23" s="164"/>
      <c r="AC23" s="165"/>
      <c r="AD23" s="57">
        <f t="shared" si="12"/>
        <v>19</v>
      </c>
      <c r="AE23" s="58" t="str">
        <f t="shared" si="13"/>
        <v>sø</v>
      </c>
      <c r="AF23" s="59" t="s">
        <v>76</v>
      </c>
      <c r="AG23" s="60" t="str">
        <f t="shared" si="14"/>
        <v/>
      </c>
      <c r="AH23" s="163"/>
      <c r="AI23" s="164"/>
      <c r="AJ23" s="165"/>
      <c r="AK23" s="57">
        <f t="shared" si="15"/>
        <v>19</v>
      </c>
      <c r="AL23" s="58" t="str">
        <f t="shared" si="16"/>
        <v>on</v>
      </c>
      <c r="AM23" s="59" t="s">
        <v>127</v>
      </c>
      <c r="AN23" s="60" t="str">
        <f t="shared" si="17"/>
        <v/>
      </c>
      <c r="AO23" s="166"/>
      <c r="AP23" s="167"/>
      <c r="AQ23" s="168"/>
      <c r="AR23" s="57">
        <f t="shared" si="18"/>
        <v>19</v>
      </c>
      <c r="AS23" s="58" t="str">
        <f t="shared" si="19"/>
        <v>lø</v>
      </c>
      <c r="AT23" s="59" t="s">
        <v>76</v>
      </c>
      <c r="AU23" s="60" t="str">
        <f t="shared" si="20"/>
        <v/>
      </c>
      <c r="AV23" s="163"/>
      <c r="AW23" s="164"/>
      <c r="AX23" s="165"/>
      <c r="AY23" s="57">
        <f t="shared" si="21"/>
        <v>19</v>
      </c>
      <c r="AZ23" s="58" t="str">
        <f t="shared" si="22"/>
        <v>sø</v>
      </c>
      <c r="BA23" s="59" t="s">
        <v>76</v>
      </c>
      <c r="BB23" s="60" t="str">
        <f t="shared" si="23"/>
        <v/>
      </c>
      <c r="BC23" s="163"/>
      <c r="BD23" s="164"/>
      <c r="BE23" s="165"/>
      <c r="BF23" s="57">
        <f t="shared" si="24"/>
        <v>19</v>
      </c>
      <c r="BG23" s="58" t="str">
        <f t="shared" si="25"/>
        <v>on</v>
      </c>
      <c r="BH23" s="59" t="s">
        <v>127</v>
      </c>
      <c r="BI23" s="60" t="str">
        <f t="shared" si="26"/>
        <v/>
      </c>
      <c r="BJ23" s="163"/>
      <c r="BK23" s="164"/>
      <c r="BL23" s="165"/>
      <c r="BM23" s="57">
        <f t="shared" si="27"/>
        <v>19</v>
      </c>
      <c r="BN23" s="58" t="str">
        <f t="shared" si="28"/>
        <v>fr</v>
      </c>
      <c r="BO23" s="59" t="s">
        <v>127</v>
      </c>
      <c r="BP23" s="60" t="str">
        <f t="shared" si="29"/>
        <v/>
      </c>
      <c r="BQ23" s="163"/>
      <c r="BR23" s="164"/>
      <c r="BS23" s="165"/>
      <c r="BT23" s="57">
        <f t="shared" si="30"/>
        <v>19</v>
      </c>
      <c r="BU23" s="58" t="str">
        <f t="shared" si="31"/>
        <v>ma</v>
      </c>
      <c r="BV23" s="59" t="s">
        <v>127</v>
      </c>
      <c r="BW23" s="60">
        <f t="shared" si="32"/>
        <v>25.285714285714285</v>
      </c>
      <c r="BX23" s="163"/>
      <c r="BY23" s="164"/>
      <c r="BZ23" s="165"/>
      <c r="CA23" s="57">
        <f t="shared" si="33"/>
        <v>19</v>
      </c>
      <c r="CB23" s="58" t="str">
        <f t="shared" si="34"/>
        <v>on</v>
      </c>
      <c r="CC23" s="59" t="s">
        <v>131</v>
      </c>
      <c r="CD23" s="60" t="str">
        <f t="shared" si="35"/>
        <v/>
      </c>
      <c r="CE23" s="169" t="s">
        <v>69</v>
      </c>
      <c r="CF23" s="170"/>
      <c r="CG23" s="171"/>
      <c r="CH23" s="79"/>
      <c r="CI23" s="39"/>
      <c r="CJ23" s="39"/>
      <c r="CK23" s="39"/>
      <c r="CL23" s="39"/>
    </row>
    <row r="24" spans="1:90" ht="18" customHeight="1">
      <c r="A24" s="184"/>
      <c r="B24" s="57">
        <f t="shared" si="0"/>
        <v>20</v>
      </c>
      <c r="C24" s="58" t="str">
        <f t="shared" si="1"/>
        <v>fr</v>
      </c>
      <c r="D24" s="59" t="s">
        <v>127</v>
      </c>
      <c r="E24" s="60" t="str">
        <f t="shared" si="2"/>
        <v/>
      </c>
      <c r="F24" s="163"/>
      <c r="G24" s="164"/>
      <c r="H24" s="165"/>
      <c r="I24" s="57">
        <f t="shared" si="3"/>
        <v>20</v>
      </c>
      <c r="J24" s="58" t="str">
        <f t="shared" si="4"/>
        <v>ma</v>
      </c>
      <c r="K24" s="59" t="s">
        <v>127</v>
      </c>
      <c r="L24" s="60">
        <f t="shared" si="5"/>
        <v>38.428571428571431</v>
      </c>
      <c r="M24" s="163"/>
      <c r="N24" s="164"/>
      <c r="O24" s="165"/>
      <c r="P24" s="57">
        <f t="shared" si="6"/>
        <v>20</v>
      </c>
      <c r="Q24" s="58" t="str">
        <f t="shared" si="7"/>
        <v>on</v>
      </c>
      <c r="R24" s="59" t="s">
        <v>127</v>
      </c>
      <c r="S24" s="60" t="str">
        <f t="shared" si="8"/>
        <v/>
      </c>
      <c r="T24" s="166"/>
      <c r="U24" s="167"/>
      <c r="V24" s="168"/>
      <c r="W24" s="57">
        <f t="shared" si="9"/>
        <v>20</v>
      </c>
      <c r="X24" s="58" t="str">
        <f t="shared" si="10"/>
        <v>lø</v>
      </c>
      <c r="Y24" s="59" t="s">
        <v>76</v>
      </c>
      <c r="Z24" s="60" t="str">
        <f t="shared" si="11"/>
        <v/>
      </c>
      <c r="AA24" s="163"/>
      <c r="AB24" s="164"/>
      <c r="AC24" s="165"/>
      <c r="AD24" s="57">
        <f t="shared" si="12"/>
        <v>20</v>
      </c>
      <c r="AE24" s="58" t="str">
        <f t="shared" si="13"/>
        <v>ma</v>
      </c>
      <c r="AF24" s="59" t="s">
        <v>79</v>
      </c>
      <c r="AG24" s="60">
        <f t="shared" si="14"/>
        <v>51.428571428571431</v>
      </c>
      <c r="AH24" s="163"/>
      <c r="AI24" s="164"/>
      <c r="AJ24" s="165"/>
      <c r="AK24" s="57">
        <f t="shared" si="15"/>
        <v>20</v>
      </c>
      <c r="AL24" s="58" t="str">
        <f t="shared" si="16"/>
        <v>to</v>
      </c>
      <c r="AM24" s="59" t="s">
        <v>127</v>
      </c>
      <c r="AN24" s="60" t="str">
        <f t="shared" si="17"/>
        <v/>
      </c>
      <c r="AO24" s="166"/>
      <c r="AP24" s="167"/>
      <c r="AQ24" s="168"/>
      <c r="AR24" s="57">
        <f t="shared" si="18"/>
        <v>20</v>
      </c>
      <c r="AS24" s="58" t="str">
        <f t="shared" si="19"/>
        <v>sø</v>
      </c>
      <c r="AT24" s="59" t="s">
        <v>76</v>
      </c>
      <c r="AU24" s="60" t="str">
        <f t="shared" si="20"/>
        <v/>
      </c>
      <c r="AV24" s="163"/>
      <c r="AW24" s="164"/>
      <c r="AX24" s="165"/>
      <c r="AY24" s="57">
        <f t="shared" si="21"/>
        <v>20</v>
      </c>
      <c r="AZ24" s="58" t="str">
        <f t="shared" si="22"/>
        <v>ma</v>
      </c>
      <c r="BA24" s="59" t="s">
        <v>127</v>
      </c>
      <c r="BB24" s="60">
        <f t="shared" si="23"/>
        <v>12.285714285714286</v>
      </c>
      <c r="BC24" s="163"/>
      <c r="BD24" s="164"/>
      <c r="BE24" s="165"/>
      <c r="BF24" s="57">
        <f t="shared" si="24"/>
        <v>20</v>
      </c>
      <c r="BG24" s="58" t="str">
        <f t="shared" si="25"/>
        <v>to</v>
      </c>
      <c r="BH24" s="59" t="s">
        <v>127</v>
      </c>
      <c r="BI24" s="60" t="str">
        <f t="shared" si="26"/>
        <v/>
      </c>
      <c r="BJ24" s="163"/>
      <c r="BK24" s="164"/>
      <c r="BL24" s="165"/>
      <c r="BM24" s="57">
        <f t="shared" si="27"/>
        <v>20</v>
      </c>
      <c r="BN24" s="58" t="str">
        <f t="shared" si="28"/>
        <v>lø</v>
      </c>
      <c r="BO24" s="59" t="s">
        <v>76</v>
      </c>
      <c r="BP24" s="60" t="str">
        <f t="shared" si="29"/>
        <v/>
      </c>
      <c r="BQ24" s="163"/>
      <c r="BR24" s="164"/>
      <c r="BS24" s="165"/>
      <c r="BT24" s="57">
        <f t="shared" si="30"/>
        <v>20</v>
      </c>
      <c r="BU24" s="58" t="str">
        <f t="shared" si="31"/>
        <v>ti</v>
      </c>
      <c r="BV24" s="59" t="s">
        <v>127</v>
      </c>
      <c r="BW24" s="60" t="str">
        <f t="shared" si="32"/>
        <v/>
      </c>
      <c r="BX24" s="163"/>
      <c r="BY24" s="164"/>
      <c r="BZ24" s="165"/>
      <c r="CA24" s="57">
        <f t="shared" si="33"/>
        <v>20</v>
      </c>
      <c r="CB24" s="58" t="str">
        <f t="shared" si="34"/>
        <v>to</v>
      </c>
      <c r="CC24" s="59" t="s">
        <v>131</v>
      </c>
      <c r="CD24" s="60" t="str">
        <f t="shared" si="35"/>
        <v/>
      </c>
      <c r="CE24" s="169" t="s">
        <v>69</v>
      </c>
      <c r="CF24" s="170"/>
      <c r="CG24" s="171"/>
      <c r="CH24" s="79"/>
      <c r="CI24" s="64" t="s">
        <v>53</v>
      </c>
      <c r="CJ24" s="65"/>
      <c r="CK24" s="39"/>
      <c r="CL24" s="39"/>
    </row>
    <row r="25" spans="1:90" ht="18" customHeight="1">
      <c r="A25" s="184"/>
      <c r="B25" s="57">
        <f t="shared" si="0"/>
        <v>21</v>
      </c>
      <c r="C25" s="58" t="str">
        <f t="shared" si="1"/>
        <v>lø</v>
      </c>
      <c r="D25" s="59" t="s">
        <v>76</v>
      </c>
      <c r="E25" s="60" t="str">
        <f t="shared" si="2"/>
        <v/>
      </c>
      <c r="F25" s="163"/>
      <c r="G25" s="164"/>
      <c r="H25" s="165"/>
      <c r="I25" s="57">
        <f t="shared" si="3"/>
        <v>21</v>
      </c>
      <c r="J25" s="58" t="str">
        <f t="shared" si="4"/>
        <v>ti</v>
      </c>
      <c r="K25" s="59" t="s">
        <v>127</v>
      </c>
      <c r="L25" s="60" t="str">
        <f t="shared" si="5"/>
        <v/>
      </c>
      <c r="M25" s="163"/>
      <c r="N25" s="164"/>
      <c r="O25" s="165"/>
      <c r="P25" s="57">
        <f t="shared" si="6"/>
        <v>21</v>
      </c>
      <c r="Q25" s="58" t="str">
        <f t="shared" si="7"/>
        <v>to</v>
      </c>
      <c r="R25" s="59" t="s">
        <v>127</v>
      </c>
      <c r="S25" s="60" t="str">
        <f t="shared" si="8"/>
        <v/>
      </c>
      <c r="T25" s="166"/>
      <c r="U25" s="167"/>
      <c r="V25" s="168"/>
      <c r="W25" s="57">
        <f t="shared" si="9"/>
        <v>21</v>
      </c>
      <c r="X25" s="58" t="str">
        <f t="shared" si="10"/>
        <v>sø</v>
      </c>
      <c r="Y25" s="59" t="s">
        <v>76</v>
      </c>
      <c r="Z25" s="60" t="str">
        <f t="shared" si="11"/>
        <v/>
      </c>
      <c r="AA25" s="163"/>
      <c r="AB25" s="164"/>
      <c r="AC25" s="165"/>
      <c r="AD25" s="57">
        <f t="shared" si="12"/>
        <v>21</v>
      </c>
      <c r="AE25" s="58" t="str">
        <f t="shared" si="13"/>
        <v>ti</v>
      </c>
      <c r="AF25" s="59" t="s">
        <v>79</v>
      </c>
      <c r="AG25" s="60" t="str">
        <f t="shared" si="14"/>
        <v/>
      </c>
      <c r="AH25" s="163"/>
      <c r="AI25" s="164"/>
      <c r="AJ25" s="165"/>
      <c r="AK25" s="57">
        <f t="shared" si="15"/>
        <v>21</v>
      </c>
      <c r="AL25" s="58" t="str">
        <f t="shared" si="16"/>
        <v>fr</v>
      </c>
      <c r="AM25" s="59" t="s">
        <v>127</v>
      </c>
      <c r="AN25" s="60" t="str">
        <f t="shared" si="17"/>
        <v/>
      </c>
      <c r="AO25" s="166"/>
      <c r="AP25" s="167"/>
      <c r="AQ25" s="168"/>
      <c r="AR25" s="57">
        <f t="shared" si="18"/>
        <v>21</v>
      </c>
      <c r="AS25" s="58" t="str">
        <f t="shared" si="19"/>
        <v>ma</v>
      </c>
      <c r="AT25" s="59" t="s">
        <v>127</v>
      </c>
      <c r="AU25" s="60">
        <f t="shared" si="20"/>
        <v>8.2857142857142865</v>
      </c>
      <c r="AV25" s="163"/>
      <c r="AW25" s="164"/>
      <c r="AX25" s="165"/>
      <c r="AY25" s="57">
        <f t="shared" si="21"/>
        <v>21</v>
      </c>
      <c r="AZ25" s="58" t="str">
        <f t="shared" si="22"/>
        <v>ti</v>
      </c>
      <c r="BA25" s="59" t="s">
        <v>127</v>
      </c>
      <c r="BB25" s="60" t="str">
        <f t="shared" si="23"/>
        <v/>
      </c>
      <c r="BC25" s="163"/>
      <c r="BD25" s="164"/>
      <c r="BE25" s="165"/>
      <c r="BF25" s="57">
        <f t="shared" si="24"/>
        <v>21</v>
      </c>
      <c r="BG25" s="58" t="str">
        <f t="shared" si="25"/>
        <v>fr</v>
      </c>
      <c r="BH25" s="59" t="s">
        <v>127</v>
      </c>
      <c r="BI25" s="60" t="str">
        <f t="shared" si="26"/>
        <v/>
      </c>
      <c r="BJ25" s="163"/>
      <c r="BK25" s="164"/>
      <c r="BL25" s="165"/>
      <c r="BM25" s="57">
        <f t="shared" si="27"/>
        <v>21</v>
      </c>
      <c r="BN25" s="58" t="str">
        <f t="shared" si="28"/>
        <v>sø</v>
      </c>
      <c r="BO25" s="59" t="s">
        <v>76</v>
      </c>
      <c r="BP25" s="60" t="str">
        <f t="shared" si="29"/>
        <v/>
      </c>
      <c r="BQ25" s="163"/>
      <c r="BR25" s="164"/>
      <c r="BS25" s="165"/>
      <c r="BT25" s="57">
        <f t="shared" si="30"/>
        <v>21</v>
      </c>
      <c r="BU25" s="58" t="str">
        <f t="shared" si="31"/>
        <v>on</v>
      </c>
      <c r="BV25" s="59" t="s">
        <v>127</v>
      </c>
      <c r="BW25" s="60" t="str">
        <f t="shared" si="32"/>
        <v/>
      </c>
      <c r="BX25" s="163"/>
      <c r="BY25" s="164"/>
      <c r="BZ25" s="165"/>
      <c r="CA25" s="57">
        <f t="shared" si="33"/>
        <v>21</v>
      </c>
      <c r="CB25" s="58" t="str">
        <f t="shared" si="34"/>
        <v>fr</v>
      </c>
      <c r="CC25" s="59" t="s">
        <v>131</v>
      </c>
      <c r="CD25" s="60" t="str">
        <f t="shared" si="35"/>
        <v/>
      </c>
      <c r="CE25" s="169" t="s">
        <v>69</v>
      </c>
      <c r="CF25" s="170"/>
      <c r="CG25" s="171"/>
      <c r="CH25" s="79"/>
      <c r="CI25" s="66" t="s">
        <v>67</v>
      </c>
      <c r="CJ25" s="67">
        <f>CK60</f>
        <v>200</v>
      </c>
      <c r="CK25" s="39"/>
      <c r="CL25" s="39"/>
    </row>
    <row r="26" spans="1:90" ht="18" customHeight="1">
      <c r="A26" s="182"/>
      <c r="B26" s="57">
        <f t="shared" si="0"/>
        <v>22</v>
      </c>
      <c r="C26" s="58" t="str">
        <f t="shared" si="1"/>
        <v>sø</v>
      </c>
      <c r="D26" s="59" t="s">
        <v>76</v>
      </c>
      <c r="E26" s="60" t="str">
        <f t="shared" si="2"/>
        <v/>
      </c>
      <c r="F26" s="163"/>
      <c r="G26" s="164"/>
      <c r="H26" s="165"/>
      <c r="I26" s="57">
        <f t="shared" si="3"/>
        <v>22</v>
      </c>
      <c r="J26" s="58" t="str">
        <f t="shared" si="4"/>
        <v>on</v>
      </c>
      <c r="K26" s="59" t="s">
        <v>127</v>
      </c>
      <c r="L26" s="60" t="str">
        <f t="shared" si="5"/>
        <v/>
      </c>
      <c r="M26" s="163"/>
      <c r="N26" s="164"/>
      <c r="O26" s="165"/>
      <c r="P26" s="57">
        <f t="shared" si="6"/>
        <v>22</v>
      </c>
      <c r="Q26" s="58" t="str">
        <f t="shared" si="7"/>
        <v>fr</v>
      </c>
      <c r="R26" s="59" t="s">
        <v>127</v>
      </c>
      <c r="S26" s="60" t="str">
        <f t="shared" si="8"/>
        <v/>
      </c>
      <c r="T26" s="163"/>
      <c r="U26" s="164"/>
      <c r="V26" s="165"/>
      <c r="W26" s="57">
        <f t="shared" si="9"/>
        <v>22</v>
      </c>
      <c r="X26" s="58" t="str">
        <f t="shared" si="10"/>
        <v>ma</v>
      </c>
      <c r="Y26" s="59" t="s">
        <v>127</v>
      </c>
      <c r="Z26" s="60">
        <f t="shared" si="11"/>
        <v>47.428571428571431</v>
      </c>
      <c r="AA26" s="163"/>
      <c r="AB26" s="164"/>
      <c r="AC26" s="165"/>
      <c r="AD26" s="57">
        <f t="shared" si="12"/>
        <v>22</v>
      </c>
      <c r="AE26" s="58" t="str">
        <f t="shared" si="13"/>
        <v>on</v>
      </c>
      <c r="AF26" s="59" t="s">
        <v>79</v>
      </c>
      <c r="AG26" s="60" t="str">
        <f t="shared" si="14"/>
        <v/>
      </c>
      <c r="AH26" s="163"/>
      <c r="AI26" s="164"/>
      <c r="AJ26" s="165"/>
      <c r="AK26" s="57">
        <f t="shared" si="15"/>
        <v>22</v>
      </c>
      <c r="AL26" s="58" t="str">
        <f t="shared" si="16"/>
        <v>lø</v>
      </c>
      <c r="AM26" s="59" t="s">
        <v>76</v>
      </c>
      <c r="AN26" s="60" t="str">
        <f t="shared" si="17"/>
        <v/>
      </c>
      <c r="AO26" s="166"/>
      <c r="AP26" s="167"/>
      <c r="AQ26" s="168"/>
      <c r="AR26" s="57">
        <f t="shared" si="18"/>
        <v>22</v>
      </c>
      <c r="AS26" s="58" t="str">
        <f t="shared" si="19"/>
        <v>ti</v>
      </c>
      <c r="AT26" s="59" t="s">
        <v>127</v>
      </c>
      <c r="AU26" s="60" t="str">
        <f t="shared" si="20"/>
        <v/>
      </c>
      <c r="AV26" s="163"/>
      <c r="AW26" s="164"/>
      <c r="AX26" s="165"/>
      <c r="AY26" s="57">
        <f t="shared" si="21"/>
        <v>22</v>
      </c>
      <c r="AZ26" s="58" t="str">
        <f t="shared" si="22"/>
        <v>on</v>
      </c>
      <c r="BA26" s="59" t="s">
        <v>127</v>
      </c>
      <c r="BB26" s="60" t="str">
        <f t="shared" si="23"/>
        <v/>
      </c>
      <c r="BC26" s="163"/>
      <c r="BD26" s="164"/>
      <c r="BE26" s="165"/>
      <c r="BF26" s="57">
        <f t="shared" si="24"/>
        <v>22</v>
      </c>
      <c r="BG26" s="58" t="str">
        <f t="shared" si="25"/>
        <v>lø</v>
      </c>
      <c r="BH26" s="59" t="s">
        <v>76</v>
      </c>
      <c r="BI26" s="60" t="str">
        <f t="shared" si="26"/>
        <v/>
      </c>
      <c r="BJ26" s="163"/>
      <c r="BK26" s="164"/>
      <c r="BL26" s="165"/>
      <c r="BM26" s="57">
        <f t="shared" si="27"/>
        <v>22</v>
      </c>
      <c r="BN26" s="58" t="str">
        <f t="shared" si="28"/>
        <v>ma</v>
      </c>
      <c r="BO26" s="59" t="s">
        <v>127</v>
      </c>
      <c r="BP26" s="60">
        <f t="shared" si="29"/>
        <v>21.285714285714285</v>
      </c>
      <c r="BQ26" s="163"/>
      <c r="BR26" s="164"/>
      <c r="BS26" s="165"/>
      <c r="BT26" s="57">
        <f t="shared" si="30"/>
        <v>22</v>
      </c>
      <c r="BU26" s="58" t="str">
        <f t="shared" si="31"/>
        <v>to</v>
      </c>
      <c r="BV26" s="59" t="s">
        <v>127</v>
      </c>
      <c r="BW26" s="60" t="str">
        <f t="shared" si="32"/>
        <v/>
      </c>
      <c r="BX26" s="163"/>
      <c r="BY26" s="164"/>
      <c r="BZ26" s="165"/>
      <c r="CA26" s="57">
        <f t="shared" si="33"/>
        <v>22</v>
      </c>
      <c r="CB26" s="58" t="str">
        <f t="shared" si="34"/>
        <v>lø</v>
      </c>
      <c r="CC26" s="59" t="s">
        <v>76</v>
      </c>
      <c r="CD26" s="60" t="str">
        <f t="shared" si="35"/>
        <v/>
      </c>
      <c r="CE26" s="169"/>
      <c r="CF26" s="170"/>
      <c r="CG26" s="171"/>
      <c r="CH26" s="79"/>
      <c r="CI26" s="68" t="s">
        <v>135</v>
      </c>
      <c r="CJ26" s="69">
        <f>CD41+BW41+BP41+BI41+BB41+AU41+AN41+AG41+Z41+S41+L41+E41</f>
        <v>0</v>
      </c>
      <c r="CK26" s="39"/>
      <c r="CL26" s="39"/>
    </row>
    <row r="27" spans="1:90" ht="18" customHeight="1">
      <c r="A27" s="182"/>
      <c r="B27" s="57">
        <f t="shared" si="0"/>
        <v>23</v>
      </c>
      <c r="C27" s="58" t="str">
        <f t="shared" si="1"/>
        <v>ma</v>
      </c>
      <c r="D27" s="59" t="s">
        <v>127</v>
      </c>
      <c r="E27" s="60">
        <f t="shared" si="2"/>
        <v>34.428571428571431</v>
      </c>
      <c r="F27" s="163"/>
      <c r="G27" s="164"/>
      <c r="H27" s="165"/>
      <c r="I27" s="57">
        <f t="shared" si="3"/>
        <v>23</v>
      </c>
      <c r="J27" s="58" t="str">
        <f t="shared" si="4"/>
        <v>to</v>
      </c>
      <c r="K27" s="59" t="s">
        <v>127</v>
      </c>
      <c r="L27" s="60" t="str">
        <f t="shared" si="5"/>
        <v/>
      </c>
      <c r="M27" s="163"/>
      <c r="N27" s="164"/>
      <c r="O27" s="165"/>
      <c r="P27" s="57">
        <f t="shared" si="6"/>
        <v>23</v>
      </c>
      <c r="Q27" s="58" t="str">
        <f t="shared" si="7"/>
        <v>lø</v>
      </c>
      <c r="R27" s="59" t="s">
        <v>76</v>
      </c>
      <c r="S27" s="60" t="str">
        <f t="shared" si="8"/>
        <v/>
      </c>
      <c r="T27" s="163"/>
      <c r="U27" s="164"/>
      <c r="V27" s="165"/>
      <c r="W27" s="57">
        <f t="shared" si="9"/>
        <v>23</v>
      </c>
      <c r="X27" s="58" t="str">
        <f t="shared" si="10"/>
        <v>ti</v>
      </c>
      <c r="Y27" s="59" t="s">
        <v>127</v>
      </c>
      <c r="Z27" s="60" t="str">
        <f t="shared" si="11"/>
        <v/>
      </c>
      <c r="AA27" s="163"/>
      <c r="AB27" s="164"/>
      <c r="AC27" s="165"/>
      <c r="AD27" s="57">
        <f t="shared" si="12"/>
        <v>23</v>
      </c>
      <c r="AE27" s="58" t="str">
        <f t="shared" si="13"/>
        <v>to</v>
      </c>
      <c r="AF27" s="59" t="s">
        <v>79</v>
      </c>
      <c r="AG27" s="60" t="str">
        <f t="shared" si="14"/>
        <v/>
      </c>
      <c r="AH27" s="163"/>
      <c r="AI27" s="164"/>
      <c r="AJ27" s="165"/>
      <c r="AK27" s="57">
        <f t="shared" si="15"/>
        <v>23</v>
      </c>
      <c r="AL27" s="58" t="str">
        <f t="shared" si="16"/>
        <v>sø</v>
      </c>
      <c r="AM27" s="59" t="s">
        <v>76</v>
      </c>
      <c r="AN27" s="60" t="str">
        <f t="shared" si="17"/>
        <v/>
      </c>
      <c r="AO27" s="166"/>
      <c r="AP27" s="167"/>
      <c r="AQ27" s="168"/>
      <c r="AR27" s="57">
        <f t="shared" si="18"/>
        <v>23</v>
      </c>
      <c r="AS27" s="58" t="str">
        <f t="shared" si="19"/>
        <v>on</v>
      </c>
      <c r="AT27" s="59" t="s">
        <v>127</v>
      </c>
      <c r="AU27" s="60" t="str">
        <f t="shared" si="20"/>
        <v/>
      </c>
      <c r="AV27" s="163"/>
      <c r="AW27" s="164"/>
      <c r="AX27" s="165"/>
      <c r="AY27" s="57">
        <f t="shared" si="21"/>
        <v>23</v>
      </c>
      <c r="AZ27" s="58" t="str">
        <f t="shared" si="22"/>
        <v>to</v>
      </c>
      <c r="BA27" s="59" t="s">
        <v>127</v>
      </c>
      <c r="BB27" s="60" t="str">
        <f t="shared" si="23"/>
        <v/>
      </c>
      <c r="BC27" s="163"/>
      <c r="BD27" s="164"/>
      <c r="BE27" s="165"/>
      <c r="BF27" s="57">
        <f t="shared" si="24"/>
        <v>23</v>
      </c>
      <c r="BG27" s="58" t="str">
        <f t="shared" si="25"/>
        <v>sø</v>
      </c>
      <c r="BH27" s="59" t="s">
        <v>76</v>
      </c>
      <c r="BI27" s="60" t="str">
        <f t="shared" si="26"/>
        <v/>
      </c>
      <c r="BJ27" s="163"/>
      <c r="BK27" s="164"/>
      <c r="BL27" s="165"/>
      <c r="BM27" s="57">
        <f t="shared" si="27"/>
        <v>23</v>
      </c>
      <c r="BN27" s="58" t="str">
        <f t="shared" si="28"/>
        <v>ti</v>
      </c>
      <c r="BO27" s="59" t="s">
        <v>127</v>
      </c>
      <c r="BP27" s="60" t="str">
        <f t="shared" si="29"/>
        <v/>
      </c>
      <c r="BQ27" s="163"/>
      <c r="BR27" s="164"/>
      <c r="BS27" s="165"/>
      <c r="BT27" s="57">
        <f t="shared" si="30"/>
        <v>23</v>
      </c>
      <c r="BU27" s="58" t="str">
        <f t="shared" si="31"/>
        <v>fr</v>
      </c>
      <c r="BV27" s="59" t="s">
        <v>127</v>
      </c>
      <c r="BW27" s="60" t="str">
        <f t="shared" si="32"/>
        <v/>
      </c>
      <c r="BX27" s="163"/>
      <c r="BY27" s="164"/>
      <c r="BZ27" s="165"/>
      <c r="CA27" s="57">
        <f t="shared" si="33"/>
        <v>23</v>
      </c>
      <c r="CB27" s="58" t="str">
        <f t="shared" si="34"/>
        <v>sø</v>
      </c>
      <c r="CC27" s="59" t="s">
        <v>76</v>
      </c>
      <c r="CD27" s="60" t="str">
        <f t="shared" si="35"/>
        <v/>
      </c>
      <c r="CE27" s="169"/>
      <c r="CF27" s="170"/>
      <c r="CG27" s="171"/>
      <c r="CH27" s="79"/>
      <c r="CI27" s="70" t="s">
        <v>64</v>
      </c>
      <c r="CJ27" s="71">
        <f>CD42+BW42+BP42+BI42+BB42+AU42+AN42+AG42+Z42+S42+L42+E42</f>
        <v>0</v>
      </c>
      <c r="CK27" s="39"/>
      <c r="CL27" s="39"/>
    </row>
    <row r="28" spans="1:90" ht="18" customHeight="1">
      <c r="A28" s="183"/>
      <c r="B28" s="57">
        <f t="shared" si="0"/>
        <v>24</v>
      </c>
      <c r="C28" s="58" t="str">
        <f t="shared" si="1"/>
        <v>ti</v>
      </c>
      <c r="D28" s="59" t="s">
        <v>127</v>
      </c>
      <c r="E28" s="60" t="str">
        <f t="shared" si="2"/>
        <v/>
      </c>
      <c r="F28" s="163"/>
      <c r="G28" s="164"/>
      <c r="H28" s="165"/>
      <c r="I28" s="57">
        <f t="shared" si="3"/>
        <v>24</v>
      </c>
      <c r="J28" s="58" t="str">
        <f t="shared" si="4"/>
        <v>fr</v>
      </c>
      <c r="K28" s="59" t="s">
        <v>127</v>
      </c>
      <c r="L28" s="60" t="str">
        <f t="shared" si="5"/>
        <v/>
      </c>
      <c r="M28" s="163"/>
      <c r="N28" s="164"/>
      <c r="O28" s="165"/>
      <c r="P28" s="57">
        <f t="shared" si="6"/>
        <v>24</v>
      </c>
      <c r="Q28" s="58" t="str">
        <f t="shared" si="7"/>
        <v>sø</v>
      </c>
      <c r="R28" s="59" t="s">
        <v>76</v>
      </c>
      <c r="S28" s="60" t="str">
        <f t="shared" si="8"/>
        <v/>
      </c>
      <c r="T28" s="163"/>
      <c r="U28" s="164"/>
      <c r="V28" s="165"/>
      <c r="W28" s="57">
        <f t="shared" si="9"/>
        <v>24</v>
      </c>
      <c r="X28" s="58" t="str">
        <f t="shared" si="10"/>
        <v>on</v>
      </c>
      <c r="Y28" s="59" t="s">
        <v>127</v>
      </c>
      <c r="Z28" s="60" t="str">
        <f t="shared" si="11"/>
        <v/>
      </c>
      <c r="AA28" s="163"/>
      <c r="AB28" s="164"/>
      <c r="AC28" s="165"/>
      <c r="AD28" s="57">
        <f t="shared" si="12"/>
        <v>24</v>
      </c>
      <c r="AE28" s="58" t="str">
        <f t="shared" si="13"/>
        <v>fr</v>
      </c>
      <c r="AF28" s="59" t="s">
        <v>79</v>
      </c>
      <c r="AG28" s="60" t="str">
        <f t="shared" si="14"/>
        <v/>
      </c>
      <c r="AH28" s="163" t="s">
        <v>81</v>
      </c>
      <c r="AI28" s="164"/>
      <c r="AJ28" s="165"/>
      <c r="AK28" s="57">
        <f t="shared" si="15"/>
        <v>24</v>
      </c>
      <c r="AL28" s="58" t="str">
        <f t="shared" si="16"/>
        <v>ma</v>
      </c>
      <c r="AM28" s="59" t="s">
        <v>127</v>
      </c>
      <c r="AN28" s="60">
        <f t="shared" si="17"/>
        <v>4.2857142857142856</v>
      </c>
      <c r="AO28" s="166"/>
      <c r="AP28" s="167"/>
      <c r="AQ28" s="168"/>
      <c r="AR28" s="57">
        <f t="shared" si="18"/>
        <v>24</v>
      </c>
      <c r="AS28" s="58" t="str">
        <f t="shared" si="19"/>
        <v>to</v>
      </c>
      <c r="AT28" s="59" t="s">
        <v>127</v>
      </c>
      <c r="AU28" s="60" t="str">
        <f t="shared" si="20"/>
        <v/>
      </c>
      <c r="AV28" s="163"/>
      <c r="AW28" s="164"/>
      <c r="AX28" s="165"/>
      <c r="AY28" s="57">
        <f t="shared" si="21"/>
        <v>24</v>
      </c>
      <c r="AZ28" s="58" t="str">
        <f t="shared" si="22"/>
        <v>fr</v>
      </c>
      <c r="BA28" s="59" t="s">
        <v>127</v>
      </c>
      <c r="BB28" s="60" t="str">
        <f t="shared" si="23"/>
        <v/>
      </c>
      <c r="BC28" s="163"/>
      <c r="BD28" s="164"/>
      <c r="BE28" s="165"/>
      <c r="BF28" s="57">
        <f t="shared" si="24"/>
        <v>24</v>
      </c>
      <c r="BG28" s="58" t="str">
        <f t="shared" si="25"/>
        <v>ma</v>
      </c>
      <c r="BH28" s="59" t="s">
        <v>127</v>
      </c>
      <c r="BI28" s="60">
        <f t="shared" si="26"/>
        <v>17.285714285714285</v>
      </c>
      <c r="BJ28" s="163"/>
      <c r="BK28" s="164"/>
      <c r="BL28" s="165"/>
      <c r="BM28" s="57">
        <f t="shared" si="27"/>
        <v>24</v>
      </c>
      <c r="BN28" s="58" t="str">
        <f t="shared" si="28"/>
        <v>on</v>
      </c>
      <c r="BO28" s="59" t="s">
        <v>127</v>
      </c>
      <c r="BP28" s="60" t="str">
        <f t="shared" si="29"/>
        <v/>
      </c>
      <c r="BQ28" s="163"/>
      <c r="BR28" s="164"/>
      <c r="BS28" s="165"/>
      <c r="BT28" s="57">
        <f t="shared" si="30"/>
        <v>24</v>
      </c>
      <c r="BU28" s="58" t="str">
        <f t="shared" si="31"/>
        <v>lø</v>
      </c>
      <c r="BV28" s="59" t="s">
        <v>76</v>
      </c>
      <c r="BW28" s="60" t="str">
        <f t="shared" si="32"/>
        <v/>
      </c>
      <c r="BX28" s="163"/>
      <c r="BY28" s="164"/>
      <c r="BZ28" s="165"/>
      <c r="CA28" s="57">
        <f t="shared" si="33"/>
        <v>24</v>
      </c>
      <c r="CB28" s="58" t="str">
        <f t="shared" si="34"/>
        <v>ma</v>
      </c>
      <c r="CC28" s="59" t="s">
        <v>131</v>
      </c>
      <c r="CD28" s="60">
        <f t="shared" si="35"/>
        <v>30.285714285714285</v>
      </c>
      <c r="CE28" s="169" t="s">
        <v>69</v>
      </c>
      <c r="CF28" s="170"/>
      <c r="CG28" s="171"/>
      <c r="CH28" s="79"/>
      <c r="CI28" s="101" t="s">
        <v>63</v>
      </c>
      <c r="CJ28" s="102">
        <f>CD43+BW43+BP43+BI43+BB43+AU43+AN43+AG43+Z43+S43+L43+E43</f>
        <v>0</v>
      </c>
      <c r="CK28" s="39"/>
      <c r="CL28" s="39"/>
    </row>
    <row r="29" spans="1:90" ht="18" customHeight="1">
      <c r="A29" s="183"/>
      <c r="B29" s="57">
        <f t="shared" si="0"/>
        <v>25</v>
      </c>
      <c r="C29" s="58" t="str">
        <f t="shared" si="1"/>
        <v>on</v>
      </c>
      <c r="D29" s="59" t="s">
        <v>127</v>
      </c>
      <c r="E29" s="60" t="str">
        <f t="shared" si="2"/>
        <v/>
      </c>
      <c r="F29" s="163"/>
      <c r="G29" s="164"/>
      <c r="H29" s="165"/>
      <c r="I29" s="57">
        <f t="shared" si="3"/>
        <v>25</v>
      </c>
      <c r="J29" s="58" t="str">
        <f t="shared" si="4"/>
        <v>lø</v>
      </c>
      <c r="K29" s="59" t="s">
        <v>76</v>
      </c>
      <c r="L29" s="60" t="str">
        <f t="shared" si="5"/>
        <v/>
      </c>
      <c r="M29" s="163"/>
      <c r="N29" s="164"/>
      <c r="O29" s="165"/>
      <c r="P29" s="57">
        <f t="shared" si="6"/>
        <v>25</v>
      </c>
      <c r="Q29" s="58" t="str">
        <f t="shared" si="7"/>
        <v>ma</v>
      </c>
      <c r="R29" s="59" t="s">
        <v>127</v>
      </c>
      <c r="S29" s="60">
        <f t="shared" si="8"/>
        <v>43.428571428571431</v>
      </c>
      <c r="T29" s="163"/>
      <c r="U29" s="164"/>
      <c r="V29" s="165"/>
      <c r="W29" s="57">
        <f t="shared" si="9"/>
        <v>25</v>
      </c>
      <c r="X29" s="58" t="str">
        <f t="shared" si="10"/>
        <v>to</v>
      </c>
      <c r="Y29" s="59" t="s">
        <v>127</v>
      </c>
      <c r="Z29" s="60" t="str">
        <f t="shared" si="11"/>
        <v/>
      </c>
      <c r="AA29" s="163"/>
      <c r="AB29" s="164"/>
      <c r="AC29" s="165"/>
      <c r="AD29" s="57">
        <f t="shared" si="12"/>
        <v>25</v>
      </c>
      <c r="AE29" s="58" t="str">
        <f t="shared" si="13"/>
        <v>lø</v>
      </c>
      <c r="AF29" s="59" t="s">
        <v>76</v>
      </c>
      <c r="AG29" s="60" t="str">
        <f t="shared" si="14"/>
        <v/>
      </c>
      <c r="AH29" s="163" t="s">
        <v>86</v>
      </c>
      <c r="AI29" s="164"/>
      <c r="AJ29" s="165"/>
      <c r="AK29" s="57">
        <f t="shared" si="15"/>
        <v>25</v>
      </c>
      <c r="AL29" s="58" t="str">
        <f t="shared" si="16"/>
        <v>ti</v>
      </c>
      <c r="AM29" s="59" t="s">
        <v>127</v>
      </c>
      <c r="AN29" s="60" t="str">
        <f t="shared" si="17"/>
        <v/>
      </c>
      <c r="AO29" s="166"/>
      <c r="AP29" s="167"/>
      <c r="AQ29" s="168"/>
      <c r="AR29" s="57">
        <f t="shared" si="18"/>
        <v>25</v>
      </c>
      <c r="AS29" s="58" t="str">
        <f t="shared" si="19"/>
        <v>fr</v>
      </c>
      <c r="AT29" s="59" t="s">
        <v>127</v>
      </c>
      <c r="AU29" s="60" t="str">
        <f t="shared" si="20"/>
        <v/>
      </c>
      <c r="AV29" s="163"/>
      <c r="AW29" s="164"/>
      <c r="AX29" s="165"/>
      <c r="AY29" s="57">
        <f t="shared" si="21"/>
        <v>25</v>
      </c>
      <c r="AZ29" s="58" t="str">
        <f t="shared" si="22"/>
        <v>lø</v>
      </c>
      <c r="BA29" s="59" t="s">
        <v>76</v>
      </c>
      <c r="BB29" s="60" t="str">
        <f t="shared" si="23"/>
        <v/>
      </c>
      <c r="BC29" s="163"/>
      <c r="BD29" s="164"/>
      <c r="BE29" s="165"/>
      <c r="BF29" s="57">
        <f t="shared" si="24"/>
        <v>25</v>
      </c>
      <c r="BG29" s="58" t="str">
        <f t="shared" si="25"/>
        <v>ti</v>
      </c>
      <c r="BH29" s="59" t="s">
        <v>127</v>
      </c>
      <c r="BI29" s="60" t="str">
        <f t="shared" si="26"/>
        <v/>
      </c>
      <c r="BJ29" s="163"/>
      <c r="BK29" s="164"/>
      <c r="BL29" s="165"/>
      <c r="BM29" s="57">
        <f t="shared" si="27"/>
        <v>25</v>
      </c>
      <c r="BN29" s="58" t="str">
        <f t="shared" si="28"/>
        <v>to</v>
      </c>
      <c r="BO29" s="59" t="s">
        <v>75</v>
      </c>
      <c r="BP29" s="60" t="str">
        <f t="shared" si="29"/>
        <v/>
      </c>
      <c r="BQ29" s="163" t="s">
        <v>103</v>
      </c>
      <c r="BR29" s="164"/>
      <c r="BS29" s="165"/>
      <c r="BT29" s="57">
        <f t="shared" si="30"/>
        <v>25</v>
      </c>
      <c r="BU29" s="58" t="str">
        <f t="shared" si="31"/>
        <v>sø</v>
      </c>
      <c r="BV29" s="59" t="s">
        <v>76</v>
      </c>
      <c r="BW29" s="60" t="str">
        <f t="shared" si="32"/>
        <v/>
      </c>
      <c r="BX29" s="163"/>
      <c r="BY29" s="164"/>
      <c r="BZ29" s="165"/>
      <c r="CA29" s="57">
        <f t="shared" si="33"/>
        <v>25</v>
      </c>
      <c r="CB29" s="58" t="str">
        <f t="shared" si="34"/>
        <v>ti</v>
      </c>
      <c r="CC29" s="59" t="s">
        <v>131</v>
      </c>
      <c r="CD29" s="60" t="str">
        <f t="shared" si="35"/>
        <v/>
      </c>
      <c r="CE29" s="169" t="s">
        <v>69</v>
      </c>
      <c r="CF29" s="170"/>
      <c r="CG29" s="171"/>
      <c r="CH29" s="79"/>
      <c r="CI29" s="72" t="s">
        <v>136</v>
      </c>
      <c r="CJ29" s="73">
        <f>CD44+BW44+BP44+BI44+BB44+AU44+AN44+AG44+Z44+S44+L44+E44</f>
        <v>105</v>
      </c>
      <c r="CK29" s="39"/>
      <c r="CL29" s="39"/>
    </row>
    <row r="30" spans="1:90" ht="18" customHeight="1">
      <c r="A30" s="86"/>
      <c r="B30" s="57">
        <f t="shared" si="0"/>
        <v>26</v>
      </c>
      <c r="C30" s="58" t="str">
        <f t="shared" si="1"/>
        <v>to</v>
      </c>
      <c r="D30" s="59" t="s">
        <v>127</v>
      </c>
      <c r="E30" s="60" t="str">
        <f t="shared" si="2"/>
        <v/>
      </c>
      <c r="F30" s="163"/>
      <c r="G30" s="164"/>
      <c r="H30" s="165"/>
      <c r="I30" s="57">
        <f t="shared" si="3"/>
        <v>26</v>
      </c>
      <c r="J30" s="58" t="str">
        <f t="shared" si="4"/>
        <v>sø</v>
      </c>
      <c r="K30" s="59" t="s">
        <v>76</v>
      </c>
      <c r="L30" s="60" t="str">
        <f t="shared" si="5"/>
        <v/>
      </c>
      <c r="M30" s="163"/>
      <c r="N30" s="164"/>
      <c r="O30" s="165"/>
      <c r="P30" s="57">
        <f t="shared" si="6"/>
        <v>26</v>
      </c>
      <c r="Q30" s="58" t="str">
        <f t="shared" si="7"/>
        <v>ti</v>
      </c>
      <c r="R30" s="59" t="s">
        <v>127</v>
      </c>
      <c r="S30" s="60" t="str">
        <f t="shared" si="8"/>
        <v/>
      </c>
      <c r="T30" s="163"/>
      <c r="U30" s="164"/>
      <c r="V30" s="165"/>
      <c r="W30" s="57">
        <f t="shared" si="9"/>
        <v>26</v>
      </c>
      <c r="X30" s="58" t="str">
        <f t="shared" si="10"/>
        <v>fr</v>
      </c>
      <c r="Y30" s="59" t="s">
        <v>127</v>
      </c>
      <c r="Z30" s="60" t="str">
        <f t="shared" si="11"/>
        <v/>
      </c>
      <c r="AA30" s="163"/>
      <c r="AB30" s="164"/>
      <c r="AC30" s="165"/>
      <c r="AD30" s="57">
        <f t="shared" si="12"/>
        <v>26</v>
      </c>
      <c r="AE30" s="58" t="str">
        <f t="shared" si="13"/>
        <v>sø</v>
      </c>
      <c r="AF30" s="59" t="s">
        <v>76</v>
      </c>
      <c r="AG30" s="60" t="str">
        <f t="shared" si="14"/>
        <v/>
      </c>
      <c r="AH30" s="163" t="s">
        <v>52</v>
      </c>
      <c r="AI30" s="164"/>
      <c r="AJ30" s="165"/>
      <c r="AK30" s="57">
        <f t="shared" si="15"/>
        <v>26</v>
      </c>
      <c r="AL30" s="58" t="str">
        <f t="shared" si="16"/>
        <v>on</v>
      </c>
      <c r="AM30" s="59" t="s">
        <v>127</v>
      </c>
      <c r="AN30" s="60" t="str">
        <f t="shared" si="17"/>
        <v/>
      </c>
      <c r="AO30" s="166"/>
      <c r="AP30" s="167"/>
      <c r="AQ30" s="168"/>
      <c r="AR30" s="57">
        <f t="shared" si="18"/>
        <v>26</v>
      </c>
      <c r="AS30" s="58" t="str">
        <f t="shared" si="19"/>
        <v>lø</v>
      </c>
      <c r="AT30" s="59" t="s">
        <v>76</v>
      </c>
      <c r="AU30" s="60" t="str">
        <f t="shared" si="20"/>
        <v/>
      </c>
      <c r="AV30" s="163"/>
      <c r="AW30" s="164"/>
      <c r="AX30" s="165"/>
      <c r="AY30" s="57">
        <f t="shared" si="21"/>
        <v>26</v>
      </c>
      <c r="AZ30" s="58" t="str">
        <f t="shared" si="22"/>
        <v>sø</v>
      </c>
      <c r="BA30" s="59" t="s">
        <v>76</v>
      </c>
      <c r="BB30" s="60" t="str">
        <f t="shared" si="23"/>
        <v/>
      </c>
      <c r="BC30" s="163"/>
      <c r="BD30" s="164"/>
      <c r="BE30" s="165"/>
      <c r="BF30" s="57">
        <f t="shared" si="24"/>
        <v>26</v>
      </c>
      <c r="BG30" s="58" t="str">
        <f t="shared" si="25"/>
        <v>on</v>
      </c>
      <c r="BH30" s="59" t="s">
        <v>127</v>
      </c>
      <c r="BI30" s="60" t="str">
        <f t="shared" si="26"/>
        <v/>
      </c>
      <c r="BJ30" s="163"/>
      <c r="BK30" s="164"/>
      <c r="BL30" s="165"/>
      <c r="BM30" s="57">
        <f t="shared" si="27"/>
        <v>26</v>
      </c>
      <c r="BN30" s="58" t="str">
        <f t="shared" si="28"/>
        <v>fr</v>
      </c>
      <c r="BO30" s="59" t="s">
        <v>79</v>
      </c>
      <c r="BP30" s="60" t="str">
        <f t="shared" si="29"/>
        <v/>
      </c>
      <c r="BQ30" s="163"/>
      <c r="BR30" s="164"/>
      <c r="BS30" s="165"/>
      <c r="BT30" s="57">
        <f t="shared" si="30"/>
        <v>26</v>
      </c>
      <c r="BU30" s="58" t="str">
        <f t="shared" si="31"/>
        <v>ma</v>
      </c>
      <c r="BV30" s="59" t="s">
        <v>79</v>
      </c>
      <c r="BW30" s="60">
        <f t="shared" si="32"/>
        <v>26.285714285714285</v>
      </c>
      <c r="BX30" s="163"/>
      <c r="BY30" s="164"/>
      <c r="BZ30" s="165"/>
      <c r="CA30" s="57">
        <f t="shared" si="33"/>
        <v>26</v>
      </c>
      <c r="CB30" s="58" t="str">
        <f t="shared" si="34"/>
        <v>on</v>
      </c>
      <c r="CC30" s="59" t="s">
        <v>131</v>
      </c>
      <c r="CD30" s="60" t="str">
        <f t="shared" si="35"/>
        <v/>
      </c>
      <c r="CE30" s="169" t="s">
        <v>69</v>
      </c>
      <c r="CF30" s="170"/>
      <c r="CG30" s="171"/>
      <c r="CH30" s="79"/>
      <c r="CI30" s="72"/>
      <c r="CJ30" s="73"/>
      <c r="CK30" s="39"/>
      <c r="CL30" s="39"/>
    </row>
    <row r="31" spans="1:90" ht="18" customHeight="1">
      <c r="A31" s="86"/>
      <c r="B31" s="57">
        <f t="shared" si="0"/>
        <v>27</v>
      </c>
      <c r="C31" s="58" t="str">
        <f t="shared" si="1"/>
        <v>fr</v>
      </c>
      <c r="D31" s="59" t="s">
        <v>127</v>
      </c>
      <c r="E31" s="60" t="str">
        <f t="shared" si="2"/>
        <v/>
      </c>
      <c r="F31" s="163"/>
      <c r="G31" s="164"/>
      <c r="H31" s="165"/>
      <c r="I31" s="57">
        <f t="shared" si="3"/>
        <v>27</v>
      </c>
      <c r="J31" s="58" t="str">
        <f t="shared" si="4"/>
        <v>ma</v>
      </c>
      <c r="K31" s="59" t="s">
        <v>127</v>
      </c>
      <c r="L31" s="60">
        <f t="shared" si="5"/>
        <v>39.428571428571431</v>
      </c>
      <c r="M31" s="163"/>
      <c r="N31" s="164"/>
      <c r="O31" s="165"/>
      <c r="P31" s="57">
        <f t="shared" si="6"/>
        <v>27</v>
      </c>
      <c r="Q31" s="58" t="str">
        <f t="shared" si="7"/>
        <v>on</v>
      </c>
      <c r="R31" s="59" t="s">
        <v>127</v>
      </c>
      <c r="S31" s="60" t="str">
        <f t="shared" si="8"/>
        <v/>
      </c>
      <c r="T31" s="163"/>
      <c r="U31" s="164"/>
      <c r="V31" s="165"/>
      <c r="W31" s="57">
        <f t="shared" si="9"/>
        <v>27</v>
      </c>
      <c r="X31" s="58" t="str">
        <f t="shared" si="10"/>
        <v>lø</v>
      </c>
      <c r="Y31" s="59" t="s">
        <v>76</v>
      </c>
      <c r="Z31" s="60" t="str">
        <f t="shared" si="11"/>
        <v/>
      </c>
      <c r="AA31" s="163"/>
      <c r="AB31" s="164"/>
      <c r="AC31" s="165"/>
      <c r="AD31" s="57">
        <f t="shared" si="12"/>
        <v>27</v>
      </c>
      <c r="AE31" s="58" t="str">
        <f t="shared" si="13"/>
        <v>ma</v>
      </c>
      <c r="AF31" s="59" t="s">
        <v>79</v>
      </c>
      <c r="AG31" s="60">
        <f t="shared" si="14"/>
        <v>52.428571428571431</v>
      </c>
      <c r="AH31" s="163"/>
      <c r="AI31" s="164"/>
      <c r="AJ31" s="165"/>
      <c r="AK31" s="57">
        <f t="shared" si="15"/>
        <v>27</v>
      </c>
      <c r="AL31" s="58" t="str">
        <f t="shared" si="16"/>
        <v>to</v>
      </c>
      <c r="AM31" s="59" t="s">
        <v>127</v>
      </c>
      <c r="AN31" s="60" t="str">
        <f t="shared" si="17"/>
        <v/>
      </c>
      <c r="AO31" s="166"/>
      <c r="AP31" s="167"/>
      <c r="AQ31" s="168"/>
      <c r="AR31" s="57">
        <f t="shared" si="18"/>
        <v>27</v>
      </c>
      <c r="AS31" s="58" t="str">
        <f t="shared" si="19"/>
        <v>sø</v>
      </c>
      <c r="AT31" s="59" t="s">
        <v>76</v>
      </c>
      <c r="AU31" s="60" t="str">
        <f t="shared" si="20"/>
        <v/>
      </c>
      <c r="AV31" s="163"/>
      <c r="AW31" s="164"/>
      <c r="AX31" s="165"/>
      <c r="AY31" s="57">
        <f t="shared" si="21"/>
        <v>27</v>
      </c>
      <c r="AZ31" s="58" t="str">
        <f t="shared" si="22"/>
        <v>ma</v>
      </c>
      <c r="BA31" s="59" t="s">
        <v>127</v>
      </c>
      <c r="BB31" s="60">
        <f t="shared" si="23"/>
        <v>13.285714285714286</v>
      </c>
      <c r="BC31" s="163"/>
      <c r="BD31" s="164"/>
      <c r="BE31" s="165"/>
      <c r="BF31" s="57">
        <f t="shared" si="24"/>
        <v>27</v>
      </c>
      <c r="BG31" s="58" t="str">
        <f t="shared" si="25"/>
        <v>to</v>
      </c>
      <c r="BH31" s="59" t="s">
        <v>127</v>
      </c>
      <c r="BI31" s="60" t="str">
        <f t="shared" si="26"/>
        <v/>
      </c>
      <c r="BJ31" s="163"/>
      <c r="BK31" s="164"/>
      <c r="BL31" s="165"/>
      <c r="BM31" s="57">
        <f t="shared" si="27"/>
        <v>27</v>
      </c>
      <c r="BN31" s="58" t="str">
        <f t="shared" si="28"/>
        <v>lø</v>
      </c>
      <c r="BO31" s="59" t="s">
        <v>76</v>
      </c>
      <c r="BP31" s="60" t="str">
        <f t="shared" si="29"/>
        <v/>
      </c>
      <c r="BQ31" s="163"/>
      <c r="BR31" s="164"/>
      <c r="BS31" s="165"/>
      <c r="BT31" s="57">
        <f t="shared" si="30"/>
        <v>27</v>
      </c>
      <c r="BU31" s="58" t="str">
        <f t="shared" si="31"/>
        <v>ti</v>
      </c>
      <c r="BV31" s="59" t="s">
        <v>79</v>
      </c>
      <c r="BW31" s="60" t="str">
        <f t="shared" si="32"/>
        <v/>
      </c>
      <c r="BX31" s="163"/>
      <c r="BY31" s="164"/>
      <c r="BZ31" s="165"/>
      <c r="CA31" s="57">
        <f t="shared" si="33"/>
        <v>27</v>
      </c>
      <c r="CB31" s="58" t="str">
        <f t="shared" si="34"/>
        <v>to</v>
      </c>
      <c r="CC31" s="59" t="s">
        <v>131</v>
      </c>
      <c r="CD31" s="60" t="str">
        <f t="shared" si="35"/>
        <v/>
      </c>
      <c r="CE31" s="169" t="s">
        <v>69</v>
      </c>
      <c r="CF31" s="170"/>
      <c r="CG31" s="171"/>
      <c r="CH31" s="79"/>
      <c r="CI31" s="74" t="s">
        <v>78</v>
      </c>
      <c r="CJ31" s="75">
        <f>CD45+BW45+BP45+BI45+BB45+AU45+AN45+AG45+Z45+S45+L45+E45</f>
        <v>5</v>
      </c>
      <c r="CK31" s="39"/>
      <c r="CL31" s="39"/>
    </row>
    <row r="32" spans="1:90" ht="18" customHeight="1">
      <c r="A32" s="86"/>
      <c r="B32" s="57">
        <f t="shared" si="0"/>
        <v>28</v>
      </c>
      <c r="C32" s="58" t="str">
        <f t="shared" si="1"/>
        <v>lø</v>
      </c>
      <c r="D32" s="59" t="s">
        <v>76</v>
      </c>
      <c r="E32" s="60" t="str">
        <f t="shared" si="2"/>
        <v/>
      </c>
      <c r="F32" s="163"/>
      <c r="G32" s="164"/>
      <c r="H32" s="165"/>
      <c r="I32" s="57">
        <f t="shared" si="3"/>
        <v>28</v>
      </c>
      <c r="J32" s="58" t="str">
        <f t="shared" si="4"/>
        <v>ti</v>
      </c>
      <c r="K32" s="59" t="s">
        <v>127</v>
      </c>
      <c r="L32" s="60" t="str">
        <f t="shared" si="5"/>
        <v/>
      </c>
      <c r="M32" s="163"/>
      <c r="N32" s="164"/>
      <c r="O32" s="165"/>
      <c r="P32" s="57">
        <f t="shared" si="6"/>
        <v>28</v>
      </c>
      <c r="Q32" s="58" t="str">
        <f t="shared" si="7"/>
        <v>to</v>
      </c>
      <c r="R32" s="59" t="s">
        <v>127</v>
      </c>
      <c r="S32" s="60" t="str">
        <f t="shared" si="8"/>
        <v/>
      </c>
      <c r="T32" s="163"/>
      <c r="U32" s="164"/>
      <c r="V32" s="165"/>
      <c r="W32" s="57">
        <f t="shared" si="9"/>
        <v>28</v>
      </c>
      <c r="X32" s="58" t="str">
        <f t="shared" si="10"/>
        <v>sø</v>
      </c>
      <c r="Y32" s="59" t="s">
        <v>76</v>
      </c>
      <c r="Z32" s="60" t="str">
        <f t="shared" si="11"/>
        <v/>
      </c>
      <c r="AA32" s="163"/>
      <c r="AB32" s="164"/>
      <c r="AC32" s="165"/>
      <c r="AD32" s="57">
        <f t="shared" si="12"/>
        <v>28</v>
      </c>
      <c r="AE32" s="58" t="str">
        <f t="shared" si="13"/>
        <v>ti</v>
      </c>
      <c r="AF32" s="59" t="s">
        <v>79</v>
      </c>
      <c r="AG32" s="60" t="str">
        <f t="shared" si="14"/>
        <v/>
      </c>
      <c r="AH32" s="163"/>
      <c r="AI32" s="164"/>
      <c r="AJ32" s="165"/>
      <c r="AK32" s="57">
        <f t="shared" si="15"/>
        <v>28</v>
      </c>
      <c r="AL32" s="58" t="str">
        <f t="shared" si="16"/>
        <v>fr</v>
      </c>
      <c r="AM32" s="59" t="s">
        <v>127</v>
      </c>
      <c r="AN32" s="60" t="str">
        <f t="shared" si="17"/>
        <v/>
      </c>
      <c r="AO32" s="166"/>
      <c r="AP32" s="167"/>
      <c r="AQ32" s="168"/>
      <c r="AR32" s="57">
        <f t="shared" si="18"/>
        <v>28</v>
      </c>
      <c r="AS32" s="58" t="str">
        <f t="shared" si="19"/>
        <v>ma</v>
      </c>
      <c r="AT32" s="59" t="s">
        <v>127</v>
      </c>
      <c r="AU32" s="60">
        <f t="shared" si="20"/>
        <v>9.2857142857142865</v>
      </c>
      <c r="AV32" s="166"/>
      <c r="AW32" s="167"/>
      <c r="AX32" s="168"/>
      <c r="AY32" s="57">
        <f t="shared" si="21"/>
        <v>28</v>
      </c>
      <c r="AZ32" s="58" t="str">
        <f t="shared" si="22"/>
        <v>ti</v>
      </c>
      <c r="BA32" s="59" t="s">
        <v>127</v>
      </c>
      <c r="BB32" s="60" t="str">
        <f t="shared" si="23"/>
        <v/>
      </c>
      <c r="BC32" s="163"/>
      <c r="BD32" s="164"/>
      <c r="BE32" s="165"/>
      <c r="BF32" s="57">
        <f t="shared" si="24"/>
        <v>28</v>
      </c>
      <c r="BG32" s="58" t="str">
        <f t="shared" si="25"/>
        <v>fr</v>
      </c>
      <c r="BH32" s="59" t="s">
        <v>127</v>
      </c>
      <c r="BI32" s="60" t="str">
        <f t="shared" si="26"/>
        <v/>
      </c>
      <c r="BJ32" s="163"/>
      <c r="BK32" s="164"/>
      <c r="BL32" s="165"/>
      <c r="BM32" s="57">
        <f t="shared" si="27"/>
        <v>28</v>
      </c>
      <c r="BN32" s="58" t="str">
        <f t="shared" si="28"/>
        <v>sø</v>
      </c>
      <c r="BO32" s="59" t="s">
        <v>76</v>
      </c>
      <c r="BP32" s="60" t="str">
        <f t="shared" si="29"/>
        <v/>
      </c>
      <c r="BQ32" s="163"/>
      <c r="BR32" s="164"/>
      <c r="BS32" s="165"/>
      <c r="BT32" s="57">
        <f t="shared" si="30"/>
        <v>28</v>
      </c>
      <c r="BU32" s="58" t="str">
        <f t="shared" si="31"/>
        <v>on</v>
      </c>
      <c r="BV32" s="59" t="s">
        <v>79</v>
      </c>
      <c r="BW32" s="60" t="str">
        <f t="shared" si="32"/>
        <v/>
      </c>
      <c r="BX32" s="163"/>
      <c r="BY32" s="164"/>
      <c r="BZ32" s="165"/>
      <c r="CA32" s="57">
        <f t="shared" si="33"/>
        <v>28</v>
      </c>
      <c r="CB32" s="58" t="str">
        <f t="shared" si="34"/>
        <v>fr</v>
      </c>
      <c r="CC32" s="59" t="s">
        <v>131</v>
      </c>
      <c r="CD32" s="60" t="str">
        <f t="shared" si="35"/>
        <v/>
      </c>
      <c r="CE32" s="169" t="s">
        <v>69</v>
      </c>
      <c r="CF32" s="170"/>
      <c r="CG32" s="171"/>
      <c r="CH32" s="79"/>
      <c r="CI32" s="76" t="s">
        <v>62</v>
      </c>
      <c r="CJ32" s="77">
        <f>CD46+BW46+BP46+BI46+BB46+AU46+AN46+AG46+Z46+S46+L46+E46</f>
        <v>25</v>
      </c>
      <c r="CK32" s="39"/>
      <c r="CL32" s="39"/>
    </row>
    <row r="33" spans="1:90" ht="18" customHeight="1">
      <c r="A33" s="129"/>
      <c r="B33" s="57">
        <f>IF(ISNUMBER(B32),B32+1,1)</f>
        <v>29</v>
      </c>
      <c r="C33" s="58" t="str">
        <f t="shared" si="1"/>
        <v>sø</v>
      </c>
      <c r="D33" s="59" t="s">
        <v>76</v>
      </c>
      <c r="E33" s="60" t="str">
        <f t="shared" si="2"/>
        <v/>
      </c>
      <c r="F33" s="163"/>
      <c r="G33" s="164"/>
      <c r="H33" s="165"/>
      <c r="I33" s="57">
        <f>IF(ISNUMBER(I32),I32+1,1)</f>
        <v>29</v>
      </c>
      <c r="J33" s="58" t="str">
        <f t="shared" si="4"/>
        <v>on</v>
      </c>
      <c r="K33" s="59" t="s">
        <v>127</v>
      </c>
      <c r="L33" s="60" t="str">
        <f t="shared" si="5"/>
        <v/>
      </c>
      <c r="M33" s="163"/>
      <c r="N33" s="164"/>
      <c r="O33" s="165"/>
      <c r="P33" s="57">
        <f>IF(ISNUMBER(P32),P32+1,1)</f>
        <v>29</v>
      </c>
      <c r="Q33" s="58" t="str">
        <f t="shared" si="7"/>
        <v>fr</v>
      </c>
      <c r="R33" s="59" t="s">
        <v>127</v>
      </c>
      <c r="S33" s="60" t="str">
        <f t="shared" si="8"/>
        <v/>
      </c>
      <c r="T33" s="163"/>
      <c r="U33" s="164"/>
      <c r="V33" s="165"/>
      <c r="W33" s="57">
        <f>IF(ISNUMBER(W32),W32+1,1)</f>
        <v>29</v>
      </c>
      <c r="X33" s="58" t="str">
        <f t="shared" si="10"/>
        <v>ma</v>
      </c>
      <c r="Y33" s="59" t="s">
        <v>127</v>
      </c>
      <c r="Z33" s="60">
        <f t="shared" si="11"/>
        <v>48.428571428571431</v>
      </c>
      <c r="AA33" s="163"/>
      <c r="AB33" s="164"/>
      <c r="AC33" s="165"/>
      <c r="AD33" s="57">
        <f>IF(ISNUMBER(AD32),AD32+1,1)</f>
        <v>29</v>
      </c>
      <c r="AE33" s="58" t="str">
        <f t="shared" si="13"/>
        <v>on</v>
      </c>
      <c r="AF33" s="59" t="s">
        <v>79</v>
      </c>
      <c r="AG33" s="60" t="str">
        <f t="shared" si="14"/>
        <v/>
      </c>
      <c r="AH33" s="163"/>
      <c r="AI33" s="164"/>
      <c r="AJ33" s="165"/>
      <c r="AK33" s="57">
        <f>IF(ISNUMBER(AK32),AK32+1,1)</f>
        <v>29</v>
      </c>
      <c r="AL33" s="58" t="str">
        <f t="shared" si="16"/>
        <v>lø</v>
      </c>
      <c r="AM33" s="59" t="s">
        <v>76</v>
      </c>
      <c r="AN33" s="60" t="str">
        <f t="shared" si="17"/>
        <v/>
      </c>
      <c r="AO33" s="166"/>
      <c r="AP33" s="167"/>
      <c r="AQ33" s="168"/>
      <c r="AR33" s="57">
        <f t="shared" si="18"/>
        <v>29</v>
      </c>
      <c r="AS33" s="58" t="str">
        <f t="shared" si="19"/>
        <v>ti</v>
      </c>
      <c r="AT33" s="59" t="s">
        <v>127</v>
      </c>
      <c r="AU33" s="60" t="str">
        <f t="shared" si="20"/>
        <v/>
      </c>
      <c r="AV33" s="166"/>
      <c r="AW33" s="167"/>
      <c r="AX33" s="168"/>
      <c r="AY33" s="57">
        <f>IF(ISNUMBER(AY32),AY32+1,1)</f>
        <v>29</v>
      </c>
      <c r="AZ33" s="58" t="str">
        <f t="shared" si="22"/>
        <v>on</v>
      </c>
      <c r="BA33" s="59" t="s">
        <v>127</v>
      </c>
      <c r="BB33" s="60" t="str">
        <f t="shared" si="23"/>
        <v/>
      </c>
      <c r="BC33" s="163"/>
      <c r="BD33" s="164"/>
      <c r="BE33" s="165"/>
      <c r="BF33" s="57">
        <f>IF(ISNUMBER(BF32),BF32+1,1)</f>
        <v>29</v>
      </c>
      <c r="BG33" s="58" t="str">
        <f t="shared" si="25"/>
        <v>lø</v>
      </c>
      <c r="BH33" s="59" t="s">
        <v>76</v>
      </c>
      <c r="BI33" s="60" t="str">
        <f t="shared" si="26"/>
        <v/>
      </c>
      <c r="BJ33" s="163"/>
      <c r="BK33" s="164"/>
      <c r="BL33" s="165"/>
      <c r="BM33" s="57">
        <f>IF(ISNUMBER(BM32),BM32+1,1)</f>
        <v>29</v>
      </c>
      <c r="BN33" s="58" t="str">
        <f t="shared" si="28"/>
        <v>ma</v>
      </c>
      <c r="BO33" s="59" t="s">
        <v>127</v>
      </c>
      <c r="BP33" s="60">
        <f t="shared" si="29"/>
        <v>22.285714285714285</v>
      </c>
      <c r="BQ33" s="163"/>
      <c r="BR33" s="164"/>
      <c r="BS33" s="165"/>
      <c r="BT33" s="57">
        <f>IF(ISNUMBER(BT32),BT32+1,1)</f>
        <v>29</v>
      </c>
      <c r="BU33" s="58" t="str">
        <f t="shared" si="31"/>
        <v>to</v>
      </c>
      <c r="BV33" s="59" t="s">
        <v>79</v>
      </c>
      <c r="BW33" s="60" t="str">
        <f t="shared" si="32"/>
        <v/>
      </c>
      <c r="BX33" s="163"/>
      <c r="BY33" s="164"/>
      <c r="BZ33" s="165"/>
      <c r="CA33" s="57">
        <f>IF(ISNUMBER(CA32),CA32+1,1)</f>
        <v>29</v>
      </c>
      <c r="CB33" s="58" t="str">
        <f t="shared" si="34"/>
        <v>lø</v>
      </c>
      <c r="CC33" s="59" t="s">
        <v>76</v>
      </c>
      <c r="CD33" s="60" t="str">
        <f t="shared" si="35"/>
        <v/>
      </c>
      <c r="CE33" s="169"/>
      <c r="CF33" s="170"/>
      <c r="CG33" s="171"/>
      <c r="CH33" s="79"/>
      <c r="CI33" s="103" t="s">
        <v>137</v>
      </c>
      <c r="CJ33" s="104">
        <f>CD47+BW47+BP47+BI47+BB47+AU47+AN47+AG47+Z47+S47+L47+E47</f>
        <v>31</v>
      </c>
      <c r="CK33" s="39"/>
      <c r="CL33" s="39"/>
    </row>
    <row r="34" spans="1:90" ht="18" customHeight="1">
      <c r="A34" s="129"/>
      <c r="B34" s="57">
        <f t="shared" si="0"/>
        <v>30</v>
      </c>
      <c r="C34" s="58" t="str">
        <f t="shared" si="1"/>
        <v>ma</v>
      </c>
      <c r="D34" s="59" t="s">
        <v>127</v>
      </c>
      <c r="E34" s="60">
        <f t="shared" si="2"/>
        <v>35.428571428571431</v>
      </c>
      <c r="F34" s="163"/>
      <c r="G34" s="164"/>
      <c r="H34" s="165"/>
      <c r="I34" s="57">
        <f t="shared" si="3"/>
        <v>30</v>
      </c>
      <c r="J34" s="58" t="str">
        <f t="shared" si="4"/>
        <v>to</v>
      </c>
      <c r="K34" s="59" t="s">
        <v>127</v>
      </c>
      <c r="L34" s="60" t="str">
        <f t="shared" si="5"/>
        <v/>
      </c>
      <c r="M34" s="166"/>
      <c r="N34" s="167"/>
      <c r="O34" s="168"/>
      <c r="P34" s="57">
        <f t="shared" si="6"/>
        <v>30</v>
      </c>
      <c r="Q34" s="58" t="str">
        <f t="shared" si="7"/>
        <v>lø</v>
      </c>
      <c r="R34" s="59" t="s">
        <v>76</v>
      </c>
      <c r="S34" s="60" t="str">
        <f t="shared" si="8"/>
        <v/>
      </c>
      <c r="T34" s="163"/>
      <c r="U34" s="164"/>
      <c r="V34" s="165"/>
      <c r="W34" s="57">
        <f t="shared" si="9"/>
        <v>30</v>
      </c>
      <c r="X34" s="58" t="str">
        <f t="shared" si="10"/>
        <v>ti</v>
      </c>
      <c r="Y34" s="59" t="s">
        <v>127</v>
      </c>
      <c r="Z34" s="60" t="str">
        <f t="shared" si="11"/>
        <v/>
      </c>
      <c r="AA34" s="166"/>
      <c r="AB34" s="167"/>
      <c r="AC34" s="168"/>
      <c r="AD34" s="57">
        <f t="shared" si="12"/>
        <v>30</v>
      </c>
      <c r="AE34" s="58" t="str">
        <f t="shared" si="13"/>
        <v>to</v>
      </c>
      <c r="AF34" s="59" t="s">
        <v>79</v>
      </c>
      <c r="AG34" s="60"/>
      <c r="AH34" s="163"/>
      <c r="AI34" s="164"/>
      <c r="AJ34" s="165"/>
      <c r="AK34" s="57">
        <f t="shared" si="15"/>
        <v>30</v>
      </c>
      <c r="AL34" s="58" t="str">
        <f t="shared" si="16"/>
        <v>sø</v>
      </c>
      <c r="AM34" s="59" t="s">
        <v>76</v>
      </c>
      <c r="AN34" s="60" t="str">
        <f t="shared" si="17"/>
        <v/>
      </c>
      <c r="AO34" s="166"/>
      <c r="AP34" s="167"/>
      <c r="AQ34" s="168"/>
      <c r="AR34" s="38"/>
      <c r="AS34" s="38"/>
      <c r="AT34" s="40"/>
      <c r="AU34" s="42"/>
      <c r="AY34" s="57">
        <f t="shared" si="21"/>
        <v>30</v>
      </c>
      <c r="AZ34" s="58" t="str">
        <f t="shared" si="22"/>
        <v>to</v>
      </c>
      <c r="BA34" s="59" t="s">
        <v>127</v>
      </c>
      <c r="BB34" s="60" t="str">
        <f t="shared" si="23"/>
        <v/>
      </c>
      <c r="BC34" s="163"/>
      <c r="BD34" s="164"/>
      <c r="BE34" s="165"/>
      <c r="BF34" s="57">
        <f t="shared" si="24"/>
        <v>30</v>
      </c>
      <c r="BG34" s="58" t="str">
        <f t="shared" si="25"/>
        <v>sø</v>
      </c>
      <c r="BH34" s="59" t="s">
        <v>76</v>
      </c>
      <c r="BI34" s="60" t="str">
        <f t="shared" si="26"/>
        <v/>
      </c>
      <c r="BJ34" s="166"/>
      <c r="BK34" s="167"/>
      <c r="BL34" s="168"/>
      <c r="BM34" s="57">
        <f t="shared" si="27"/>
        <v>30</v>
      </c>
      <c r="BN34" s="58" t="str">
        <f t="shared" si="28"/>
        <v>ti</v>
      </c>
      <c r="BO34" s="59" t="s">
        <v>127</v>
      </c>
      <c r="BP34" s="60" t="str">
        <f t="shared" si="29"/>
        <v/>
      </c>
      <c r="BQ34" s="163"/>
      <c r="BR34" s="164"/>
      <c r="BS34" s="165"/>
      <c r="BT34" s="57">
        <f t="shared" si="30"/>
        <v>30</v>
      </c>
      <c r="BU34" s="58" t="str">
        <f t="shared" si="31"/>
        <v>fr</v>
      </c>
      <c r="BV34" s="59" t="s">
        <v>79</v>
      </c>
      <c r="BW34" s="60" t="str">
        <f t="shared" si="32"/>
        <v/>
      </c>
      <c r="BX34" s="166"/>
      <c r="BY34" s="167"/>
      <c r="BZ34" s="168"/>
      <c r="CA34" s="57">
        <f t="shared" si="33"/>
        <v>30</v>
      </c>
      <c r="CB34" s="58" t="str">
        <f t="shared" si="34"/>
        <v>sø</v>
      </c>
      <c r="CC34" s="59" t="s">
        <v>76</v>
      </c>
      <c r="CD34" s="60" t="str">
        <f t="shared" si="35"/>
        <v/>
      </c>
      <c r="CE34" s="169"/>
      <c r="CF34" s="170"/>
      <c r="CG34" s="171"/>
      <c r="CH34" s="79"/>
      <c r="CI34" s="87" t="s">
        <v>97</v>
      </c>
      <c r="CJ34" s="106">
        <f>CD48+BW48+BP48+BI48+BB48+AU48+AN48+AG48+Z48+S48+L48+E48</f>
        <v>0</v>
      </c>
      <c r="CK34" s="39"/>
      <c r="CL34" s="39"/>
    </row>
    <row r="35" spans="1:90" ht="18" customHeight="1" thickBot="1">
      <c r="A35" s="129"/>
      <c r="B35" s="57">
        <f>IF(ISNUMBER(B34),B34+1,1)</f>
        <v>31</v>
      </c>
      <c r="C35" s="58" t="str">
        <f>CHOOSE(MOD(WEEKDAY(DATE(B$3,B$2,B35)),7)+1,"lø","sø","ma","ti","on","to","fr",)</f>
        <v>ti</v>
      </c>
      <c r="D35" s="59" t="s">
        <v>127</v>
      </c>
      <c r="E35" s="60" t="str">
        <f>IF(C35="ma",(DATE(B$3,B$2,B35)-DATE(B$3,1,1)+7)/7,"")</f>
        <v/>
      </c>
      <c r="F35" s="166"/>
      <c r="G35" s="167"/>
      <c r="H35" s="168"/>
      <c r="I35" s="37"/>
      <c r="J35" s="37"/>
      <c r="K35" s="41"/>
      <c r="L35" s="41"/>
      <c r="P35" s="57">
        <f>IF(ISNUMBER(P34),P34+1,1)</f>
        <v>31</v>
      </c>
      <c r="Q35" s="58" t="str">
        <f>CHOOSE(MOD(WEEKDAY(DATE(P$3,P$2,P35)),7)+1,"lø","sø","ma","ti","on","to","fr",)</f>
        <v>sø</v>
      </c>
      <c r="R35" s="59" t="s">
        <v>76</v>
      </c>
      <c r="S35" s="60" t="str">
        <f>IF(Q35="ma",(DATE(P$3,P$2,P35)-DATE(P$3,1,1)+7)/7,"")</f>
        <v/>
      </c>
      <c r="T35" s="166"/>
      <c r="U35" s="167"/>
      <c r="V35" s="168"/>
      <c r="W35" s="37"/>
      <c r="X35" s="37"/>
      <c r="Y35" s="41"/>
      <c r="Z35" s="41"/>
      <c r="AD35" s="57">
        <f>IF(ISNUMBER(AD34),AD34+1,1)</f>
        <v>31</v>
      </c>
      <c r="AE35" s="58" t="str">
        <f>CHOOSE(MOD(WEEKDAY(DATE(AD$3,AD$2,AD35)),7)+1,"lø","sø","ma","ti","on","to","fr",)</f>
        <v>fr</v>
      </c>
      <c r="AF35" s="59" t="s">
        <v>79</v>
      </c>
      <c r="AG35" s="60" t="str">
        <f>IF(AE35="ma",(DATE(AD$3,AD$2,AD35)-DATE(AD$3,1,1)+7)/7-AG28,"")</f>
        <v/>
      </c>
      <c r="AH35" s="163" t="s">
        <v>80</v>
      </c>
      <c r="AI35" s="164"/>
      <c r="AJ35" s="165"/>
      <c r="AK35" s="57">
        <f>IF(ISNUMBER(AK34),AK34+1,1)</f>
        <v>31</v>
      </c>
      <c r="AL35" s="58" t="str">
        <f>CHOOSE(MOD(WEEKDAY(DATE(AK$3,AK$2,AK35)),7)+1,"lø","sø","ma","ti","on","to","fr",)</f>
        <v>ma</v>
      </c>
      <c r="AM35" s="59" t="s">
        <v>127</v>
      </c>
      <c r="AN35" s="60">
        <f>IF(AL35="ma",(DATE(AK$3,AK$2,AK35)-DATE(AK$3,1,1)+7)/7,"")</f>
        <v>5.2857142857142856</v>
      </c>
      <c r="AO35" s="166"/>
      <c r="AP35" s="167"/>
      <c r="AQ35" s="168"/>
      <c r="AR35" s="38"/>
      <c r="AS35" s="38"/>
      <c r="AT35" s="40"/>
      <c r="AU35" s="40"/>
      <c r="AY35" s="57">
        <f>IF(ISNUMBER(AY34),AY34+1,1)</f>
        <v>31</v>
      </c>
      <c r="AZ35" s="58" t="str">
        <f>CHOOSE(MOD(WEEKDAY(DATE(AY$3,AY$2,AY35)),7)+1,"lø","sø","ma","ti","on","to","fr",)</f>
        <v>fr</v>
      </c>
      <c r="BA35" s="59" t="s">
        <v>127</v>
      </c>
      <c r="BB35" s="60" t="str">
        <f>IF(AZ35="ma",(DATE(AY$3,AY$2,AY35)-DATE(AY$3,1,1)+7)/7,"")</f>
        <v/>
      </c>
      <c r="BC35" s="166"/>
      <c r="BD35" s="167"/>
      <c r="BE35" s="168"/>
      <c r="BF35" s="32"/>
      <c r="BG35" s="32"/>
      <c r="BH35" s="32"/>
      <c r="BI35" s="32"/>
      <c r="BM35" s="57">
        <f>IF(ISNUMBER(BM34),BM34+1,1)</f>
        <v>31</v>
      </c>
      <c r="BN35" s="58" t="str">
        <f>CHOOSE(MOD(WEEKDAY(DATE(BM$3,BM$2,BM35)),7)+1,"lø","sø","ma","ti","on","to","fr",)</f>
        <v>on</v>
      </c>
      <c r="BO35" s="59" t="s">
        <v>127</v>
      </c>
      <c r="BP35" s="60" t="str">
        <f>IF(BN35="ma",(DATE(BM$3,BM$2,BM35)-DATE(BM$3,1,1)+7)/7,"")</f>
        <v/>
      </c>
      <c r="BQ35" s="163"/>
      <c r="BR35" s="164"/>
      <c r="BS35" s="165"/>
      <c r="BT35" s="32"/>
      <c r="BU35" s="32"/>
      <c r="BV35" s="32"/>
      <c r="BW35" s="32"/>
      <c r="CA35" s="57">
        <f>IF(ISNUMBER(CA34),CA34+1,1)</f>
        <v>31</v>
      </c>
      <c r="CB35" s="58" t="str">
        <f>CHOOSE(MOD(WEEKDAY(DATE(CA$3,CA$2,CA35)),7)+1,"lø","sø","ma","ti","on","to","fr",)</f>
        <v>ma</v>
      </c>
      <c r="CC35" s="59" t="s">
        <v>131</v>
      </c>
      <c r="CD35" s="60">
        <f>IF(CB35="ma",(DATE(CA$3,CA$2,CA35)-DATE(CA$3,1,1)+7)/7,"")</f>
        <v>31.285714285714285</v>
      </c>
      <c r="CE35" s="166" t="s">
        <v>69</v>
      </c>
      <c r="CF35" s="167"/>
      <c r="CG35" s="168"/>
      <c r="CH35" s="79"/>
      <c r="CI35" s="105" t="s">
        <v>98</v>
      </c>
      <c r="CJ35" s="107">
        <f>CD49+BW49+BP49+BI49+BB49+AU49+AN49+AG49+Z49+S49+L49+E49-CJ34</f>
        <v>366</v>
      </c>
      <c r="CK35" s="39"/>
      <c r="CL35" s="39"/>
    </row>
    <row r="36" spans="1:90" ht="13" customHeight="1" thickTop="1">
      <c r="A36" s="55"/>
      <c r="B36" s="32"/>
      <c r="C36" s="37"/>
      <c r="D36" s="32"/>
      <c r="E36" s="32"/>
      <c r="J36" s="38"/>
      <c r="P36" s="32"/>
      <c r="Q36" s="37"/>
      <c r="R36" s="32"/>
      <c r="S36" s="32"/>
      <c r="X36" s="38"/>
      <c r="AD36" s="32"/>
      <c r="AE36" s="37"/>
      <c r="AF36" s="32"/>
      <c r="AG36" s="32"/>
      <c r="AH36" s="32"/>
      <c r="AI36" s="32"/>
      <c r="AJ36" s="32"/>
      <c r="AK36" s="231"/>
      <c r="AL36" s="240"/>
      <c r="AM36" s="231"/>
      <c r="AN36" s="231"/>
      <c r="AO36" s="32"/>
      <c r="AS36" s="38"/>
      <c r="AU36" s="30"/>
      <c r="AY36" s="32"/>
      <c r="AZ36" s="37"/>
      <c r="BA36" s="32"/>
      <c r="BB36" s="32"/>
      <c r="BG36" s="38"/>
      <c r="BM36" s="32"/>
      <c r="BN36" s="37"/>
      <c r="BO36" s="32"/>
      <c r="BP36" s="32"/>
      <c r="BU36" s="38"/>
      <c r="CA36" s="32"/>
      <c r="CB36" s="37"/>
      <c r="CC36" s="32"/>
      <c r="CD36" s="32"/>
      <c r="CJ36" s="108"/>
    </row>
    <row r="37" spans="1:90" ht="15" customHeight="1">
      <c r="A37" s="55" t="s">
        <v>127</v>
      </c>
      <c r="B37" s="230" t="s">
        <v>127</v>
      </c>
      <c r="C37" s="224"/>
      <c r="D37" s="231"/>
      <c r="E37" s="230">
        <f>COUNTIF(august,"Skema 1")</f>
        <v>16</v>
      </c>
      <c r="F37" s="63"/>
      <c r="G37" s="91" t="s">
        <v>107</v>
      </c>
      <c r="H37" s="92">
        <f>COUNTIFS($C$5:$C$35,"ma",august,"Skema 1")</f>
        <v>3</v>
      </c>
      <c r="I37" s="230" t="s">
        <v>127</v>
      </c>
      <c r="J37" s="224"/>
      <c r="K37" s="231"/>
      <c r="L37" s="230">
        <f>COUNTIF(september,"Skema 1")</f>
        <v>22</v>
      </c>
      <c r="M37" s="63"/>
      <c r="N37" s="91" t="s">
        <v>107</v>
      </c>
      <c r="O37" s="92">
        <f>COUNTIFS($J$5:$J$34,"ma",september,"Skema 1")</f>
        <v>4</v>
      </c>
      <c r="P37" s="230" t="s">
        <v>127</v>
      </c>
      <c r="Q37" s="224"/>
      <c r="R37" s="231"/>
      <c r="S37" s="230">
        <f>COUNTIF(oktober,"Skema 1")</f>
        <v>16</v>
      </c>
      <c r="T37" s="63"/>
      <c r="U37" s="91" t="s">
        <v>107</v>
      </c>
      <c r="V37" s="92">
        <f>COUNTIFS(Q5:Q35,"ma",oktober,"Skema 1")</f>
        <v>3</v>
      </c>
      <c r="W37" s="230" t="s">
        <v>127</v>
      </c>
      <c r="X37" s="224"/>
      <c r="Y37" s="231"/>
      <c r="Z37" s="230">
        <f>COUNTIF(november,"Skema 1")</f>
        <v>22</v>
      </c>
      <c r="AA37" s="63"/>
      <c r="AB37" s="91" t="s">
        <v>107</v>
      </c>
      <c r="AC37" s="92">
        <f>COUNTIFS(X5:X34,"ma",november,"Skema 1")</f>
        <v>5</v>
      </c>
      <c r="AD37" s="230" t="s">
        <v>127</v>
      </c>
      <c r="AE37" s="224"/>
      <c r="AF37" s="231"/>
      <c r="AG37" s="230">
        <f>COUNTIF(december,"Skema 1")</f>
        <v>13</v>
      </c>
      <c r="AH37" s="63"/>
      <c r="AI37" s="91" t="s">
        <v>107</v>
      </c>
      <c r="AJ37" s="92">
        <f>COUNTIFS(AE5:AE35,"ma",december,"Skema 1")</f>
        <v>2</v>
      </c>
      <c r="AK37" s="234" t="s">
        <v>127</v>
      </c>
      <c r="AL37" s="226"/>
      <c r="AM37" s="235"/>
      <c r="AN37" s="234">
        <f>COUNTIF(januar,"Skema 1")</f>
        <v>21</v>
      </c>
      <c r="AO37" s="63"/>
      <c r="AP37" s="91" t="s">
        <v>107</v>
      </c>
      <c r="AQ37" s="92">
        <f>COUNTIFS(AL5:AL35,"ma",januar,"Skema 1")</f>
        <v>5</v>
      </c>
      <c r="AR37" s="230" t="s">
        <v>127</v>
      </c>
      <c r="AS37" s="224"/>
      <c r="AT37" s="231"/>
      <c r="AU37" s="230">
        <f>COUNTIF(AT5:AT33,"Skema 1")</f>
        <v>16</v>
      </c>
      <c r="AV37" s="63"/>
      <c r="AW37" s="91" t="s">
        <v>107</v>
      </c>
      <c r="AX37" s="92">
        <f>COUNTIFS(AS5:AS33,"ma",februar,"Skema 1")</f>
        <v>3</v>
      </c>
      <c r="AY37" s="230" t="s">
        <v>127</v>
      </c>
      <c r="AZ37" s="224"/>
      <c r="BA37" s="231"/>
      <c r="BB37" s="230">
        <f>COUNTIF(marts,"Skema 1")</f>
        <v>23</v>
      </c>
      <c r="BC37" s="63"/>
      <c r="BD37" s="91" t="s">
        <v>107</v>
      </c>
      <c r="BE37" s="92">
        <f>COUNTIFS(AZ5:AZ35,"ma",marts,"Skema 1")</f>
        <v>4</v>
      </c>
      <c r="BF37" s="230" t="s">
        <v>127</v>
      </c>
      <c r="BG37" s="224"/>
      <c r="BH37" s="231"/>
      <c r="BI37" s="230">
        <f>COUNTIF(april,"Skema 1")</f>
        <v>14</v>
      </c>
      <c r="BJ37" s="63"/>
      <c r="BK37" s="91" t="s">
        <v>107</v>
      </c>
      <c r="BL37" s="92">
        <f>COUNTIFS(BG5:BG34,"ma",april,"Skema 1")</f>
        <v>2</v>
      </c>
      <c r="BM37" s="230" t="s">
        <v>127</v>
      </c>
      <c r="BN37" s="224"/>
      <c r="BO37" s="231"/>
      <c r="BP37" s="230">
        <f>COUNTIF(maj,"Skema 1")</f>
        <v>21</v>
      </c>
      <c r="BQ37" s="63"/>
      <c r="BR37" s="91" t="s">
        <v>107</v>
      </c>
      <c r="BS37" s="92">
        <f>COUNTIFS(BN5:BN35,"ma",maj,"Skema 1")</f>
        <v>5</v>
      </c>
      <c r="BT37" s="230" t="s">
        <v>127</v>
      </c>
      <c r="BU37" s="224"/>
      <c r="BV37" s="231"/>
      <c r="BW37" s="230">
        <f>COUNTIF(juni,"Skema 1")</f>
        <v>16</v>
      </c>
      <c r="BX37" s="63"/>
      <c r="BY37" s="91" t="s">
        <v>107</v>
      </c>
      <c r="BZ37" s="92">
        <f>COUNTIFS(BU5:BU34,"ma",juni,"Skema 1")</f>
        <v>2</v>
      </c>
      <c r="CA37" s="230" t="s">
        <v>127</v>
      </c>
      <c r="CB37" s="224"/>
      <c r="CC37" s="231"/>
      <c r="CD37" s="230">
        <f>COUNTIF(juli,"Skema 1")</f>
        <v>0</v>
      </c>
      <c r="CE37" s="63"/>
      <c r="CF37" s="91" t="s">
        <v>107</v>
      </c>
      <c r="CG37" s="92">
        <f>COUNTIFS(CB5:CB35,"ma",juli,"Skema 1")</f>
        <v>0</v>
      </c>
      <c r="CI37" s="30" t="s">
        <v>127</v>
      </c>
      <c r="CJ37" s="224" t="s">
        <v>24</v>
      </c>
      <c r="CK37" s="225">
        <f>CG37+BZ37+BS37+BL37+BE37+AX37+AQ37+AJ37+AC37+V37+O37+H37</f>
        <v>38</v>
      </c>
    </row>
    <row r="38" spans="1:90" ht="15" customHeight="1">
      <c r="A38" s="55" t="s">
        <v>128</v>
      </c>
      <c r="B38" s="232" t="s">
        <v>128</v>
      </c>
      <c r="C38" s="233"/>
      <c r="D38" s="233"/>
      <c r="E38" s="234">
        <f>COUNTIF(august,"Skema 2")</f>
        <v>0</v>
      </c>
      <c r="F38" s="63"/>
      <c r="G38" s="36" t="s">
        <v>108</v>
      </c>
      <c r="H38" s="93">
        <f>COUNTIFS($C$5:$C$35,"ti",august,"Skema 1")</f>
        <v>4</v>
      </c>
      <c r="I38" s="232" t="s">
        <v>128</v>
      </c>
      <c r="J38" s="233"/>
      <c r="K38" s="233"/>
      <c r="L38" s="234">
        <f>COUNTIF(september,"Skema 2")</f>
        <v>0</v>
      </c>
      <c r="M38" s="63"/>
      <c r="N38" s="36" t="s">
        <v>108</v>
      </c>
      <c r="O38" s="93">
        <f>COUNTIFS($J$5:$J$34,"ti",september,"Skema 1")</f>
        <v>4</v>
      </c>
      <c r="P38" s="232" t="s">
        <v>128</v>
      </c>
      <c r="Q38" s="233"/>
      <c r="R38" s="233"/>
      <c r="S38" s="234">
        <f>COUNTIF(oktober,"Skema 2")</f>
        <v>0</v>
      </c>
      <c r="T38" s="63"/>
      <c r="U38" s="36" t="s">
        <v>108</v>
      </c>
      <c r="V38" s="93">
        <f>COUNTIFS(Q5:Q35,"ti",oktober,"Skema 1")</f>
        <v>3</v>
      </c>
      <c r="W38" s="232" t="s">
        <v>128</v>
      </c>
      <c r="X38" s="233"/>
      <c r="Y38" s="233"/>
      <c r="Z38" s="234">
        <f>COUNTIF(november,"Skema 2")</f>
        <v>0</v>
      </c>
      <c r="AA38" s="63"/>
      <c r="AB38" s="36" t="s">
        <v>108</v>
      </c>
      <c r="AC38" s="93">
        <f>COUNTIFS(X5:X34,"ti",november,"Skema 1")</f>
        <v>5</v>
      </c>
      <c r="AD38" s="232" t="s">
        <v>128</v>
      </c>
      <c r="AE38" s="233"/>
      <c r="AF38" s="233"/>
      <c r="AG38" s="234">
        <f>COUNTIF(december,"Skema 2")</f>
        <v>0</v>
      </c>
      <c r="AH38" s="63"/>
      <c r="AI38" s="36" t="s">
        <v>108</v>
      </c>
      <c r="AJ38" s="93">
        <f>COUNTIFS(AE5:AE35,"ti",december,"Skema 1")</f>
        <v>2</v>
      </c>
      <c r="AK38" s="232" t="s">
        <v>128</v>
      </c>
      <c r="AL38" s="233"/>
      <c r="AM38" s="233"/>
      <c r="AN38" s="234">
        <f>COUNTIF(januar,"Skema 2")</f>
        <v>0</v>
      </c>
      <c r="AO38" s="63"/>
      <c r="AP38" s="36" t="s">
        <v>108</v>
      </c>
      <c r="AQ38" s="93">
        <f>COUNTIFS(AL5:AL35,"ti",januar,"Skema 1")</f>
        <v>4</v>
      </c>
      <c r="AR38" s="232" t="s">
        <v>128</v>
      </c>
      <c r="AS38" s="233"/>
      <c r="AT38" s="233"/>
      <c r="AU38" s="234">
        <f>COUNTIF(AT5:AT33,"Skema 2")</f>
        <v>0</v>
      </c>
      <c r="AV38" s="63"/>
      <c r="AW38" s="36" t="s">
        <v>108</v>
      </c>
      <c r="AX38" s="93">
        <f>COUNTIFS(AS5:AS33,"ti",februar,"Skema 1")</f>
        <v>4</v>
      </c>
      <c r="AY38" s="232" t="s">
        <v>128</v>
      </c>
      <c r="AZ38" s="233"/>
      <c r="BA38" s="233"/>
      <c r="BB38" s="234">
        <f>COUNTIF(marts,"Skema 2")</f>
        <v>0</v>
      </c>
      <c r="BC38" s="63"/>
      <c r="BD38" s="36" t="s">
        <v>108</v>
      </c>
      <c r="BE38" s="93">
        <f>COUNTIFS(AZ5:AZ35,"ti",marts,"Skema 1")</f>
        <v>4</v>
      </c>
      <c r="BF38" s="232" t="s">
        <v>128</v>
      </c>
      <c r="BG38" s="233"/>
      <c r="BH38" s="233"/>
      <c r="BI38" s="234">
        <f>COUNTIF(april,"Skema 2")</f>
        <v>0</v>
      </c>
      <c r="BJ38" s="63"/>
      <c r="BK38" s="36" t="s">
        <v>108</v>
      </c>
      <c r="BL38" s="93">
        <f>COUNTIFS(BG5:BG34,"ti",april,"Skema 1")</f>
        <v>3</v>
      </c>
      <c r="BM38" s="232" t="s">
        <v>128</v>
      </c>
      <c r="BN38" s="233"/>
      <c r="BO38" s="233"/>
      <c r="BP38" s="234">
        <f>COUNTIF(maj,"Skema 2")</f>
        <v>0</v>
      </c>
      <c r="BQ38" s="63"/>
      <c r="BR38" s="36" t="s">
        <v>108</v>
      </c>
      <c r="BS38" s="93">
        <f>COUNTIFS(BN5:BN35,"ti",maj,"Skema 1")</f>
        <v>5</v>
      </c>
      <c r="BT38" s="232" t="s">
        <v>128</v>
      </c>
      <c r="BU38" s="233"/>
      <c r="BV38" s="233"/>
      <c r="BW38" s="234">
        <f>COUNTIF(juni,"Skema 2")</f>
        <v>0</v>
      </c>
      <c r="BX38" s="63"/>
      <c r="BY38" s="36" t="s">
        <v>108</v>
      </c>
      <c r="BZ38" s="93">
        <f>COUNTIFS(BU5:BU34,"ti",juni,"Skema 1")</f>
        <v>3</v>
      </c>
      <c r="CA38" s="232" t="s">
        <v>128</v>
      </c>
      <c r="CB38" s="233"/>
      <c r="CC38" s="233"/>
      <c r="CD38" s="234">
        <f>COUNTIF(juli,"Skema 2")</f>
        <v>0</v>
      </c>
      <c r="CE38" s="63"/>
      <c r="CF38" s="36" t="s">
        <v>108</v>
      </c>
      <c r="CG38" s="93">
        <f>COUNTIFS(CB5:CB35,"ti",juli,"Skema 1")</f>
        <v>0</v>
      </c>
      <c r="CI38" s="30" t="str">
        <f>CI37</f>
        <v>Skema 1</v>
      </c>
      <c r="CJ38" s="226" t="s">
        <v>25</v>
      </c>
      <c r="CK38" s="227">
        <f>CG38+BZ38+BS38+BL38+BE38+AX38+AQ38+AJ38+AC38+V38+O38+H38</f>
        <v>41</v>
      </c>
    </row>
    <row r="39" spans="1:90" ht="15" customHeight="1">
      <c r="A39" s="55" t="s">
        <v>129</v>
      </c>
      <c r="B39" s="232" t="s">
        <v>129</v>
      </c>
      <c r="C39" s="233"/>
      <c r="D39" s="233"/>
      <c r="E39" s="234">
        <f>COUNTIF(august,"Skema 3")</f>
        <v>0</v>
      </c>
      <c r="F39" s="63"/>
      <c r="G39" s="36" t="s">
        <v>109</v>
      </c>
      <c r="H39" s="93">
        <f>COUNTIFS($C$5:$C$35,"on",august,"Skema 1")</f>
        <v>3</v>
      </c>
      <c r="I39" s="232" t="s">
        <v>129</v>
      </c>
      <c r="J39" s="233"/>
      <c r="K39" s="233"/>
      <c r="L39" s="234">
        <f>COUNTIF(september,"Skema 3")</f>
        <v>0</v>
      </c>
      <c r="M39" s="63"/>
      <c r="N39" s="36" t="s">
        <v>109</v>
      </c>
      <c r="O39" s="93">
        <f>COUNTIFS($J$5:$J$34,"on",september,"Skema 1")</f>
        <v>5</v>
      </c>
      <c r="P39" s="232" t="s">
        <v>129</v>
      </c>
      <c r="Q39" s="233"/>
      <c r="R39" s="233"/>
      <c r="S39" s="234">
        <f>COUNTIF(oktober,"Skema 3")</f>
        <v>0</v>
      </c>
      <c r="T39" s="63"/>
      <c r="U39" s="36" t="s">
        <v>109</v>
      </c>
      <c r="V39" s="93">
        <f>COUNTIFS(Q5:Q35,"on",oktober,"Skema 1")</f>
        <v>3</v>
      </c>
      <c r="W39" s="232" t="s">
        <v>129</v>
      </c>
      <c r="X39" s="233"/>
      <c r="Y39" s="233"/>
      <c r="Z39" s="234">
        <f>COUNTIF(november,"Skema 3")</f>
        <v>0</v>
      </c>
      <c r="AA39" s="63"/>
      <c r="AB39" s="36" t="s">
        <v>109</v>
      </c>
      <c r="AC39" s="93">
        <f>COUNTIFS(X5:X34,"on",november,"Skema 1")</f>
        <v>4</v>
      </c>
      <c r="AD39" s="232" t="s">
        <v>129</v>
      </c>
      <c r="AE39" s="233"/>
      <c r="AF39" s="233"/>
      <c r="AG39" s="234">
        <f>COUNTIF(december,"Skema 3")</f>
        <v>0</v>
      </c>
      <c r="AH39" s="63"/>
      <c r="AI39" s="36" t="s">
        <v>109</v>
      </c>
      <c r="AJ39" s="93">
        <f>COUNTIFS(AE5:AE35,"on",december,"Skema 1")</f>
        <v>3</v>
      </c>
      <c r="AK39" s="232" t="s">
        <v>129</v>
      </c>
      <c r="AL39" s="233"/>
      <c r="AM39" s="233"/>
      <c r="AN39" s="234">
        <f>COUNTIF(januar,"Skema 3")</f>
        <v>0</v>
      </c>
      <c r="AO39" s="63"/>
      <c r="AP39" s="36" t="s">
        <v>109</v>
      </c>
      <c r="AQ39" s="93">
        <f>COUNTIFS(AL5:AL35,"on",januar,"Skema 1")</f>
        <v>4</v>
      </c>
      <c r="AR39" s="232" t="s">
        <v>129</v>
      </c>
      <c r="AS39" s="233"/>
      <c r="AT39" s="233"/>
      <c r="AU39" s="234">
        <f>COUNTIF(AT5:AT33,"Skema 3")</f>
        <v>0</v>
      </c>
      <c r="AV39" s="63"/>
      <c r="AW39" s="36" t="s">
        <v>109</v>
      </c>
      <c r="AX39" s="93">
        <f>COUNTIFS(AS5:AS33,"on",februar,"Skema 1")</f>
        <v>3</v>
      </c>
      <c r="AY39" s="232" t="s">
        <v>129</v>
      </c>
      <c r="AZ39" s="233"/>
      <c r="BA39" s="233"/>
      <c r="BB39" s="234">
        <f>COUNTIF(marts,"Skema 3")</f>
        <v>0</v>
      </c>
      <c r="BC39" s="63"/>
      <c r="BD39" s="36" t="s">
        <v>109</v>
      </c>
      <c r="BE39" s="93">
        <f>COUNTIFS(AZ5:AZ35,"on",marts,"Skema 1")</f>
        <v>5</v>
      </c>
      <c r="BF39" s="232" t="s">
        <v>129</v>
      </c>
      <c r="BG39" s="233"/>
      <c r="BH39" s="233"/>
      <c r="BI39" s="234">
        <f>COUNTIF(april,"Skema 3")</f>
        <v>0</v>
      </c>
      <c r="BJ39" s="63"/>
      <c r="BK39" s="36" t="s">
        <v>109</v>
      </c>
      <c r="BL39" s="93">
        <f>COUNTIFS(BG5:BG34,"on",april,"Skema 1")</f>
        <v>3</v>
      </c>
      <c r="BM39" s="232" t="s">
        <v>129</v>
      </c>
      <c r="BN39" s="233"/>
      <c r="BO39" s="233"/>
      <c r="BP39" s="234">
        <f>COUNTIF(maj,"Skema 3")</f>
        <v>0</v>
      </c>
      <c r="BQ39" s="63"/>
      <c r="BR39" s="36" t="s">
        <v>109</v>
      </c>
      <c r="BS39" s="93">
        <f>COUNTIFS(BN5:BN35,"on",maj,"Skema 1")</f>
        <v>5</v>
      </c>
      <c r="BT39" s="232" t="s">
        <v>129</v>
      </c>
      <c r="BU39" s="233"/>
      <c r="BV39" s="233"/>
      <c r="BW39" s="234">
        <f>COUNTIF(juni,"Skema 3")</f>
        <v>0</v>
      </c>
      <c r="BX39" s="63"/>
      <c r="BY39" s="36" t="s">
        <v>109</v>
      </c>
      <c r="BZ39" s="93">
        <f>COUNTIFS(BU5:BU34,"on",juni,"Skema 1")</f>
        <v>3</v>
      </c>
      <c r="CA39" s="232" t="s">
        <v>129</v>
      </c>
      <c r="CB39" s="233"/>
      <c r="CC39" s="233"/>
      <c r="CD39" s="234">
        <f>COUNTIF(juli,"Skema 3")</f>
        <v>0</v>
      </c>
      <c r="CE39" s="63"/>
      <c r="CF39" s="36" t="s">
        <v>109</v>
      </c>
      <c r="CG39" s="93">
        <f>COUNTIFS(CB5:CB35,"on",juli,"Skema 1")</f>
        <v>0</v>
      </c>
      <c r="CI39" s="30" t="str">
        <f>CI38</f>
        <v>Skema 1</v>
      </c>
      <c r="CJ39" s="226" t="s">
        <v>26</v>
      </c>
      <c r="CK39" s="227">
        <f>CG39+BZ39+BS39+BL39+BE39+AX39+AQ39+AJ39+AC39+V39+O39+H39</f>
        <v>41</v>
      </c>
    </row>
    <row r="40" spans="1:90" ht="15" customHeight="1">
      <c r="A40" s="55" t="s">
        <v>130</v>
      </c>
      <c r="B40" s="232" t="s">
        <v>130</v>
      </c>
      <c r="C40" s="233"/>
      <c r="D40" s="233"/>
      <c r="E40" s="234">
        <f>COUNTIF(august,"Skema 4")</f>
        <v>0</v>
      </c>
      <c r="F40" s="63"/>
      <c r="G40" s="36" t="s">
        <v>111</v>
      </c>
      <c r="H40" s="93">
        <f>COUNTIFS($C$5:$C$35,"to",august,"Skema 1")</f>
        <v>3</v>
      </c>
      <c r="I40" s="232" t="s">
        <v>130</v>
      </c>
      <c r="J40" s="233"/>
      <c r="K40" s="233"/>
      <c r="L40" s="234">
        <f>COUNTIF(september,"Skema 4")</f>
        <v>0</v>
      </c>
      <c r="M40" s="63"/>
      <c r="N40" s="36" t="s">
        <v>111</v>
      </c>
      <c r="O40" s="93">
        <f>COUNTIFS($J$5:$J$34,"to",september,"Skema 1")</f>
        <v>5</v>
      </c>
      <c r="P40" s="232" t="s">
        <v>130</v>
      </c>
      <c r="Q40" s="233"/>
      <c r="R40" s="233"/>
      <c r="S40" s="234">
        <f>COUNTIF(oktober,"Skema 4")</f>
        <v>0</v>
      </c>
      <c r="T40" s="63"/>
      <c r="U40" s="36" t="s">
        <v>111</v>
      </c>
      <c r="V40" s="93">
        <f>COUNTIFS(Q5:Q35,"to",oktober,"Skema 1")</f>
        <v>3</v>
      </c>
      <c r="W40" s="232" t="s">
        <v>130</v>
      </c>
      <c r="X40" s="233"/>
      <c r="Y40" s="233"/>
      <c r="Z40" s="234">
        <f>COUNTIF(november,"Skema 4")</f>
        <v>0</v>
      </c>
      <c r="AA40" s="63"/>
      <c r="AB40" s="36" t="s">
        <v>111</v>
      </c>
      <c r="AC40" s="93">
        <f>COUNTIFS(X5:X34,"to",november,"Skema 1")</f>
        <v>4</v>
      </c>
      <c r="AD40" s="232" t="s">
        <v>130</v>
      </c>
      <c r="AE40" s="233"/>
      <c r="AF40" s="233"/>
      <c r="AG40" s="234">
        <f>COUNTIF(december,"Skema 4")</f>
        <v>0</v>
      </c>
      <c r="AH40" s="63"/>
      <c r="AI40" s="36" t="s">
        <v>111</v>
      </c>
      <c r="AJ40" s="93">
        <f>COUNTIFS(AE5:AE35,"to",december,"Skema 1")</f>
        <v>3</v>
      </c>
      <c r="AK40" s="232" t="s">
        <v>130</v>
      </c>
      <c r="AL40" s="233"/>
      <c r="AM40" s="233"/>
      <c r="AN40" s="234">
        <f>COUNTIF(januar,"Skema 4")</f>
        <v>0</v>
      </c>
      <c r="AO40" s="63"/>
      <c r="AP40" s="36" t="s">
        <v>111</v>
      </c>
      <c r="AQ40" s="93">
        <f>COUNTIFS(AL5:AL35,"to",januar,"Skema 1")</f>
        <v>4</v>
      </c>
      <c r="AR40" s="232" t="s">
        <v>130</v>
      </c>
      <c r="AS40" s="233"/>
      <c r="AT40" s="233"/>
      <c r="AU40" s="234">
        <f>COUNTIF(februar,"Skema 4")</f>
        <v>0</v>
      </c>
      <c r="AV40" s="63"/>
      <c r="AW40" s="36" t="s">
        <v>111</v>
      </c>
      <c r="AX40" s="93">
        <f>COUNTIFS(AS5:AS33,"to",februar,"Skema 1")</f>
        <v>3</v>
      </c>
      <c r="AY40" s="232" t="s">
        <v>130</v>
      </c>
      <c r="AZ40" s="233"/>
      <c r="BA40" s="233"/>
      <c r="BB40" s="234">
        <f>COUNTIF(marts,"Skema 4")</f>
        <v>0</v>
      </c>
      <c r="BC40" s="63"/>
      <c r="BD40" s="36" t="s">
        <v>111</v>
      </c>
      <c r="BE40" s="93">
        <f>COUNTIFS(AZ5:AZ35,"to",marts,"Skema 1")</f>
        <v>5</v>
      </c>
      <c r="BF40" s="232" t="s">
        <v>130</v>
      </c>
      <c r="BG40" s="233"/>
      <c r="BH40" s="233"/>
      <c r="BI40" s="234">
        <f>COUNTIF(april,"Skema 4")</f>
        <v>0</v>
      </c>
      <c r="BJ40" s="63"/>
      <c r="BK40" s="36" t="s">
        <v>111</v>
      </c>
      <c r="BL40" s="93">
        <f>COUNTIFS(BG5:BG34,"to",april,"Skema 1")</f>
        <v>3</v>
      </c>
      <c r="BM40" s="232" t="s">
        <v>130</v>
      </c>
      <c r="BN40" s="233"/>
      <c r="BO40" s="233"/>
      <c r="BP40" s="234">
        <f>COUNTIF(maj,"Skema 4")</f>
        <v>0</v>
      </c>
      <c r="BQ40" s="63"/>
      <c r="BR40" s="36" t="s">
        <v>111</v>
      </c>
      <c r="BS40" s="93">
        <f>COUNTIFS(BN5:BN35,"to",maj,"Skema 1")</f>
        <v>3</v>
      </c>
      <c r="BT40" s="232" t="s">
        <v>130</v>
      </c>
      <c r="BU40" s="233"/>
      <c r="BV40" s="233"/>
      <c r="BW40" s="234">
        <f>COUNTIF(juni,"Skema 4")</f>
        <v>0</v>
      </c>
      <c r="BX40" s="63"/>
      <c r="BY40" s="36" t="s">
        <v>111</v>
      </c>
      <c r="BZ40" s="93">
        <f>COUNTIFS(BU5:BU34,"to",juni,"Skema 1")</f>
        <v>4</v>
      </c>
      <c r="CA40" s="232" t="s">
        <v>130</v>
      </c>
      <c r="CB40" s="233"/>
      <c r="CC40" s="233"/>
      <c r="CD40" s="234">
        <f>COUNTIF(juli,"Skema 4")</f>
        <v>0</v>
      </c>
      <c r="CE40" s="63"/>
      <c r="CF40" s="36" t="s">
        <v>111</v>
      </c>
      <c r="CG40" s="93">
        <f>COUNTIFS(CB5:CB35,"to",juli,"Skema 1")</f>
        <v>0</v>
      </c>
      <c r="CI40" s="30" t="str">
        <f>CI39</f>
        <v>Skema 1</v>
      </c>
      <c r="CJ40" s="226" t="s">
        <v>27</v>
      </c>
      <c r="CK40" s="227">
        <f>CG40+BZ40+BS40+BL40+BE40+AX40+AQ40+AJ40+AC40+V40+O40+H40</f>
        <v>40</v>
      </c>
    </row>
    <row r="41" spans="1:90" ht="15" customHeight="1">
      <c r="A41" s="55" t="s">
        <v>83</v>
      </c>
      <c r="B41" s="226" t="s">
        <v>65</v>
      </c>
      <c r="C41" s="235"/>
      <c r="D41" s="235"/>
      <c r="E41" s="234">
        <f>COUNTIF(august,"fagdag")+COUNTIF(august,"emnedag")</f>
        <v>0</v>
      </c>
      <c r="F41" s="63"/>
      <c r="G41" s="94" t="s">
        <v>110</v>
      </c>
      <c r="H41" s="95">
        <f>COUNTIFS($C$5:$C$35,"fr",august,"Skema 1")</f>
        <v>3</v>
      </c>
      <c r="I41" s="226" t="s">
        <v>65</v>
      </c>
      <c r="J41" s="235"/>
      <c r="K41" s="235"/>
      <c r="L41" s="234">
        <f>COUNTIF(september,"fagdag")+COUNTIF(september,"emnedag")</f>
        <v>0</v>
      </c>
      <c r="M41" s="63"/>
      <c r="N41" s="94" t="s">
        <v>110</v>
      </c>
      <c r="O41" s="95">
        <f>COUNTIFS($J$5:$J$34,"fr",september,"Skema 1")</f>
        <v>4</v>
      </c>
      <c r="P41" s="226" t="s">
        <v>65</v>
      </c>
      <c r="Q41" s="235"/>
      <c r="R41" s="235"/>
      <c r="S41" s="234">
        <f>COUNTIF(oktober,"fagdag")+COUNTIF(oktober,"emnedag")</f>
        <v>0</v>
      </c>
      <c r="T41" s="63"/>
      <c r="U41" s="94" t="s">
        <v>110</v>
      </c>
      <c r="V41" s="95">
        <f>COUNTIFS(Q5:Q35,"fr",oktober,"Skema 1")</f>
        <v>4</v>
      </c>
      <c r="W41" s="226" t="s">
        <v>65</v>
      </c>
      <c r="X41" s="235"/>
      <c r="Y41" s="235"/>
      <c r="Z41" s="234">
        <f>COUNTIF(november,"fagdag")+COUNTIF(november,"emnedag")</f>
        <v>0</v>
      </c>
      <c r="AA41" s="63"/>
      <c r="AB41" s="94" t="s">
        <v>110</v>
      </c>
      <c r="AC41" s="95">
        <f>COUNTIFS(X5:X34,"fr",november,"Skema 1")</f>
        <v>4</v>
      </c>
      <c r="AD41" s="226" t="s">
        <v>65</v>
      </c>
      <c r="AE41" s="235"/>
      <c r="AF41" s="235"/>
      <c r="AG41" s="234">
        <f>COUNTIF(december,"fagdag")+COUNTIF(december,"emnedag")</f>
        <v>0</v>
      </c>
      <c r="AH41" s="63"/>
      <c r="AI41" s="94" t="s">
        <v>110</v>
      </c>
      <c r="AJ41" s="95">
        <f>COUNTIFS(AE5:AE35,"fr",december,"Skema 1")</f>
        <v>3</v>
      </c>
      <c r="AK41" s="226" t="s">
        <v>65</v>
      </c>
      <c r="AL41" s="235"/>
      <c r="AM41" s="235"/>
      <c r="AN41" s="234">
        <f>COUNTIF(januar,"fagdag")+COUNTIF(januar,"emnedag")</f>
        <v>0</v>
      </c>
      <c r="AO41" s="63"/>
      <c r="AP41" s="94" t="s">
        <v>110</v>
      </c>
      <c r="AQ41" s="95">
        <f>COUNTIFS(AL5:AL35,"fr",januar,"Skema 1")</f>
        <v>4</v>
      </c>
      <c r="AR41" s="226" t="s">
        <v>65</v>
      </c>
      <c r="AS41" s="235"/>
      <c r="AT41" s="235"/>
      <c r="AU41" s="234">
        <f>COUNTIF(februar,"fagdag")+COUNTIF(februar,"emnedag")</f>
        <v>0</v>
      </c>
      <c r="AV41" s="63"/>
      <c r="AW41" s="94" t="s">
        <v>110</v>
      </c>
      <c r="AX41" s="95">
        <f>COUNTIFS(AS5:AS33,"fr",februar,"Skema 1")</f>
        <v>3</v>
      </c>
      <c r="AY41" s="226" t="s">
        <v>65</v>
      </c>
      <c r="AZ41" s="235"/>
      <c r="BA41" s="235"/>
      <c r="BB41" s="234">
        <f>COUNTIF(marts,"fagdag")+COUNTIF(marts,"emnedag")</f>
        <v>0</v>
      </c>
      <c r="BC41" s="63"/>
      <c r="BD41" s="94" t="s">
        <v>110</v>
      </c>
      <c r="BE41" s="95">
        <f>COUNTIFS(AZ5:AZ35,"fr",marts,"Skema 1")</f>
        <v>5</v>
      </c>
      <c r="BF41" s="226" t="s">
        <v>65</v>
      </c>
      <c r="BG41" s="235"/>
      <c r="BH41" s="235"/>
      <c r="BI41" s="234">
        <f>COUNTIF(april,"fagdag")+COUNTIF(april,"emnedag")</f>
        <v>0</v>
      </c>
      <c r="BJ41" s="63"/>
      <c r="BK41" s="94" t="s">
        <v>110</v>
      </c>
      <c r="BL41" s="95">
        <f>COUNTIFS(BG5:BG34,"fr",april,"Skema 1")</f>
        <v>3</v>
      </c>
      <c r="BM41" s="226" t="s">
        <v>65</v>
      </c>
      <c r="BN41" s="235"/>
      <c r="BO41" s="235"/>
      <c r="BP41" s="234">
        <f>COUNTIF(maj,"fagdag")+COUNTIF(maj,"emnedag")</f>
        <v>0</v>
      </c>
      <c r="BQ41" s="63"/>
      <c r="BR41" s="94" t="s">
        <v>110</v>
      </c>
      <c r="BS41" s="95">
        <f>COUNTIFS(BN5:BN35,"fr",maj,"Skema 1")</f>
        <v>3</v>
      </c>
      <c r="BT41" s="226" t="s">
        <v>65</v>
      </c>
      <c r="BU41" s="235"/>
      <c r="BV41" s="235"/>
      <c r="BW41" s="234">
        <f>COUNTIF(juni,"fagdag")+COUNTIF(juni,"emnedag")</f>
        <v>0</v>
      </c>
      <c r="BX41" s="63"/>
      <c r="BY41" s="94" t="s">
        <v>110</v>
      </c>
      <c r="BZ41" s="95">
        <f>COUNTIFS(BU5:BU34,"fr",juni,"Skema 1")</f>
        <v>4</v>
      </c>
      <c r="CA41" s="226" t="s">
        <v>65</v>
      </c>
      <c r="CB41" s="235"/>
      <c r="CC41" s="235"/>
      <c r="CD41" s="234">
        <f>COUNTIF(juli,"fagdag")+COUNTIF(juli,"emnedag")</f>
        <v>0</v>
      </c>
      <c r="CE41" s="63"/>
      <c r="CF41" s="94" t="s">
        <v>110</v>
      </c>
      <c r="CG41" s="95">
        <f>COUNTIFS(CB5:CB35,"fr",juli,"Skema 1")</f>
        <v>0</v>
      </c>
      <c r="CI41" s="30" t="str">
        <f>CI40</f>
        <v>Skema 1</v>
      </c>
      <c r="CJ41" s="228" t="s">
        <v>28</v>
      </c>
      <c r="CK41" s="229">
        <f>CG41+BZ41+BS41+BL41+BE41+AX41+AQ41+AJ41+AC41+V41+O41+H41</f>
        <v>40</v>
      </c>
    </row>
    <row r="42" spans="1:90" ht="15" customHeight="1">
      <c r="A42" s="55" t="s">
        <v>132</v>
      </c>
      <c r="B42" s="236" t="s">
        <v>64</v>
      </c>
      <c r="C42" s="235"/>
      <c r="D42" s="235"/>
      <c r="E42" s="234">
        <f>COUNTIF(august,"lejrskole")+COUNTIF(august,"ekskursion")</f>
        <v>0</v>
      </c>
      <c r="F42" s="63"/>
      <c r="H42" s="96"/>
      <c r="I42" s="236" t="s">
        <v>64</v>
      </c>
      <c r="J42" s="235"/>
      <c r="K42" s="235"/>
      <c r="L42" s="234">
        <f>COUNTIF(september,"lejrskole")+COUNTIF(september,"ekskursion")</f>
        <v>0</v>
      </c>
      <c r="M42" s="63"/>
      <c r="O42" s="96"/>
      <c r="P42" s="236" t="s">
        <v>64</v>
      </c>
      <c r="Q42" s="235"/>
      <c r="R42" s="235"/>
      <c r="S42" s="234">
        <f>COUNTIF(oktober,"lejrskole")+COUNTIF(oktober,"ekskursion")</f>
        <v>0</v>
      </c>
      <c r="T42" s="63"/>
      <c r="V42" s="96"/>
      <c r="W42" s="236" t="s">
        <v>64</v>
      </c>
      <c r="X42" s="235"/>
      <c r="Y42" s="235"/>
      <c r="Z42" s="234">
        <f>COUNTIF(november,"lejrskole")+COUNTIF(november,"ekskursion")</f>
        <v>0</v>
      </c>
      <c r="AA42" s="63"/>
      <c r="AC42" s="96"/>
      <c r="AD42" s="236" t="s">
        <v>64</v>
      </c>
      <c r="AE42" s="235"/>
      <c r="AF42" s="235"/>
      <c r="AG42" s="234">
        <f>COUNTIF(december,"lejrskole")+COUNTIF(december,"ekskursion")</f>
        <v>0</v>
      </c>
      <c r="AH42" s="63"/>
      <c r="AJ42" s="96"/>
      <c r="AK42" s="236" t="s">
        <v>64</v>
      </c>
      <c r="AL42" s="235"/>
      <c r="AM42" s="235"/>
      <c r="AN42" s="234">
        <f>COUNTIF(januar,"lejrskole")+COUNTIF(januar,"ekskursion")</f>
        <v>0</v>
      </c>
      <c r="AO42" s="63"/>
      <c r="AQ42" s="96"/>
      <c r="AR42" s="236" t="s">
        <v>64</v>
      </c>
      <c r="AS42" s="235"/>
      <c r="AT42" s="235"/>
      <c r="AU42" s="234">
        <f>COUNTIF(februar,"lejrskole")+COUNTIF(februar,"ekskursion")</f>
        <v>0</v>
      </c>
      <c r="AV42" s="63"/>
      <c r="AX42" s="96"/>
      <c r="AY42" s="236" t="s">
        <v>64</v>
      </c>
      <c r="AZ42" s="235"/>
      <c r="BA42" s="235"/>
      <c r="BB42" s="234">
        <f>COUNTIF(marts,"lejrskole")+COUNTIF(marts,"ekskursion")</f>
        <v>0</v>
      </c>
      <c r="BC42" s="63"/>
      <c r="BE42" s="96"/>
      <c r="BF42" s="236" t="s">
        <v>64</v>
      </c>
      <c r="BG42" s="235"/>
      <c r="BH42" s="235"/>
      <c r="BI42" s="234">
        <f>COUNTIF(april,"lejrskole")+COUNTIF(april,"ekskursion")</f>
        <v>0</v>
      </c>
      <c r="BJ42" s="63"/>
      <c r="BL42" s="96"/>
      <c r="BM42" s="236" t="s">
        <v>64</v>
      </c>
      <c r="BN42" s="235"/>
      <c r="BO42" s="235"/>
      <c r="BP42" s="234">
        <f>COUNTIF(maj,"lejrskole")+COUNTIF(maj,"ekskursion")</f>
        <v>0</v>
      </c>
      <c r="BQ42" s="63"/>
      <c r="BS42" s="96"/>
      <c r="BT42" s="236" t="s">
        <v>64</v>
      </c>
      <c r="BU42" s="235"/>
      <c r="BV42" s="235"/>
      <c r="BW42" s="234">
        <f>COUNTIF(juni,"lejrskole")+COUNTIF(juni,"ekskursion")</f>
        <v>0</v>
      </c>
      <c r="BX42" s="63"/>
      <c r="BZ42" s="96"/>
      <c r="CA42" s="236" t="s">
        <v>64</v>
      </c>
      <c r="CB42" s="235"/>
      <c r="CC42" s="235"/>
      <c r="CD42" s="234">
        <f>COUNTIF(juli,"lejrskole")+COUNTIF(juli,"ekskursion")</f>
        <v>0</v>
      </c>
      <c r="CE42" s="63"/>
      <c r="CG42" s="96"/>
      <c r="CK42" s="222"/>
    </row>
    <row r="43" spans="1:90" ht="15" customHeight="1">
      <c r="A43" s="55" t="s">
        <v>71</v>
      </c>
      <c r="B43" s="226" t="s">
        <v>63</v>
      </c>
      <c r="C43" s="235"/>
      <c r="D43" s="235"/>
      <c r="E43" s="234">
        <f>COUNTIF(august,"Pæd.dag")</f>
        <v>0</v>
      </c>
      <c r="F43" s="63"/>
      <c r="G43" s="91" t="s">
        <v>112</v>
      </c>
      <c r="H43" s="97">
        <f>COUNTIFS($C$5:$C$35,"ma",august,"Skema 2")</f>
        <v>0</v>
      </c>
      <c r="I43" s="226" t="s">
        <v>63</v>
      </c>
      <c r="J43" s="235"/>
      <c r="K43" s="235"/>
      <c r="L43" s="234">
        <f>COUNTIF(september,"Pæd.dag")</f>
        <v>0</v>
      </c>
      <c r="M43" s="63"/>
      <c r="N43" s="91" t="s">
        <v>112</v>
      </c>
      <c r="O43" s="92">
        <f>COUNTIFS($J$5:$J$34,"ma",september,"Skema 2")</f>
        <v>0</v>
      </c>
      <c r="P43" s="226" t="s">
        <v>63</v>
      </c>
      <c r="Q43" s="235"/>
      <c r="R43" s="235"/>
      <c r="S43" s="234">
        <f>COUNTIF(oktober,"Pæd.dag")</f>
        <v>0</v>
      </c>
      <c r="T43" s="63"/>
      <c r="U43" s="91" t="s">
        <v>112</v>
      </c>
      <c r="V43" s="92">
        <f>COUNTIFS(Q5:Q35,"ma",oktober,"Skema 2")</f>
        <v>0</v>
      </c>
      <c r="W43" s="226" t="s">
        <v>63</v>
      </c>
      <c r="X43" s="235"/>
      <c r="Y43" s="235"/>
      <c r="Z43" s="234">
        <f>COUNTIF(november,"Pæd.dag")</f>
        <v>0</v>
      </c>
      <c r="AA43" s="63"/>
      <c r="AB43" s="91" t="s">
        <v>112</v>
      </c>
      <c r="AC43" s="92">
        <f>COUNTIFS(X5:X34,"ma",november,"Skema 2")</f>
        <v>0</v>
      </c>
      <c r="AD43" s="226" t="s">
        <v>63</v>
      </c>
      <c r="AE43" s="235"/>
      <c r="AF43" s="235"/>
      <c r="AG43" s="234">
        <f>COUNTIF(december,"Pæd.dag")</f>
        <v>0</v>
      </c>
      <c r="AH43" s="63"/>
      <c r="AI43" s="91" t="s">
        <v>112</v>
      </c>
      <c r="AJ43" s="92">
        <f>COUNTIFS(AE5:AE35,"ma",december,"Skema 2")</f>
        <v>0</v>
      </c>
      <c r="AK43" s="226" t="s">
        <v>63</v>
      </c>
      <c r="AL43" s="235"/>
      <c r="AM43" s="235"/>
      <c r="AN43" s="234">
        <f>COUNTIF(januar,"Pæd.dag")</f>
        <v>0</v>
      </c>
      <c r="AO43" s="63"/>
      <c r="AP43" s="91" t="s">
        <v>112</v>
      </c>
      <c r="AQ43" s="92">
        <f>COUNTIFS(AL5:AL35,"ma",januar,"Skema 2")</f>
        <v>0</v>
      </c>
      <c r="AR43" s="226" t="s">
        <v>63</v>
      </c>
      <c r="AS43" s="235"/>
      <c r="AT43" s="235"/>
      <c r="AU43" s="234">
        <f>COUNTIF(februar,"Pæd.dag")</f>
        <v>0</v>
      </c>
      <c r="AV43" s="63"/>
      <c r="AW43" s="91" t="s">
        <v>112</v>
      </c>
      <c r="AX43" s="92">
        <f>COUNTIFS(AS5:AS33,"ma",februar,"Skema 2")</f>
        <v>0</v>
      </c>
      <c r="AY43" s="226" t="s">
        <v>63</v>
      </c>
      <c r="AZ43" s="235"/>
      <c r="BA43" s="235"/>
      <c r="BB43" s="234">
        <f>COUNTIF(marts,"Pæd.dag")</f>
        <v>0</v>
      </c>
      <c r="BC43" s="63"/>
      <c r="BD43" s="91" t="s">
        <v>112</v>
      </c>
      <c r="BE43" s="92">
        <f>COUNTIFS(AZ5:AZ35,"ma",marts,"Skema 2")</f>
        <v>0</v>
      </c>
      <c r="BF43" s="226" t="s">
        <v>63</v>
      </c>
      <c r="BG43" s="235"/>
      <c r="BH43" s="235"/>
      <c r="BI43" s="234">
        <f>COUNTIF(april,"Pæd.dag")</f>
        <v>0</v>
      </c>
      <c r="BJ43" s="63"/>
      <c r="BK43" s="91" t="s">
        <v>112</v>
      </c>
      <c r="BL43" s="92">
        <f>COUNTIFS(BG5:BG34,"ma",april,"Skema 2")</f>
        <v>0</v>
      </c>
      <c r="BM43" s="226" t="s">
        <v>63</v>
      </c>
      <c r="BN43" s="235"/>
      <c r="BO43" s="235"/>
      <c r="BP43" s="234">
        <f>COUNTIF(maj,"Pæd.dag")</f>
        <v>0</v>
      </c>
      <c r="BQ43" s="63"/>
      <c r="BR43" s="91" t="s">
        <v>112</v>
      </c>
      <c r="BS43" s="92">
        <f>COUNTIFS(BN5:BN35,"ma",maj,"Skema 2")</f>
        <v>0</v>
      </c>
      <c r="BT43" s="226" t="s">
        <v>63</v>
      </c>
      <c r="BU43" s="235"/>
      <c r="BV43" s="235"/>
      <c r="BW43" s="234">
        <f>COUNTIF(juni,"Pæd.dag")</f>
        <v>0</v>
      </c>
      <c r="BX43" s="63"/>
      <c r="BY43" s="91" t="s">
        <v>112</v>
      </c>
      <c r="BZ43" s="92">
        <f>COUNTIFS(BU5:BU34,"ma",juni,"Skema 2")</f>
        <v>0</v>
      </c>
      <c r="CA43" s="226" t="s">
        <v>63</v>
      </c>
      <c r="CB43" s="235"/>
      <c r="CC43" s="235"/>
      <c r="CD43" s="234">
        <f>COUNTIF(juli,"Pæd.dag")</f>
        <v>0</v>
      </c>
      <c r="CE43" s="63"/>
      <c r="CF43" s="91" t="s">
        <v>112</v>
      </c>
      <c r="CG43" s="92">
        <f>COUNTIFS(CB5:CB35,"ma",juli,"Skema 2")</f>
        <v>0</v>
      </c>
      <c r="CI43" s="30" t="s">
        <v>128</v>
      </c>
      <c r="CJ43" s="224" t="s">
        <v>24</v>
      </c>
      <c r="CK43" s="225">
        <f>CG43+BZ43+BS43+BL43+BE43+AX43+AQ43+AJ43+AC43+V43+O43+H43</f>
        <v>0</v>
      </c>
    </row>
    <row r="44" spans="1:90" ht="15" customHeight="1">
      <c r="A44" s="55" t="s">
        <v>70</v>
      </c>
      <c r="B44" s="226" t="s">
        <v>76</v>
      </c>
      <c r="C44" s="235"/>
      <c r="D44" s="235"/>
      <c r="E44" s="234">
        <f>COUNTIF(august,"weekend")</f>
        <v>9</v>
      </c>
      <c r="F44" s="63"/>
      <c r="G44" s="36" t="s">
        <v>113</v>
      </c>
      <c r="H44" s="98">
        <f>COUNTIFS($C$5:$C$35,"ti",august,"Skema 2")</f>
        <v>0</v>
      </c>
      <c r="I44" s="226" t="s">
        <v>76</v>
      </c>
      <c r="J44" s="235"/>
      <c r="K44" s="235"/>
      <c r="L44" s="234">
        <f>COUNTIF(september,"weekend")</f>
        <v>8</v>
      </c>
      <c r="M44" s="63"/>
      <c r="N44" s="36" t="s">
        <v>113</v>
      </c>
      <c r="O44" s="93">
        <f>COUNTIFS($J$5:$J$34,"ti",september,"Skema 2")</f>
        <v>0</v>
      </c>
      <c r="P44" s="226" t="s">
        <v>76</v>
      </c>
      <c r="Q44" s="235"/>
      <c r="R44" s="235"/>
      <c r="S44" s="234">
        <f>COUNTIF(oktober,"weekend")</f>
        <v>10</v>
      </c>
      <c r="T44" s="63"/>
      <c r="U44" s="36" t="s">
        <v>113</v>
      </c>
      <c r="V44" s="93">
        <f>COUNTIFS(Q5:Q35,"ti",oktober,"Skema 2")</f>
        <v>0</v>
      </c>
      <c r="W44" s="226" t="s">
        <v>76</v>
      </c>
      <c r="X44" s="235"/>
      <c r="Y44" s="235"/>
      <c r="Z44" s="234">
        <f>COUNTIF(november,"weekend")</f>
        <v>8</v>
      </c>
      <c r="AA44" s="63"/>
      <c r="AB44" s="36" t="s">
        <v>113</v>
      </c>
      <c r="AC44" s="93">
        <f>COUNTIFS(X5:X34,"ti",november,"Skema 2")</f>
        <v>0</v>
      </c>
      <c r="AD44" s="226" t="s">
        <v>76</v>
      </c>
      <c r="AE44" s="235"/>
      <c r="AF44" s="235"/>
      <c r="AG44" s="234">
        <f>COUNTIF(december,"weekend")</f>
        <v>8</v>
      </c>
      <c r="AH44" s="63"/>
      <c r="AI44" s="36" t="s">
        <v>113</v>
      </c>
      <c r="AJ44" s="93">
        <f>COUNTIFS(AE5:AE35,"ti",december,"Skema 2")</f>
        <v>0</v>
      </c>
      <c r="AK44" s="226" t="s">
        <v>76</v>
      </c>
      <c r="AL44" s="235"/>
      <c r="AM44" s="235"/>
      <c r="AN44" s="234">
        <f>COUNTIF(januar,"weekend")</f>
        <v>10</v>
      </c>
      <c r="AO44" s="63"/>
      <c r="AP44" s="36" t="s">
        <v>113</v>
      </c>
      <c r="AQ44" s="93">
        <f>COUNTIFS(AL5:AL35,"ti",januar,"Skema 2")</f>
        <v>0</v>
      </c>
      <c r="AR44" s="226" t="s">
        <v>76</v>
      </c>
      <c r="AS44" s="235"/>
      <c r="AT44" s="235"/>
      <c r="AU44" s="234">
        <f>COUNTIF(februar,"weekend")</f>
        <v>8</v>
      </c>
      <c r="AV44" s="63"/>
      <c r="AW44" s="36" t="s">
        <v>113</v>
      </c>
      <c r="AX44" s="93">
        <f>COUNTIFS(AS5:AS33,"ti",februar,"Skema 2")</f>
        <v>0</v>
      </c>
      <c r="AY44" s="226" t="s">
        <v>76</v>
      </c>
      <c r="AZ44" s="235"/>
      <c r="BA44" s="235"/>
      <c r="BB44" s="234">
        <f>COUNTIF(marts,"weekend")</f>
        <v>8</v>
      </c>
      <c r="BC44" s="63"/>
      <c r="BD44" s="36" t="s">
        <v>113</v>
      </c>
      <c r="BE44" s="93">
        <f>COUNTIFS(AZ5:AZ35,"ti",marts,"Skema 2")</f>
        <v>0</v>
      </c>
      <c r="BF44" s="226" t="s">
        <v>76</v>
      </c>
      <c r="BG44" s="235"/>
      <c r="BH44" s="235"/>
      <c r="BI44" s="234">
        <f>COUNTIF(april,"weekend")</f>
        <v>10</v>
      </c>
      <c r="BJ44" s="63"/>
      <c r="BK44" s="36" t="s">
        <v>113</v>
      </c>
      <c r="BL44" s="93">
        <f>COUNTIFS(BG5:BG34,"ti",april,"Skema 2")</f>
        <v>0</v>
      </c>
      <c r="BM44" s="226" t="s">
        <v>76</v>
      </c>
      <c r="BN44" s="235"/>
      <c r="BO44" s="235"/>
      <c r="BP44" s="234">
        <f>COUNTIF(maj,"weekend")</f>
        <v>8</v>
      </c>
      <c r="BQ44" s="63"/>
      <c r="BR44" s="36" t="s">
        <v>113</v>
      </c>
      <c r="BS44" s="93">
        <f>COUNTIFS(BN5:BN35,"ti",maj,"Skema 2")</f>
        <v>0</v>
      </c>
      <c r="BT44" s="226" t="s">
        <v>76</v>
      </c>
      <c r="BU44" s="235"/>
      <c r="BV44" s="235"/>
      <c r="BW44" s="234">
        <f>COUNTIF(juni,"weekend")</f>
        <v>8</v>
      </c>
      <c r="BX44" s="63"/>
      <c r="BY44" s="36" t="s">
        <v>113</v>
      </c>
      <c r="BZ44" s="93">
        <f>COUNTIFS(BU5:BU34,"ti",juni,"Skema 2")</f>
        <v>0</v>
      </c>
      <c r="CA44" s="226" t="s">
        <v>76</v>
      </c>
      <c r="CB44" s="235"/>
      <c r="CC44" s="235"/>
      <c r="CD44" s="234">
        <f>COUNTIF(juli,"weekend")</f>
        <v>10</v>
      </c>
      <c r="CE44" s="63"/>
      <c r="CF44" s="36" t="s">
        <v>113</v>
      </c>
      <c r="CG44" s="93">
        <f>COUNTIFS(CB5:CB35,"ti",juli,"Skema 2")</f>
        <v>0</v>
      </c>
      <c r="CH44" s="80"/>
      <c r="CI44" s="80" t="str">
        <f>CI43</f>
        <v>Skema 2</v>
      </c>
      <c r="CJ44" s="226" t="s">
        <v>25</v>
      </c>
      <c r="CK44" s="227">
        <f>CG44+BZ44+BS44+BL44+BE44+AX44+AQ44+AJ44+AC44+V44+O44+H44</f>
        <v>0</v>
      </c>
    </row>
    <row r="45" spans="1:90" ht="15" customHeight="1">
      <c r="A45" s="159" t="s">
        <v>68</v>
      </c>
      <c r="B45" s="226" t="s">
        <v>78</v>
      </c>
      <c r="C45" s="235"/>
      <c r="D45" s="235"/>
      <c r="E45" s="234">
        <f>COUNTIF(august,"SH-dag")</f>
        <v>0</v>
      </c>
      <c r="F45" s="63"/>
      <c r="G45" s="36" t="s">
        <v>114</v>
      </c>
      <c r="H45" s="98">
        <f>COUNTIFS($C$5:$C$35,"on",august,"Skema 2")</f>
        <v>0</v>
      </c>
      <c r="I45" s="226" t="s">
        <v>78</v>
      </c>
      <c r="J45" s="235"/>
      <c r="K45" s="235"/>
      <c r="L45" s="234">
        <f>COUNTIF(september,"SH-dag")</f>
        <v>0</v>
      </c>
      <c r="M45" s="63"/>
      <c r="N45" s="36" t="s">
        <v>114</v>
      </c>
      <c r="O45" s="93">
        <f>COUNTIFS($J$5:$J$34,"on",september,"Skema 2")</f>
        <v>0</v>
      </c>
      <c r="P45" s="226" t="s">
        <v>78</v>
      </c>
      <c r="Q45" s="235"/>
      <c r="R45" s="235"/>
      <c r="S45" s="234">
        <f>COUNTIF(oktober,"SH-dag")</f>
        <v>0</v>
      </c>
      <c r="T45" s="63"/>
      <c r="U45" s="36" t="s">
        <v>114</v>
      </c>
      <c r="V45" s="93">
        <f>COUNTIFS(Q5:Q35,"on",oktober,"Skema 2")</f>
        <v>0</v>
      </c>
      <c r="W45" s="226" t="s">
        <v>78</v>
      </c>
      <c r="X45" s="235"/>
      <c r="Y45" s="235"/>
      <c r="Z45" s="234">
        <f>COUNTIF(november,"SH-dag")</f>
        <v>0</v>
      </c>
      <c r="AA45" s="63"/>
      <c r="AB45" s="36" t="s">
        <v>114</v>
      </c>
      <c r="AC45" s="93">
        <f>COUNTIFS(X5:X34,"on",november,"Skema 2")</f>
        <v>0</v>
      </c>
      <c r="AD45" s="226" t="s">
        <v>78</v>
      </c>
      <c r="AE45" s="235"/>
      <c r="AF45" s="235"/>
      <c r="AG45" s="234">
        <f>COUNTIF(december,"SH-dag")</f>
        <v>0</v>
      </c>
      <c r="AH45" s="63"/>
      <c r="AI45" s="36" t="s">
        <v>114</v>
      </c>
      <c r="AJ45" s="93">
        <f>COUNTIFS(AE5:AE35,"on",december,"Skema 2")</f>
        <v>0</v>
      </c>
      <c r="AK45" s="226" t="s">
        <v>78</v>
      </c>
      <c r="AL45" s="235"/>
      <c r="AM45" s="235"/>
      <c r="AN45" s="234">
        <f>COUNTIF(januar,"SH-dag")</f>
        <v>0</v>
      </c>
      <c r="AO45" s="63"/>
      <c r="AP45" s="36" t="s">
        <v>114</v>
      </c>
      <c r="AQ45" s="93">
        <f>COUNTIFS(AL5:AL35,"on",januar,"Skema 2")</f>
        <v>0</v>
      </c>
      <c r="AR45" s="226" t="s">
        <v>78</v>
      </c>
      <c r="AS45" s="235"/>
      <c r="AT45" s="235"/>
      <c r="AU45" s="234">
        <f>COUNTIF(februar,"SH-dag")</f>
        <v>0</v>
      </c>
      <c r="AV45" s="63"/>
      <c r="AW45" s="36" t="s">
        <v>114</v>
      </c>
      <c r="AX45" s="93">
        <f>COUNTIFS(AS5:AS33,"on",februar,"Skema 2")</f>
        <v>0</v>
      </c>
      <c r="AY45" s="226" t="s">
        <v>78</v>
      </c>
      <c r="AZ45" s="235"/>
      <c r="BA45" s="235"/>
      <c r="BB45" s="234">
        <f>COUNTIF(marts,"SH-dag")</f>
        <v>0</v>
      </c>
      <c r="BC45" s="63"/>
      <c r="BD45" s="36" t="s">
        <v>114</v>
      </c>
      <c r="BE45" s="93">
        <f>COUNTIFS(AZ5:AZ35,"on",marts,"Skema 2")</f>
        <v>0</v>
      </c>
      <c r="BF45" s="226" t="s">
        <v>78</v>
      </c>
      <c r="BG45" s="235"/>
      <c r="BH45" s="235"/>
      <c r="BI45" s="234">
        <f>COUNTIF(april,"SH-dag")</f>
        <v>3</v>
      </c>
      <c r="BJ45" s="63"/>
      <c r="BK45" s="36" t="s">
        <v>114</v>
      </c>
      <c r="BL45" s="93">
        <f>COUNTIFS(BG5:BG34,"on",april,"Skema 2")</f>
        <v>0</v>
      </c>
      <c r="BM45" s="226" t="s">
        <v>78</v>
      </c>
      <c r="BN45" s="235"/>
      <c r="BO45" s="235"/>
      <c r="BP45" s="234">
        <f>COUNTIF(maj,"SH-dag")</f>
        <v>1</v>
      </c>
      <c r="BQ45" s="63"/>
      <c r="BR45" s="36" t="s">
        <v>114</v>
      </c>
      <c r="BS45" s="93">
        <f>COUNTIFS(BN5:BN35,"on",maj,"Skema 2")</f>
        <v>0</v>
      </c>
      <c r="BT45" s="226" t="s">
        <v>78</v>
      </c>
      <c r="BU45" s="235"/>
      <c r="BV45" s="235"/>
      <c r="BW45" s="234">
        <f>COUNTIF(juni,"SH-dag")</f>
        <v>1</v>
      </c>
      <c r="BX45" s="63"/>
      <c r="BY45" s="36" t="s">
        <v>114</v>
      </c>
      <c r="BZ45" s="93">
        <f>COUNTIFS(BU5:BU34,"on",juni,"Skema 2")</f>
        <v>0</v>
      </c>
      <c r="CA45" s="226" t="s">
        <v>78</v>
      </c>
      <c r="CB45" s="235"/>
      <c r="CC45" s="235"/>
      <c r="CD45" s="234">
        <f>COUNTIF(juli,"SH-dag")</f>
        <v>0</v>
      </c>
      <c r="CE45" s="63"/>
      <c r="CF45" s="36" t="s">
        <v>114</v>
      </c>
      <c r="CG45" s="93">
        <f>COUNTIFS(CB5:CB35,"on",juli,"Skema 2")</f>
        <v>0</v>
      </c>
      <c r="CI45" s="80" t="str">
        <f>CI44</f>
        <v>Skema 2</v>
      </c>
      <c r="CJ45" s="226" t="s">
        <v>26</v>
      </c>
      <c r="CK45" s="227">
        <f>CG45+BZ45+BS45+BL45+BE45+AX45+AQ45+AJ45+AC45+V45+O45+H45</f>
        <v>0</v>
      </c>
    </row>
    <row r="46" spans="1:90" ht="15" customHeight="1">
      <c r="A46" s="55" t="s">
        <v>76</v>
      </c>
      <c r="B46" s="226" t="s">
        <v>62</v>
      </c>
      <c r="C46" s="235"/>
      <c r="D46" s="235"/>
      <c r="E46" s="234">
        <f>COUNTIF(august,"feriedag")</f>
        <v>2</v>
      </c>
      <c r="F46" s="63"/>
      <c r="G46" s="36" t="s">
        <v>115</v>
      </c>
      <c r="H46" s="98">
        <f>COUNTIFS($C$5:$C$35,"to",august,"Skema 2")</f>
        <v>0</v>
      </c>
      <c r="I46" s="226" t="s">
        <v>62</v>
      </c>
      <c r="J46" s="235"/>
      <c r="K46" s="235"/>
      <c r="L46" s="234">
        <f>COUNTIF(september,"feriedag")</f>
        <v>0</v>
      </c>
      <c r="M46" s="63"/>
      <c r="N46" s="36" t="s">
        <v>115</v>
      </c>
      <c r="O46" s="93">
        <f>COUNTIFS($J$5:$J$34,"to",september,"Skema 2")</f>
        <v>0</v>
      </c>
      <c r="P46" s="226" t="s">
        <v>62</v>
      </c>
      <c r="Q46" s="235"/>
      <c r="R46" s="235"/>
      <c r="S46" s="234">
        <f>COUNTIF(oktober,"feriedag")</f>
        <v>5</v>
      </c>
      <c r="T46" s="63"/>
      <c r="U46" s="36" t="s">
        <v>115</v>
      </c>
      <c r="V46" s="93">
        <f>COUNTIFS(Q5:Q35,"to",oktober,"Skema 2")</f>
        <v>0</v>
      </c>
      <c r="W46" s="226" t="s">
        <v>62</v>
      </c>
      <c r="X46" s="235"/>
      <c r="Y46" s="235"/>
      <c r="Z46" s="234">
        <f>COUNTIF(november,"feriedag")</f>
        <v>0</v>
      </c>
      <c r="AA46" s="63"/>
      <c r="AB46" s="36" t="s">
        <v>115</v>
      </c>
      <c r="AC46" s="93">
        <f>COUNTIFS(X5:X34,"to",november,"Skema 2")</f>
        <v>0</v>
      </c>
      <c r="AD46" s="226" t="s">
        <v>62</v>
      </c>
      <c r="AE46" s="235"/>
      <c r="AF46" s="235"/>
      <c r="AG46" s="234">
        <f>COUNTIF(december,"feriedag")</f>
        <v>0</v>
      </c>
      <c r="AH46" s="63"/>
      <c r="AI46" s="36" t="s">
        <v>115</v>
      </c>
      <c r="AJ46" s="93">
        <f>COUNTIFS(AE5:AE35,"to",december,"Skema 2")</f>
        <v>0</v>
      </c>
      <c r="AK46" s="226" t="s">
        <v>62</v>
      </c>
      <c r="AL46" s="235"/>
      <c r="AM46" s="235"/>
      <c r="AN46" s="234">
        <f>COUNTIF(januar,"feriedag")</f>
        <v>0</v>
      </c>
      <c r="AO46" s="63"/>
      <c r="AP46" s="36" t="s">
        <v>115</v>
      </c>
      <c r="AQ46" s="93">
        <f>COUNTIFS(AL5:AL35,"to",januar,"Skema 2")</f>
        <v>0</v>
      </c>
      <c r="AR46" s="226" t="s">
        <v>62</v>
      </c>
      <c r="AS46" s="235"/>
      <c r="AT46" s="235"/>
      <c r="AU46" s="234">
        <f>COUNTIF(februar,"feriedag")</f>
        <v>0</v>
      </c>
      <c r="AV46" s="63"/>
      <c r="AW46" s="36" t="s">
        <v>115</v>
      </c>
      <c r="AX46" s="93">
        <f>COUNTIFS(AS5:AS33,"to",februar,"Skema 2")</f>
        <v>0</v>
      </c>
      <c r="AY46" s="226" t="s">
        <v>62</v>
      </c>
      <c r="AZ46" s="235"/>
      <c r="BA46" s="235"/>
      <c r="BB46" s="234">
        <f>COUNTIF(marts,"feriedag")</f>
        <v>0</v>
      </c>
      <c r="BC46" s="63"/>
      <c r="BD46" s="36" t="s">
        <v>115</v>
      </c>
      <c r="BE46" s="93">
        <f>COUNTIFS(AZ5:AZ35,"to",marts,"Skema 2")</f>
        <v>0</v>
      </c>
      <c r="BF46" s="226" t="s">
        <v>62</v>
      </c>
      <c r="BG46" s="235"/>
      <c r="BH46" s="235"/>
      <c r="BI46" s="234">
        <f>COUNTIF(april,"feriedag")</f>
        <v>0</v>
      </c>
      <c r="BJ46" s="63"/>
      <c r="BK46" s="36" t="s">
        <v>115</v>
      </c>
      <c r="BL46" s="93">
        <f>COUNTIFS(BG5:BG34,"to",april,"Skema 2")</f>
        <v>0</v>
      </c>
      <c r="BM46" s="226" t="s">
        <v>62</v>
      </c>
      <c r="BN46" s="235"/>
      <c r="BO46" s="235"/>
      <c r="BP46" s="234">
        <f>COUNTIF(maj,"feriedag")</f>
        <v>0</v>
      </c>
      <c r="BQ46" s="63"/>
      <c r="BR46" s="36" t="s">
        <v>115</v>
      </c>
      <c r="BS46" s="93">
        <f>COUNTIFS(BN5:BN35,"to",maj,"Skema 2")</f>
        <v>0</v>
      </c>
      <c r="BT46" s="226" t="s">
        <v>62</v>
      </c>
      <c r="BU46" s="235"/>
      <c r="BV46" s="235"/>
      <c r="BW46" s="234">
        <f>COUNTIF(juni,"feriedag")</f>
        <v>0</v>
      </c>
      <c r="BX46" s="63"/>
      <c r="BY46" s="36" t="s">
        <v>115</v>
      </c>
      <c r="BZ46" s="93">
        <f>COUNTIFS(BU5:BU34,"to",juni,"Skema 2")</f>
        <v>0</v>
      </c>
      <c r="CA46" s="226" t="s">
        <v>62</v>
      </c>
      <c r="CB46" s="235"/>
      <c r="CC46" s="235"/>
      <c r="CD46" s="234">
        <f>COUNTIF(juli,"feriedag")</f>
        <v>18</v>
      </c>
      <c r="CE46" s="63"/>
      <c r="CF46" s="36" t="s">
        <v>115</v>
      </c>
      <c r="CG46" s="93">
        <f>COUNTIFS(CB5:CB35,"to",juli,"Skema 2")</f>
        <v>0</v>
      </c>
      <c r="CH46" s="34"/>
      <c r="CI46" s="80" t="str">
        <f>CI45</f>
        <v>Skema 2</v>
      </c>
      <c r="CJ46" s="226" t="s">
        <v>27</v>
      </c>
      <c r="CK46" s="227">
        <f>CG46+BZ46+BS46+BL46+BE46+AX46+AQ46+AJ46+AC46+V46+O46+H46</f>
        <v>0</v>
      </c>
    </row>
    <row r="47" spans="1:90" ht="15" customHeight="1">
      <c r="A47" s="55" t="s">
        <v>75</v>
      </c>
      <c r="B47" s="226" t="s">
        <v>106</v>
      </c>
      <c r="C47" s="235"/>
      <c r="D47" s="235"/>
      <c r="E47" s="234">
        <f>COUNTIF(august,"Nul-dag")</f>
        <v>4</v>
      </c>
      <c r="F47" s="63"/>
      <c r="G47" s="94" t="s">
        <v>116</v>
      </c>
      <c r="H47" s="99">
        <f>COUNTIFS($C$5:$C$35,"fr",august,"Skema 2")</f>
        <v>0</v>
      </c>
      <c r="I47" s="226" t="s">
        <v>106</v>
      </c>
      <c r="J47" s="235"/>
      <c r="K47" s="235"/>
      <c r="L47" s="234">
        <f>COUNTIF(september,"Nul-dag")</f>
        <v>0</v>
      </c>
      <c r="M47" s="63"/>
      <c r="N47" s="94" t="s">
        <v>116</v>
      </c>
      <c r="O47" s="95">
        <f>COUNTIFS($J$5:$J$34,"fr",september,"Skema 2")</f>
        <v>0</v>
      </c>
      <c r="P47" s="226" t="s">
        <v>106</v>
      </c>
      <c r="Q47" s="235"/>
      <c r="R47" s="235"/>
      <c r="S47" s="234">
        <f>COUNTIF(oktober,"Nul-dag")</f>
        <v>0</v>
      </c>
      <c r="T47" s="63"/>
      <c r="U47" s="94" t="s">
        <v>116</v>
      </c>
      <c r="V47" s="95">
        <f>COUNTIFS(Q5:Q35,"fr",oktober,"Skema 2")</f>
        <v>0</v>
      </c>
      <c r="W47" s="226" t="s">
        <v>106</v>
      </c>
      <c r="X47" s="235"/>
      <c r="Y47" s="235"/>
      <c r="Z47" s="234">
        <f>COUNTIF(november,"Nul-dag")</f>
        <v>0</v>
      </c>
      <c r="AA47" s="63"/>
      <c r="AB47" s="94" t="s">
        <v>116</v>
      </c>
      <c r="AC47" s="95">
        <f>COUNTIFS(X5:X34,"fr",november,"Skema 2")</f>
        <v>0</v>
      </c>
      <c r="AD47" s="226" t="s">
        <v>106</v>
      </c>
      <c r="AE47" s="235"/>
      <c r="AF47" s="235"/>
      <c r="AG47" s="234">
        <f>COUNTIF(december,"Nul-dag")</f>
        <v>10</v>
      </c>
      <c r="AH47" s="63"/>
      <c r="AI47" s="94" t="s">
        <v>116</v>
      </c>
      <c r="AJ47" s="95">
        <f>COUNTIFS(AE5:AE35,"fr",december,"Skema 2")</f>
        <v>0</v>
      </c>
      <c r="AK47" s="226" t="s">
        <v>106</v>
      </c>
      <c r="AL47" s="235"/>
      <c r="AM47" s="235"/>
      <c r="AN47" s="234">
        <f>COUNTIF(januar,"Nul-dag")</f>
        <v>0</v>
      </c>
      <c r="AO47" s="63"/>
      <c r="AP47" s="94" t="s">
        <v>116</v>
      </c>
      <c r="AQ47" s="95">
        <f>COUNTIFS(AL5:AL35,"fr",januar,"Skema 2")</f>
        <v>0</v>
      </c>
      <c r="AR47" s="226" t="s">
        <v>106</v>
      </c>
      <c r="AS47" s="235"/>
      <c r="AT47" s="235"/>
      <c r="AU47" s="234">
        <f>COUNTIF(februar,"Nul-dag")</f>
        <v>5</v>
      </c>
      <c r="AV47" s="63"/>
      <c r="AW47" s="94" t="s">
        <v>116</v>
      </c>
      <c r="AX47" s="95">
        <f>COUNTIFS(AS5:AS33,"fr",februar,"Skema 2")</f>
        <v>0</v>
      </c>
      <c r="AY47" s="226" t="s">
        <v>106</v>
      </c>
      <c r="AZ47" s="235"/>
      <c r="BA47" s="235"/>
      <c r="BB47" s="234">
        <f>COUNTIF(marts,"Nul-dag")</f>
        <v>0</v>
      </c>
      <c r="BC47" s="63"/>
      <c r="BD47" s="94" t="s">
        <v>116</v>
      </c>
      <c r="BE47" s="95">
        <f>COUNTIFS(AZ5:AZ35,"fr",marts,"Skema 2")</f>
        <v>0</v>
      </c>
      <c r="BF47" s="226" t="s">
        <v>106</v>
      </c>
      <c r="BG47" s="235"/>
      <c r="BH47" s="235"/>
      <c r="BI47" s="234">
        <f>COUNTIF(april,"Nul-dag")</f>
        <v>3</v>
      </c>
      <c r="BJ47" s="63"/>
      <c r="BK47" s="94" t="s">
        <v>116</v>
      </c>
      <c r="BL47" s="95">
        <f>COUNTIFS(BG5:BG34,"fr",april,"Skema 2")</f>
        <v>0</v>
      </c>
      <c r="BM47" s="226" t="s">
        <v>106</v>
      </c>
      <c r="BN47" s="235"/>
      <c r="BO47" s="235"/>
      <c r="BP47" s="234">
        <f>COUNTIF(maj,"Nul-dag")</f>
        <v>1</v>
      </c>
      <c r="BQ47" s="63"/>
      <c r="BR47" s="94" t="s">
        <v>116</v>
      </c>
      <c r="BS47" s="95">
        <f>COUNTIFS(BN5:BN35,"fr",maj,"Skema 2")</f>
        <v>0</v>
      </c>
      <c r="BT47" s="226" t="s">
        <v>106</v>
      </c>
      <c r="BU47" s="235"/>
      <c r="BV47" s="235"/>
      <c r="BW47" s="234">
        <f>COUNTIF(juni,"Nul-dag")</f>
        <v>5</v>
      </c>
      <c r="BX47" s="63"/>
      <c r="BY47" s="94" t="s">
        <v>116</v>
      </c>
      <c r="BZ47" s="95">
        <f>COUNTIFS(BU5:BU34,"fr",juni,"Skema 2")</f>
        <v>0</v>
      </c>
      <c r="CA47" s="226" t="s">
        <v>106</v>
      </c>
      <c r="CB47" s="235"/>
      <c r="CC47" s="235"/>
      <c r="CD47" s="234">
        <f>COUNTIF(juli,"Nul-dag")</f>
        <v>3</v>
      </c>
      <c r="CE47" s="63"/>
      <c r="CF47" s="94" t="s">
        <v>116</v>
      </c>
      <c r="CG47" s="95">
        <f>COUNTIFS(CB5:CB35,"fr",juli,"Skema 2")</f>
        <v>0</v>
      </c>
      <c r="CH47" s="33"/>
      <c r="CI47" s="80" t="str">
        <f>CI46</f>
        <v>Skema 2</v>
      </c>
      <c r="CJ47" s="228" t="s">
        <v>28</v>
      </c>
      <c r="CK47" s="229">
        <f>CG47+BZ47+BS47+BL47+BE47+AX47+AQ47+AJ47+AC47+V47+O47+H47</f>
        <v>0</v>
      </c>
    </row>
    <row r="48" spans="1:90" ht="15" customHeight="1">
      <c r="A48" s="54" t="s">
        <v>131</v>
      </c>
      <c r="B48" s="226" t="s">
        <v>97</v>
      </c>
      <c r="C48" s="235"/>
      <c r="D48" s="235"/>
      <c r="E48" s="234">
        <f>COUNTIF(august,"Ikke relevant")</f>
        <v>0</v>
      </c>
      <c r="F48" s="63"/>
      <c r="G48" s="100"/>
      <c r="H48" s="100"/>
      <c r="I48" s="226" t="s">
        <v>97</v>
      </c>
      <c r="J48" s="235"/>
      <c r="K48" s="235"/>
      <c r="L48" s="234">
        <f>COUNTIF(september,"Ikke relevant")</f>
        <v>0</v>
      </c>
      <c r="M48" s="63"/>
      <c r="N48" s="100"/>
      <c r="O48" s="100"/>
      <c r="P48" s="226" t="s">
        <v>97</v>
      </c>
      <c r="Q48" s="235"/>
      <c r="R48" s="235"/>
      <c r="S48" s="234">
        <f>COUNTIF(oktober,"Ikke relevant")</f>
        <v>0</v>
      </c>
      <c r="T48" s="63"/>
      <c r="U48" s="100"/>
      <c r="V48" s="100"/>
      <c r="W48" s="226" t="s">
        <v>97</v>
      </c>
      <c r="X48" s="235"/>
      <c r="Y48" s="235"/>
      <c r="Z48" s="234">
        <f>COUNTIF(november,"Ikke relevant")</f>
        <v>0</v>
      </c>
      <c r="AA48" s="63"/>
      <c r="AB48" s="100"/>
      <c r="AC48" s="100"/>
      <c r="AD48" s="226" t="s">
        <v>97</v>
      </c>
      <c r="AE48" s="235"/>
      <c r="AF48" s="235"/>
      <c r="AG48" s="234">
        <f>COUNTIF(december,"Ikke relevant")</f>
        <v>0</v>
      </c>
      <c r="AH48" s="63"/>
      <c r="AI48" s="100"/>
      <c r="AJ48" s="100"/>
      <c r="AK48" s="226" t="s">
        <v>97</v>
      </c>
      <c r="AL48" s="235"/>
      <c r="AM48" s="235"/>
      <c r="AN48" s="234">
        <f>COUNTIF(januar,"Ikke relevant")</f>
        <v>0</v>
      </c>
      <c r="AO48" s="63"/>
      <c r="AP48" s="100"/>
      <c r="AQ48" s="100"/>
      <c r="AR48" s="226" t="s">
        <v>97</v>
      </c>
      <c r="AS48" s="235"/>
      <c r="AT48" s="235"/>
      <c r="AU48" s="234">
        <f>COUNTIF(februar,"Ikke relevant")</f>
        <v>0</v>
      </c>
      <c r="AV48" s="63"/>
      <c r="AW48" s="100"/>
      <c r="AX48" s="100"/>
      <c r="AY48" s="226" t="s">
        <v>97</v>
      </c>
      <c r="AZ48" s="235"/>
      <c r="BA48" s="235"/>
      <c r="BB48" s="234">
        <f>COUNTIF(marts,"Ikke relevant")</f>
        <v>0</v>
      </c>
      <c r="BC48" s="63"/>
      <c r="BD48" s="100"/>
      <c r="BE48" s="100"/>
      <c r="BF48" s="226" t="s">
        <v>97</v>
      </c>
      <c r="BG48" s="235"/>
      <c r="BH48" s="235"/>
      <c r="BI48" s="234">
        <f>COUNTIF(april,"Ikke relevant")</f>
        <v>0</v>
      </c>
      <c r="BJ48" s="63"/>
      <c r="BK48" s="100"/>
      <c r="BL48" s="100"/>
      <c r="BM48" s="226" t="s">
        <v>97</v>
      </c>
      <c r="BN48" s="235"/>
      <c r="BO48" s="235"/>
      <c r="BP48" s="234">
        <f>COUNTIF(maj,"Ikke relevant")</f>
        <v>0</v>
      </c>
      <c r="BQ48" s="63"/>
      <c r="BR48" s="100"/>
      <c r="BS48" s="100"/>
      <c r="BT48" s="226" t="s">
        <v>97</v>
      </c>
      <c r="BU48" s="235"/>
      <c r="BV48" s="235"/>
      <c r="BW48" s="234">
        <f>COUNTIF(juni,"Ikke relevant")</f>
        <v>0</v>
      </c>
      <c r="BX48" s="63"/>
      <c r="BY48" s="100"/>
      <c r="BZ48" s="100"/>
      <c r="CA48" s="226" t="s">
        <v>97</v>
      </c>
      <c r="CB48" s="235"/>
      <c r="CC48" s="235"/>
      <c r="CD48" s="234">
        <f>COUNTIF(juli,"Ikke relevant")</f>
        <v>0</v>
      </c>
      <c r="CE48" s="63"/>
      <c r="CF48" s="100"/>
      <c r="CG48" s="100"/>
      <c r="CJ48" s="100"/>
      <c r="CK48" s="222"/>
    </row>
    <row r="49" spans="1:91" ht="15" customHeight="1">
      <c r="A49" s="54" t="s">
        <v>79</v>
      </c>
      <c r="B49" s="228" t="s">
        <v>61</v>
      </c>
      <c r="C49" s="237"/>
      <c r="D49" s="237"/>
      <c r="E49" s="238">
        <f>SUM(E37:E48)</f>
        <v>31</v>
      </c>
      <c r="F49" s="63"/>
      <c r="G49" s="91" t="s">
        <v>117</v>
      </c>
      <c r="H49" s="97">
        <f>COUNTIFS($C$5:$C$35,"ma",august,"Skema 3")</f>
        <v>0</v>
      </c>
      <c r="I49" s="228" t="s">
        <v>61</v>
      </c>
      <c r="J49" s="237"/>
      <c r="K49" s="237"/>
      <c r="L49" s="238">
        <f>SUM(L37:L48)</f>
        <v>30</v>
      </c>
      <c r="M49" s="63"/>
      <c r="N49" s="91" t="s">
        <v>117</v>
      </c>
      <c r="O49" s="92">
        <f>COUNTIFS($J$5:$J$34,"ma",september,"Skema 3")</f>
        <v>0</v>
      </c>
      <c r="P49" s="228" t="s">
        <v>61</v>
      </c>
      <c r="Q49" s="237"/>
      <c r="R49" s="237"/>
      <c r="S49" s="238">
        <f>SUM(S37:S48)</f>
        <v>31</v>
      </c>
      <c r="T49" s="63"/>
      <c r="U49" s="91" t="s">
        <v>117</v>
      </c>
      <c r="V49" s="92">
        <f>COUNTIFS(Q5:Q35,"ma",oktober,"Skema 3")</f>
        <v>0</v>
      </c>
      <c r="W49" s="228" t="s">
        <v>61</v>
      </c>
      <c r="X49" s="237"/>
      <c r="Y49" s="237"/>
      <c r="Z49" s="238">
        <f>SUM(Z37:Z48)</f>
        <v>30</v>
      </c>
      <c r="AA49" s="63"/>
      <c r="AB49" s="91" t="s">
        <v>117</v>
      </c>
      <c r="AC49" s="92">
        <f>COUNTIFS(X5:X34,"ma",november,"Skema 3")</f>
        <v>0</v>
      </c>
      <c r="AD49" s="228" t="s">
        <v>61</v>
      </c>
      <c r="AE49" s="237"/>
      <c r="AF49" s="237"/>
      <c r="AG49" s="238">
        <f>SUM(AG37:AG48)</f>
        <v>31</v>
      </c>
      <c r="AH49" s="63"/>
      <c r="AI49" s="91" t="s">
        <v>117</v>
      </c>
      <c r="AJ49" s="92">
        <f>COUNTIFS(AE5:AE35,"ma",december,"Skema 3")</f>
        <v>0</v>
      </c>
      <c r="AK49" s="228" t="s">
        <v>61</v>
      </c>
      <c r="AL49" s="237"/>
      <c r="AM49" s="237"/>
      <c r="AN49" s="238">
        <f>SUM(AN37:AN48)</f>
        <v>31</v>
      </c>
      <c r="AO49" s="63"/>
      <c r="AP49" s="91" t="s">
        <v>117</v>
      </c>
      <c r="AQ49" s="92">
        <f>COUNTIFS(AL5:AL35,"ma",januar,"Skema 3")</f>
        <v>0</v>
      </c>
      <c r="AR49" s="228" t="s">
        <v>61</v>
      </c>
      <c r="AS49" s="237"/>
      <c r="AT49" s="237"/>
      <c r="AU49" s="238">
        <f>SUM(AU37:AU48)</f>
        <v>29</v>
      </c>
      <c r="AV49" s="63"/>
      <c r="AW49" s="91" t="s">
        <v>117</v>
      </c>
      <c r="AX49" s="92">
        <f>COUNTIFS(AS5:AS33,"ma",februar,"Skema 3")</f>
        <v>0</v>
      </c>
      <c r="AY49" s="228" t="s">
        <v>61</v>
      </c>
      <c r="AZ49" s="237"/>
      <c r="BA49" s="237"/>
      <c r="BB49" s="238">
        <f>SUM(BB37:BB48)</f>
        <v>31</v>
      </c>
      <c r="BC49" s="63"/>
      <c r="BD49" s="224" t="s">
        <v>117</v>
      </c>
      <c r="BE49" s="225">
        <f>COUNTIFS(AZ5:AZ35,"ma",marts,"Skema 3")</f>
        <v>0</v>
      </c>
      <c r="BF49" s="228" t="s">
        <v>61</v>
      </c>
      <c r="BG49" s="237"/>
      <c r="BH49" s="237"/>
      <c r="BI49" s="238">
        <f>SUM(BI37:BI48)</f>
        <v>30</v>
      </c>
      <c r="BJ49" s="63"/>
      <c r="BK49" s="91" t="s">
        <v>117</v>
      </c>
      <c r="BL49" s="92">
        <f>COUNTIFS(BG5:BG34,"ma",april,"Skema 3")</f>
        <v>0</v>
      </c>
      <c r="BM49" s="228" t="s">
        <v>61</v>
      </c>
      <c r="BN49" s="237"/>
      <c r="BO49" s="237"/>
      <c r="BP49" s="238">
        <f>SUM(BP37:BP48)</f>
        <v>31</v>
      </c>
      <c r="BQ49" s="63"/>
      <c r="BR49" s="91" t="s">
        <v>117</v>
      </c>
      <c r="BS49" s="92">
        <f>COUNTIFS(BN5:BN35,"ma",maj,"Skema 3")</f>
        <v>0</v>
      </c>
      <c r="BT49" s="228" t="s">
        <v>61</v>
      </c>
      <c r="BU49" s="237"/>
      <c r="BV49" s="237"/>
      <c r="BW49" s="238">
        <f>SUM(BW37:BW48)</f>
        <v>30</v>
      </c>
      <c r="BX49" s="63"/>
      <c r="BY49" s="91" t="s">
        <v>117</v>
      </c>
      <c r="BZ49" s="92">
        <f>COUNTIFS(BU5:BU34,"ma",juni,"Skema 3")</f>
        <v>0</v>
      </c>
      <c r="CA49" s="228" t="s">
        <v>61</v>
      </c>
      <c r="CB49" s="237"/>
      <c r="CC49" s="237"/>
      <c r="CD49" s="238">
        <f>SUM(CD37:CD48)</f>
        <v>31</v>
      </c>
      <c r="CE49" s="63"/>
      <c r="CF49" s="91" t="s">
        <v>117</v>
      </c>
      <c r="CG49" s="92">
        <f>COUNTIFS(CB5:CB35,"ma",juli,"Skema 3")</f>
        <v>0</v>
      </c>
      <c r="CI49" s="30" t="s">
        <v>129</v>
      </c>
      <c r="CJ49" s="224" t="s">
        <v>24</v>
      </c>
      <c r="CK49" s="225">
        <f>CG49+BZ49+BS49+BL49+BE49+AX49+AQ49+AJ49+AC49+V49+O49+H49</f>
        <v>0</v>
      </c>
    </row>
    <row r="50" spans="1:91" ht="15" customHeight="1">
      <c r="A50" s="54" t="s">
        <v>97</v>
      </c>
      <c r="B50" s="30" t="s">
        <v>139</v>
      </c>
      <c r="E50" s="30">
        <f>E49-E44-B118-E45</f>
        <v>22</v>
      </c>
      <c r="G50" s="36" t="s">
        <v>118</v>
      </c>
      <c r="H50" s="98">
        <f>COUNTIFS($C$5:$C$35,"ti",august,"Skema 3")</f>
        <v>0</v>
      </c>
      <c r="I50" s="30" t="s">
        <v>139</v>
      </c>
      <c r="L50" s="30">
        <f>L49-L44-I118-L45</f>
        <v>22</v>
      </c>
      <c r="N50" s="36" t="s">
        <v>118</v>
      </c>
      <c r="O50" s="93">
        <f>COUNTIFS($J$5:$J$34,"ti",september,"Skema 3")</f>
        <v>0</v>
      </c>
      <c r="P50" s="30" t="s">
        <v>139</v>
      </c>
      <c r="S50" s="30">
        <f>S49-S44-P118-S45</f>
        <v>21</v>
      </c>
      <c r="U50" s="36" t="s">
        <v>118</v>
      </c>
      <c r="V50" s="93">
        <f>COUNTIFS(Q5:Q35,"ti",oktober,"Skema 3")</f>
        <v>0</v>
      </c>
      <c r="W50" s="30" t="s">
        <v>139</v>
      </c>
      <c r="Z50" s="30">
        <f>Z49-Z44-W118-Z45</f>
        <v>22</v>
      </c>
      <c r="AB50" s="36" t="s">
        <v>118</v>
      </c>
      <c r="AC50" s="93">
        <f>COUNTIFS(X5:X34,"ti",november,"Skema 3")</f>
        <v>0</v>
      </c>
      <c r="AD50" s="30" t="s">
        <v>139</v>
      </c>
      <c r="AG50" s="30">
        <f>AG49-AG44-AD118-AG45</f>
        <v>23</v>
      </c>
      <c r="AI50" s="36" t="s">
        <v>118</v>
      </c>
      <c r="AJ50" s="93">
        <f>COUNTIFS(AE5:AE35,"ti",december,"Skema 3")</f>
        <v>0</v>
      </c>
      <c r="AK50" s="30" t="s">
        <v>139</v>
      </c>
      <c r="AN50" s="30">
        <f>AN49-AN44-AK118-AN45</f>
        <v>21</v>
      </c>
      <c r="AP50" s="36" t="s">
        <v>118</v>
      </c>
      <c r="AQ50" s="93">
        <f>COUNTIFS(AL5:AL35,"ti",januar,"Skema 3")</f>
        <v>0</v>
      </c>
      <c r="AR50" s="30" t="s">
        <v>139</v>
      </c>
      <c r="AU50" s="30">
        <f>AU49-AU44-AR118-AU45</f>
        <v>21</v>
      </c>
      <c r="AW50" s="36" t="s">
        <v>118</v>
      </c>
      <c r="AX50" s="93">
        <f>COUNTIFS(AS5:AS33,"ti",februar,"Skema 3")</f>
        <v>0</v>
      </c>
      <c r="AY50" s="30" t="s">
        <v>139</v>
      </c>
      <c r="BB50" s="30">
        <f>BB49-BB44-AY118-BB45</f>
        <v>23</v>
      </c>
      <c r="BD50" s="226" t="s">
        <v>118</v>
      </c>
      <c r="BE50" s="227">
        <f>COUNTIFS(AZ5:AZ35,"ti",marts,"Skema 3")</f>
        <v>0</v>
      </c>
      <c r="BF50" s="30" t="s">
        <v>139</v>
      </c>
      <c r="BI50" s="30">
        <f>BI49-BI44-BF118-BI45</f>
        <v>17</v>
      </c>
      <c r="BK50" s="36" t="s">
        <v>118</v>
      </c>
      <c r="BL50" s="93">
        <f>COUNTIFS(BG5:BG34,"ti",april,"Skema 3")</f>
        <v>0</v>
      </c>
      <c r="BM50" s="30" t="s">
        <v>139</v>
      </c>
      <c r="BP50" s="30">
        <f>BP49-BP44-BM118-BP45</f>
        <v>22</v>
      </c>
      <c r="BR50" s="36" t="s">
        <v>118</v>
      </c>
      <c r="BS50" s="93">
        <f>COUNTIFS(BN5:BN35,"ti",maj,"Skema 3")</f>
        <v>0</v>
      </c>
      <c r="BT50" s="30" t="s">
        <v>139</v>
      </c>
      <c r="BW50" s="30">
        <f>BW49-BW44-BT118-BW45</f>
        <v>21</v>
      </c>
      <c r="BY50" s="36" t="s">
        <v>118</v>
      </c>
      <c r="BZ50" s="93">
        <f>COUNTIFS(BU5:BU34,"ti",juni,"Skema 3")</f>
        <v>0</v>
      </c>
      <c r="CA50" s="30" t="s">
        <v>139</v>
      </c>
      <c r="CD50" s="30">
        <f>CD49-CD44-CA118-CD45</f>
        <v>21</v>
      </c>
      <c r="CF50" s="36" t="s">
        <v>118</v>
      </c>
      <c r="CG50" s="93">
        <f>COUNTIFS(CB5:CB35,"ti",juli,"Skema 3")</f>
        <v>0</v>
      </c>
      <c r="CI50" s="30" t="str">
        <f>CI49</f>
        <v>Skema 3</v>
      </c>
      <c r="CJ50" s="226" t="s">
        <v>25</v>
      </c>
      <c r="CK50" s="227">
        <f>CG50+BZ50+BS50+BL50+BE50+AX50+AQ50+AJ50+AC50+V50+O50+H50</f>
        <v>0</v>
      </c>
    </row>
    <row r="51" spans="1:91">
      <c r="A51" s="54"/>
      <c r="F51" s="34"/>
      <c r="G51" s="36" t="s">
        <v>119</v>
      </c>
      <c r="H51" s="98">
        <f>COUNTIFS($C$5:$C$35,"on",august,"Skema 3")</f>
        <v>0</v>
      </c>
      <c r="M51" s="34"/>
      <c r="N51" s="36" t="s">
        <v>119</v>
      </c>
      <c r="O51" s="93">
        <f>COUNTIFS($J$5:$J$34,"on",september,"Skema 3")</f>
        <v>0</v>
      </c>
      <c r="T51" s="34"/>
      <c r="U51" s="36" t="s">
        <v>119</v>
      </c>
      <c r="V51" s="93">
        <f>COUNTIFS(Q5:Q35,"on",oktober,"Skema 3")</f>
        <v>0</v>
      </c>
      <c r="AA51" s="34"/>
      <c r="AB51" s="36" t="s">
        <v>119</v>
      </c>
      <c r="AC51" s="93">
        <f>COUNTIFS(X5:X34,"on",november,"Skema 3")</f>
        <v>0</v>
      </c>
      <c r="AH51" s="34"/>
      <c r="AI51" s="36" t="s">
        <v>119</v>
      </c>
      <c r="AJ51" s="93">
        <f>COUNTIFS(AE5:AE35,"on",december,"Skema 3")</f>
        <v>0</v>
      </c>
      <c r="AN51" s="30"/>
      <c r="AO51" s="34"/>
      <c r="AP51" s="36" t="s">
        <v>119</v>
      </c>
      <c r="AQ51" s="93">
        <f>COUNTIFS(AL5:AL35,"on",januar,"Skema 3")</f>
        <v>0</v>
      </c>
      <c r="AU51" s="30"/>
      <c r="AV51" s="34"/>
      <c r="AW51" s="36" t="s">
        <v>119</v>
      </c>
      <c r="AX51" s="93">
        <f>COUNTIFS(AS5:AS33,"on",februar,"Skema 3")</f>
        <v>0</v>
      </c>
      <c r="BB51" s="30"/>
      <c r="BC51" s="34"/>
      <c r="BD51" s="226" t="s">
        <v>119</v>
      </c>
      <c r="BE51" s="227">
        <f>COUNTIFS(AZ5:AZ35,"on",marts,"Skema 3")</f>
        <v>0</v>
      </c>
      <c r="BJ51" s="34"/>
      <c r="BK51" s="36" t="s">
        <v>119</v>
      </c>
      <c r="BL51" s="93">
        <f>COUNTIFS(BG5:BG34,"on",april,"Skema 3")</f>
        <v>0</v>
      </c>
      <c r="BQ51" s="34"/>
      <c r="BR51" s="36" t="s">
        <v>119</v>
      </c>
      <c r="BS51" s="93">
        <f>COUNTIFS(BN5:BN35,"on",maj,"Skema 3")</f>
        <v>0</v>
      </c>
      <c r="BX51" s="34"/>
      <c r="BY51" s="36" t="s">
        <v>119</v>
      </c>
      <c r="BZ51" s="93">
        <f>COUNTIFS(BU5:BU34,"on",juni,"Skema 3")</f>
        <v>0</v>
      </c>
      <c r="CE51" s="34"/>
      <c r="CF51" s="36" t="s">
        <v>119</v>
      </c>
      <c r="CG51" s="93">
        <f>COUNTIFS(CB5:CB35,"on",juli,"Skema 3")</f>
        <v>0</v>
      </c>
      <c r="CI51" s="30" t="str">
        <f>CI50</f>
        <v>Skema 3</v>
      </c>
      <c r="CJ51" s="226" t="s">
        <v>26</v>
      </c>
      <c r="CK51" s="227">
        <f>CG51+BZ51+BS51+BL51+BE51+AX51+AQ51+AJ51+AC51+V51+O51+H51</f>
        <v>0</v>
      </c>
    </row>
    <row r="52" spans="1:91">
      <c r="A52" s="128"/>
      <c r="B52" s="54">
        <f>COUNTIF($D$10:$D$11,"Skema 1")</f>
        <v>0</v>
      </c>
      <c r="C52" s="54"/>
      <c r="D52" s="54"/>
      <c r="E52" s="54"/>
      <c r="G52" s="36" t="s">
        <v>120</v>
      </c>
      <c r="H52" s="98">
        <f>COUNTIFS($C$5:$C$35,"to",august,"Skema 3")</f>
        <v>0</v>
      </c>
      <c r="I52" s="54">
        <f>COUNTIF($D$10:$D$11,"Skema 1")</f>
        <v>0</v>
      </c>
      <c r="N52" s="36" t="s">
        <v>120</v>
      </c>
      <c r="O52" s="93">
        <f>COUNTIFS($J$5:$J$34,"to",september,"Skema 3")</f>
        <v>0</v>
      </c>
      <c r="U52" s="36" t="s">
        <v>120</v>
      </c>
      <c r="V52" s="93">
        <f>COUNTIFS(Q5:Q35,"to",oktober,"Skema 3")</f>
        <v>0</v>
      </c>
      <c r="AB52" s="36" t="s">
        <v>120</v>
      </c>
      <c r="AC52" s="93">
        <f>COUNTIFS(X5:X34,"to",november,"Skema 3")</f>
        <v>0</v>
      </c>
      <c r="AI52" s="36" t="s">
        <v>120</v>
      </c>
      <c r="AJ52" s="93">
        <f>COUNTIFS(AE5:AE35,"to",december,"Skema 3")</f>
        <v>0</v>
      </c>
      <c r="AN52" s="30"/>
      <c r="AP52" s="36" t="s">
        <v>120</v>
      </c>
      <c r="AQ52" s="93">
        <f>COUNTIFS(AL5:AL35,"to",januar,"Skema 3")</f>
        <v>0</v>
      </c>
      <c r="AU52" s="30"/>
      <c r="AW52" s="36" t="s">
        <v>120</v>
      </c>
      <c r="AX52" s="93">
        <f>COUNTIFS(AS5:AS33,"to",februar,"Skema 3")</f>
        <v>0</v>
      </c>
      <c r="BB52" s="30"/>
      <c r="BD52" s="226" t="s">
        <v>120</v>
      </c>
      <c r="BE52" s="227">
        <f>COUNTIFS(AZ5:AZ35,"to",marts,"Skema 3")</f>
        <v>0</v>
      </c>
      <c r="BK52" s="36" t="s">
        <v>120</v>
      </c>
      <c r="BL52" s="93">
        <f>COUNTIFS(BG5:BG34,"to",april,"Skema 3")</f>
        <v>0</v>
      </c>
      <c r="BR52" s="36" t="s">
        <v>120</v>
      </c>
      <c r="BS52" s="93">
        <f>COUNTIFS(BN5:BN35,"to",maj,"Skema 3")</f>
        <v>0</v>
      </c>
      <c r="BY52" s="36" t="s">
        <v>120</v>
      </c>
      <c r="BZ52" s="93">
        <f>COUNTIFS(BU5:BU34,"to",juni,"Skema 3")</f>
        <v>0</v>
      </c>
      <c r="CF52" s="36" t="s">
        <v>120</v>
      </c>
      <c r="CG52" s="93">
        <f>COUNTIFS(CB5:CB35,"to",juli,"Skema 3")</f>
        <v>0</v>
      </c>
      <c r="CI52" s="30" t="str">
        <f>CI51</f>
        <v>Skema 3</v>
      </c>
      <c r="CJ52" s="226" t="s">
        <v>27</v>
      </c>
      <c r="CK52" s="227">
        <f>CG52+BZ52+BS52+BL52+BE52+AX52+AQ52+AJ52+AC52+V52+O52+H52</f>
        <v>0</v>
      </c>
    </row>
    <row r="53" spans="1:91">
      <c r="A53" s="128"/>
      <c r="B53" s="54">
        <f>COUNTIF($D$17:$D$18,"Skema 1")</f>
        <v>1</v>
      </c>
      <c r="C53" s="54"/>
      <c r="D53" s="54"/>
      <c r="E53" s="54"/>
      <c r="G53" s="94" t="s">
        <v>121</v>
      </c>
      <c r="H53" s="99">
        <f>COUNTIFS($C$5:$C$35,"fr",august,"Skema 3")</f>
        <v>0</v>
      </c>
      <c r="I53" s="54">
        <f>COUNTIF($D$17:$D$18,"Skema 1")</f>
        <v>1</v>
      </c>
      <c r="N53" s="94" t="s">
        <v>121</v>
      </c>
      <c r="O53" s="95">
        <f>COUNTIFS($J$5:$J$34,"fr",september,"Skema 3")</f>
        <v>0</v>
      </c>
      <c r="U53" s="94" t="s">
        <v>121</v>
      </c>
      <c r="V53" s="95">
        <f>COUNTIFS(Q5:Q35,"fr",oktober,"Skema 3")</f>
        <v>0</v>
      </c>
      <c r="AB53" s="94" t="s">
        <v>121</v>
      </c>
      <c r="AC53" s="95">
        <f>COUNTIFS(X5:X34,"fr",november,"Skema 3")</f>
        <v>0</v>
      </c>
      <c r="AI53" s="94" t="s">
        <v>121</v>
      </c>
      <c r="AJ53" s="95">
        <f>COUNTIFS(AE5:AE35,"fr",december,"Skema 3")</f>
        <v>0</v>
      </c>
      <c r="AN53" s="30"/>
      <c r="AP53" s="94" t="s">
        <v>121</v>
      </c>
      <c r="AQ53" s="95">
        <f>COUNTIFS(AL5:AL35,"fr",januar,"Skema 3")</f>
        <v>0</v>
      </c>
      <c r="AU53" s="30"/>
      <c r="AW53" s="94" t="s">
        <v>121</v>
      </c>
      <c r="AX53" s="95">
        <f>COUNTIFS(AS5:AS33,"fr",februar,"Skema 3")</f>
        <v>0</v>
      </c>
      <c r="BB53" s="30"/>
      <c r="BD53" s="228" t="s">
        <v>121</v>
      </c>
      <c r="BE53" s="239">
        <f>COUNTIFS(AZ5:AZ35,"fr",marts,"Skema 3")</f>
        <v>0</v>
      </c>
      <c r="BK53" s="94" t="s">
        <v>121</v>
      </c>
      <c r="BL53" s="95">
        <f>COUNTIFS(BG5:BG34,"fr",april,"Skema 3")</f>
        <v>0</v>
      </c>
      <c r="BR53" s="94" t="s">
        <v>121</v>
      </c>
      <c r="BS53" s="95">
        <f>COUNTIFS(BN5:BN35,"fr",maj,"Skema 3")</f>
        <v>0</v>
      </c>
      <c r="BY53" s="94" t="s">
        <v>121</v>
      </c>
      <c r="BZ53" s="95">
        <f>COUNTIFS(BU5:BU34,"fr",juni,"Skema 3")</f>
        <v>0</v>
      </c>
      <c r="CF53" s="94" t="s">
        <v>121</v>
      </c>
      <c r="CG53" s="95">
        <f>COUNTIFS(CB5:CB35,"fr",juli,"Skema 3")</f>
        <v>0</v>
      </c>
      <c r="CI53" s="30" t="str">
        <f>CI52</f>
        <v>Skema 3</v>
      </c>
      <c r="CJ53" s="228" t="s">
        <v>28</v>
      </c>
      <c r="CK53" s="229">
        <f>CG53+BZ53+BS53+BL53+BE53+AX53+AQ53+AJ53+AC53+V53+O53+H53</f>
        <v>0</v>
      </c>
    </row>
    <row r="54" spans="1:91">
      <c r="A54" s="54"/>
      <c r="B54" s="54">
        <f>COUNTIF($D$24:$D$25,"Skema 1")</f>
        <v>1</v>
      </c>
      <c r="C54" s="54"/>
      <c r="D54" s="54"/>
      <c r="E54" s="54"/>
      <c r="I54" s="54">
        <f>COUNTIF($D$24:$D$25,"Skema 1")</f>
        <v>1</v>
      </c>
      <c r="AN54" s="30"/>
      <c r="AU54" s="30"/>
      <c r="BB54" s="30"/>
      <c r="CK54" s="222"/>
    </row>
    <row r="55" spans="1:91">
      <c r="A55" s="54" t="s">
        <v>68</v>
      </c>
      <c r="B55" s="54">
        <f>COUNTIF($D$31:$D$32,"Skema 1")</f>
        <v>1</v>
      </c>
      <c r="C55" s="54"/>
      <c r="D55" s="54"/>
      <c r="E55" s="54"/>
      <c r="G55" s="91" t="s">
        <v>122</v>
      </c>
      <c r="H55" s="97">
        <f>COUNTIFS($C$5:$C$35,"ma",august,"Skema 4")</f>
        <v>0</v>
      </c>
      <c r="I55" s="54">
        <f>COUNTIF($D$31:$D$32,"Skema 1")</f>
        <v>1</v>
      </c>
      <c r="N55" s="91" t="s">
        <v>122</v>
      </c>
      <c r="O55" s="92">
        <f>COUNTIFS($J$5:$J$34,"ma",september,"Skema 4")</f>
        <v>0</v>
      </c>
      <c r="U55" s="91" t="s">
        <v>122</v>
      </c>
      <c r="V55" s="92">
        <f>COUNTIFS(Q5:Q35,"ma",oktober,"Skema 4")</f>
        <v>0</v>
      </c>
      <c r="AB55" s="91" t="s">
        <v>122</v>
      </c>
      <c r="AC55" s="92">
        <f>COUNTIFS(X5:X34,"ma",november,"Skema 4")</f>
        <v>0</v>
      </c>
      <c r="AI55" s="91" t="s">
        <v>122</v>
      </c>
      <c r="AJ55" s="92">
        <f>COUNTIFS(AE5:AE35,"ma",december,"Skema 4")</f>
        <v>0</v>
      </c>
      <c r="AN55" s="30"/>
      <c r="AP55" s="91" t="s">
        <v>122</v>
      </c>
      <c r="AQ55" s="92">
        <f>COUNTIFS(AL5:AL35,"ma",januar,"Skema 4")</f>
        <v>0</v>
      </c>
      <c r="AU55" s="30"/>
      <c r="AW55" s="91" t="s">
        <v>122</v>
      </c>
      <c r="AX55" s="92">
        <f>COUNTIFS(AS5:AS33,"ma",februar,"Skema 4")</f>
        <v>0</v>
      </c>
      <c r="BB55" s="30"/>
      <c r="BD55" s="91" t="s">
        <v>122</v>
      </c>
      <c r="BE55" s="92">
        <f>COUNTIFS(AZ5:AZ35,"ma",marts,"Skema 4")</f>
        <v>0</v>
      </c>
      <c r="BK55" s="91" t="s">
        <v>122</v>
      </c>
      <c r="BL55" s="92">
        <f>COUNTIFS(BG5:BG34,"ma",april,"Skema 4")</f>
        <v>0</v>
      </c>
      <c r="BR55" s="91" t="s">
        <v>122</v>
      </c>
      <c r="BS55" s="92">
        <f>COUNTIFS(BN5:BN35,"ma",maj,"Skema 4")</f>
        <v>0</v>
      </c>
      <c r="BY55" s="91" t="s">
        <v>122</v>
      </c>
      <c r="BZ55" s="92">
        <f>COUNTIFS(BU5:BU34,"ma",juni,"Skema 4")</f>
        <v>0</v>
      </c>
      <c r="CF55" s="91" t="s">
        <v>122</v>
      </c>
      <c r="CG55" s="92">
        <f>COUNTIFS(CB5:CB35,"ma",juli,"Skema 4")</f>
        <v>0</v>
      </c>
      <c r="CI55" s="30" t="s">
        <v>130</v>
      </c>
      <c r="CJ55" s="91" t="s">
        <v>24</v>
      </c>
      <c r="CK55" s="92">
        <f>CG55+BZ55+BS55+BL55+BE55+AX55+AQ55+AJ55+AC55+V55+O55+H55</f>
        <v>0</v>
      </c>
    </row>
    <row r="56" spans="1:91">
      <c r="A56" s="54" t="s">
        <v>74</v>
      </c>
      <c r="B56" s="54"/>
      <c r="C56" s="54"/>
      <c r="D56" s="54"/>
      <c r="E56" s="54"/>
      <c r="G56" s="36" t="s">
        <v>123</v>
      </c>
      <c r="H56" s="98">
        <f>COUNTIFS($C$5:$C$35,"ti",august,"Skema 4")</f>
        <v>0</v>
      </c>
      <c r="N56" s="36" t="s">
        <v>123</v>
      </c>
      <c r="O56" s="93">
        <f>COUNTIFS($J$5:$J$34,"ti",september,"Skema 4")</f>
        <v>0</v>
      </c>
      <c r="U56" s="36" t="s">
        <v>123</v>
      </c>
      <c r="V56" s="93">
        <f>COUNTIFS(Q5:Q35,"ti",oktober,"Skema 4")</f>
        <v>0</v>
      </c>
      <c r="AB56" s="36" t="s">
        <v>123</v>
      </c>
      <c r="AC56" s="93">
        <f>COUNTIFS(X5:X34,"ti",november,"Skema 4")</f>
        <v>0</v>
      </c>
      <c r="AI56" s="36" t="s">
        <v>123</v>
      </c>
      <c r="AJ56" s="93">
        <f>COUNTIFS(AE5:AE35,"ti",december,"Skema 4")</f>
        <v>0</v>
      </c>
      <c r="AN56" s="30"/>
      <c r="AP56" s="36" t="s">
        <v>123</v>
      </c>
      <c r="AQ56" s="93">
        <f>COUNTIFS(AL5:AL35,"ti",januar,"Skema 4")</f>
        <v>0</v>
      </c>
      <c r="AU56" s="30"/>
      <c r="AW56" s="36" t="s">
        <v>123</v>
      </c>
      <c r="AX56" s="93">
        <f>COUNTIFS(AS5:AS33,"ti",februar,"Skema 4")</f>
        <v>0</v>
      </c>
      <c r="BB56" s="30"/>
      <c r="BD56" s="36" t="s">
        <v>123</v>
      </c>
      <c r="BE56" s="93">
        <f>COUNTIFS(AZ5:AZ35,"ti",marts,"Skema 4")</f>
        <v>0</v>
      </c>
      <c r="BK56" s="36" t="s">
        <v>123</v>
      </c>
      <c r="BL56" s="93">
        <f>COUNTIFS(BG5:BG34,"ti",april,"Skema 4")</f>
        <v>0</v>
      </c>
      <c r="BR56" s="36" t="s">
        <v>123</v>
      </c>
      <c r="BS56" s="93">
        <f>COUNTIFS(BN5:BN35,"ti",maj,"Skema 4")</f>
        <v>0</v>
      </c>
      <c r="BY56" s="36" t="s">
        <v>123</v>
      </c>
      <c r="BZ56" s="93">
        <f>COUNTIFS(BU5:BU34,"ti",juni,"Skema 4")</f>
        <v>0</v>
      </c>
      <c r="CF56" s="36" t="s">
        <v>123</v>
      </c>
      <c r="CG56" s="93">
        <f>COUNTIFS(CB5:CB35,"ti",juli,"Skema 4")</f>
        <v>0</v>
      </c>
      <c r="CI56" s="30" t="str">
        <f>CI55</f>
        <v>Skema 4</v>
      </c>
      <c r="CJ56" s="36" t="s">
        <v>25</v>
      </c>
      <c r="CK56" s="92">
        <f>CG56+BZ56+BS56+BL56+BE56+AX56+AQ56+AJ56+AC56+V56+O56+H56</f>
        <v>0</v>
      </c>
    </row>
    <row r="57" spans="1:91">
      <c r="A57" s="54" t="s">
        <v>75</v>
      </c>
      <c r="B57" s="54"/>
      <c r="C57" s="54"/>
      <c r="D57" s="54"/>
      <c r="E57" s="54"/>
      <c r="G57" s="36" t="s">
        <v>124</v>
      </c>
      <c r="H57" s="98">
        <f>COUNTIFS($C$5:$C$35,"on",august,"Skema 4")</f>
        <v>0</v>
      </c>
      <c r="N57" s="36" t="s">
        <v>124</v>
      </c>
      <c r="O57" s="93">
        <f>COUNTIFS($J$5:$J$34,"on",september,"Skema 4")</f>
        <v>0</v>
      </c>
      <c r="U57" s="36" t="s">
        <v>124</v>
      </c>
      <c r="V57" s="93">
        <f>COUNTIFS(Q5:Q35,"on",oktober,"Skema 4")</f>
        <v>0</v>
      </c>
      <c r="AB57" s="36" t="s">
        <v>124</v>
      </c>
      <c r="AC57" s="93">
        <f>COUNTIFS(X5:X34,"on",november,"Skema 4")</f>
        <v>0</v>
      </c>
      <c r="AI57" s="36" t="s">
        <v>124</v>
      </c>
      <c r="AJ57" s="93">
        <f>COUNTIFS(AE5:AE35,"on",december,"Skema 4")</f>
        <v>0</v>
      </c>
      <c r="AN57" s="30"/>
      <c r="AP57" s="36" t="s">
        <v>124</v>
      </c>
      <c r="AQ57" s="93">
        <f>COUNTIFS(AL5:AL35,"on",januar,"Skema 4")</f>
        <v>0</v>
      </c>
      <c r="AU57" s="30"/>
      <c r="AW57" s="36" t="s">
        <v>124</v>
      </c>
      <c r="AX57" s="93">
        <f>COUNTIFS(AS5:AS33,"on",februar,"Skema 4")</f>
        <v>0</v>
      </c>
      <c r="BB57" s="30"/>
      <c r="BD57" s="36" t="s">
        <v>124</v>
      </c>
      <c r="BE57" s="93">
        <f>COUNTIFS(AZ5:AZ35,"on",marts,"Skema 4")</f>
        <v>0</v>
      </c>
      <c r="BK57" s="36" t="s">
        <v>124</v>
      </c>
      <c r="BL57" s="93">
        <f>COUNTIFS(BG5:BG34,"on",april,"Skema 4")</f>
        <v>0</v>
      </c>
      <c r="BR57" s="36" t="s">
        <v>124</v>
      </c>
      <c r="BS57" s="93">
        <f>COUNTIFS(BN5:BN35,"on",maj,"Skema 4")</f>
        <v>0</v>
      </c>
      <c r="BY57" s="36" t="s">
        <v>124</v>
      </c>
      <c r="BZ57" s="93">
        <f>COUNTIFS(BU5:BU34,"on",juni,"Skema 4")</f>
        <v>0</v>
      </c>
      <c r="CF57" s="36" t="s">
        <v>124</v>
      </c>
      <c r="CG57" s="93">
        <f>COUNTIFS(CB5:CB35,"on",juli,"Skema 4")</f>
        <v>0</v>
      </c>
      <c r="CI57" s="30" t="str">
        <f>CI56</f>
        <v>Skema 4</v>
      </c>
      <c r="CJ57" s="91" t="s">
        <v>26</v>
      </c>
      <c r="CK57" s="92">
        <f>CG57+BZ57+BS57+BL57+BE57+AX57+AQ57+AJ57+AC57+V57+O57+H57</f>
        <v>0</v>
      </c>
    </row>
    <row r="58" spans="1:91">
      <c r="A58" s="55" t="s">
        <v>66</v>
      </c>
      <c r="B58" s="54"/>
      <c r="C58" s="54"/>
      <c r="D58" s="54"/>
      <c r="E58" s="54"/>
      <c r="G58" s="36" t="s">
        <v>125</v>
      </c>
      <c r="H58" s="98">
        <f>COUNTIFS($C$5:$C$35,"to",august,"Skema 4")</f>
        <v>0</v>
      </c>
      <c r="N58" s="36" t="s">
        <v>125</v>
      </c>
      <c r="O58" s="93">
        <f>COUNTIFS($J$5:$J$34,"to",september,"Skema 4")</f>
        <v>0</v>
      </c>
      <c r="U58" s="36" t="s">
        <v>125</v>
      </c>
      <c r="V58" s="93">
        <f>COUNTIFS(Q5:Q35,"to",oktober,"Skema 4")</f>
        <v>0</v>
      </c>
      <c r="AB58" s="36" t="s">
        <v>125</v>
      </c>
      <c r="AC58" s="93">
        <f>COUNTIFS(X5:X34,"to",november,"Skema 4")</f>
        <v>0</v>
      </c>
      <c r="AI58" s="36" t="s">
        <v>125</v>
      </c>
      <c r="AJ58" s="93">
        <f>COUNTIFS(AE5:AE35,"to",december,"Skema 4")</f>
        <v>0</v>
      </c>
      <c r="AN58" s="30"/>
      <c r="AP58" s="36" t="s">
        <v>125</v>
      </c>
      <c r="AQ58" s="93">
        <f>COUNTIFS(AL5:AL35,"to",januar,"Skema 4")</f>
        <v>0</v>
      </c>
      <c r="AU58" s="30"/>
      <c r="AW58" s="36" t="s">
        <v>125</v>
      </c>
      <c r="AX58" s="93">
        <f>COUNTIFS(AS5:AS33,"to",februar,"Skema 4")</f>
        <v>0</v>
      </c>
      <c r="BB58" s="30"/>
      <c r="BD58" s="36" t="s">
        <v>125</v>
      </c>
      <c r="BE58" s="93">
        <f>COUNTIFS(AZ5:AZ35,"to",marts,"Skema 4")</f>
        <v>0</v>
      </c>
      <c r="BK58" s="36" t="s">
        <v>125</v>
      </c>
      <c r="BL58" s="93">
        <f>COUNTIFS(BG5:BG34,"to",april,"Skema 4")</f>
        <v>0</v>
      </c>
      <c r="BR58" s="36" t="s">
        <v>125</v>
      </c>
      <c r="BS58" s="93">
        <f>COUNTIFS(BN5:BN35,"to",maj,"Skema 4")</f>
        <v>0</v>
      </c>
      <c r="BY58" s="36" t="s">
        <v>125</v>
      </c>
      <c r="BZ58" s="93">
        <f>COUNTIFS(BU5:BU34,"to",juni,"Skema 4")</f>
        <v>0</v>
      </c>
      <c r="CF58" s="36" t="s">
        <v>125</v>
      </c>
      <c r="CG58" s="93">
        <f>COUNTIFS(CB5:CB35,"to",juli,"Skema 4")</f>
        <v>0</v>
      </c>
      <c r="CI58" s="30" t="str">
        <f>CI57</f>
        <v>Skema 4</v>
      </c>
      <c r="CJ58" s="36" t="s">
        <v>27</v>
      </c>
      <c r="CK58" s="92">
        <f>CG58+BZ58+BS58+BL58+BE58+AX58+AQ58+AJ58+AC58+V58+O58+H58</f>
        <v>0</v>
      </c>
    </row>
    <row r="59" spans="1:91">
      <c r="A59" s="54" t="s">
        <v>79</v>
      </c>
      <c r="B59" s="54"/>
      <c r="C59" s="54"/>
      <c r="D59" s="54"/>
      <c r="E59" s="54"/>
      <c r="G59" s="94" t="s">
        <v>126</v>
      </c>
      <c r="H59" s="99">
        <f>COUNTIFS($C$5:$C$35,"fr",august,"Skema 4")</f>
        <v>0</v>
      </c>
      <c r="N59" s="94" t="s">
        <v>126</v>
      </c>
      <c r="O59" s="95">
        <f>COUNTIFS($J$5:$J$34,"fr",september,"Skema 4")</f>
        <v>0</v>
      </c>
      <c r="U59" s="94" t="s">
        <v>126</v>
      </c>
      <c r="V59" s="95">
        <f>COUNTIFS(Q5:Q35,"fr",oktober,"Skema 4")</f>
        <v>0</v>
      </c>
      <c r="AB59" s="94" t="s">
        <v>126</v>
      </c>
      <c r="AC59" s="95">
        <f>COUNTIFS(X5:X34,"fr",november,"Skema 4")</f>
        <v>0</v>
      </c>
      <c r="AI59" s="94" t="s">
        <v>126</v>
      </c>
      <c r="AJ59" s="95">
        <f>COUNTIFS(AE5:AE35,"fr",december,"Skema 4")</f>
        <v>0</v>
      </c>
      <c r="AN59" s="30"/>
      <c r="AP59" s="94" t="s">
        <v>126</v>
      </c>
      <c r="AQ59" s="95">
        <f>COUNTIFS(AL5:AL35,"fr",januar,"Skema 4")</f>
        <v>0</v>
      </c>
      <c r="AU59" s="30"/>
      <c r="AW59" s="94" t="s">
        <v>126</v>
      </c>
      <c r="AX59" s="95">
        <f>COUNTIFS(AS5:AS33,"fr",februar,"Skema 4")</f>
        <v>0</v>
      </c>
      <c r="BB59" s="30"/>
      <c r="BD59" s="94" t="s">
        <v>126</v>
      </c>
      <c r="BE59" s="95">
        <f>COUNTIFS(AZ5:AZ35,"fr",marts,"Skema 4")</f>
        <v>0</v>
      </c>
      <c r="BK59" s="94" t="s">
        <v>126</v>
      </c>
      <c r="BL59" s="95">
        <f>COUNTIFS(BG5:BG34,"fr",april,"Skema 4")</f>
        <v>0</v>
      </c>
      <c r="BR59" s="94" t="s">
        <v>126</v>
      </c>
      <c r="BS59" s="95">
        <f>COUNTIFS(BN5:BN35,"fr",maj,"Skema 4")</f>
        <v>0</v>
      </c>
      <c r="BY59" s="94" t="s">
        <v>126</v>
      </c>
      <c r="BZ59" s="95">
        <f>COUNTIFS(BU5:BU34,"fr",juni,"Skema 4")</f>
        <v>0</v>
      </c>
      <c r="CF59" s="94" t="s">
        <v>126</v>
      </c>
      <c r="CG59" s="95">
        <f>COUNTIFS(CB5:CB35,"fr",juli,"Skema 4")</f>
        <v>0</v>
      </c>
      <c r="CI59" s="30" t="str">
        <f>CI58</f>
        <v>Skema 4</v>
      </c>
      <c r="CJ59" s="35" t="s">
        <v>28</v>
      </c>
      <c r="CK59" s="223">
        <f>CG59+BZ59+BS59+BL59+BE59+AX59+AQ59+AJ59+AC59+V59+O59+H59</f>
        <v>0</v>
      </c>
    </row>
    <row r="60" spans="1:91">
      <c r="A60" s="54" t="s">
        <v>97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1"/>
      <c r="AO60" s="130"/>
      <c r="AP60" s="130"/>
      <c r="AQ60" s="130"/>
      <c r="AR60" s="130"/>
      <c r="AS60" s="130"/>
      <c r="AT60" s="130"/>
      <c r="AU60" s="131"/>
      <c r="AV60" s="130"/>
      <c r="AW60" s="130"/>
      <c r="AX60" s="130"/>
      <c r="AY60" s="130"/>
      <c r="AZ60" s="130"/>
      <c r="BA60" s="130"/>
      <c r="BB60" s="131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54">
        <f>SUM(CK37:CK59)</f>
        <v>200</v>
      </c>
      <c r="CL60" s="130"/>
      <c r="CM60" s="130"/>
    </row>
    <row r="61" spans="1:91" ht="20">
      <c r="A61" s="132" t="s">
        <v>89</v>
      </c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1"/>
      <c r="AO61" s="130"/>
      <c r="AP61" s="130"/>
      <c r="AQ61" s="130"/>
      <c r="AR61" s="130"/>
      <c r="AS61" s="130"/>
      <c r="AT61" s="130"/>
      <c r="AU61" s="131"/>
      <c r="AV61" s="130"/>
      <c r="AW61" s="130"/>
      <c r="AX61" s="130"/>
      <c r="AY61" s="130"/>
      <c r="AZ61" s="130"/>
      <c r="BA61" s="130"/>
      <c r="BB61" s="131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</row>
    <row r="62" spans="1:91" ht="16">
      <c r="A62" s="133" t="s">
        <v>99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1"/>
      <c r="AO62" s="130"/>
      <c r="AP62" s="130"/>
      <c r="AQ62" s="130"/>
      <c r="AR62" s="130"/>
      <c r="AS62" s="130"/>
      <c r="AT62" s="130"/>
      <c r="AU62" s="131"/>
      <c r="AV62" s="130"/>
      <c r="AW62" s="130"/>
      <c r="AX62" s="130"/>
      <c r="AY62" s="130"/>
      <c r="AZ62" s="130"/>
      <c r="BA62" s="130"/>
      <c r="BB62" s="131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</row>
    <row r="63" spans="1:91" ht="16">
      <c r="A63" s="133" t="s">
        <v>150</v>
      </c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1"/>
      <c r="AO63" s="130"/>
      <c r="AP63" s="130"/>
      <c r="AQ63" s="130"/>
      <c r="AR63" s="130"/>
      <c r="AS63" s="130"/>
      <c r="AT63" s="130"/>
      <c r="AU63" s="131"/>
      <c r="AV63" s="130"/>
      <c r="AW63" s="130"/>
      <c r="AX63" s="130"/>
      <c r="AY63" s="130"/>
      <c r="AZ63" s="130"/>
      <c r="BA63" s="130"/>
      <c r="BB63" s="131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  <c r="CL63" s="130"/>
      <c r="CM63" s="130"/>
    </row>
    <row r="64" spans="1:91" ht="16" hidden="1">
      <c r="A64" s="134" t="s">
        <v>138</v>
      </c>
      <c r="B64" s="130" t="s">
        <v>127</v>
      </c>
      <c r="C64" s="130"/>
      <c r="D64" s="130"/>
      <c r="E64" s="130"/>
      <c r="F64" s="130"/>
      <c r="G64" s="130"/>
      <c r="H64" s="130"/>
      <c r="I64" s="130" t="s">
        <v>127</v>
      </c>
      <c r="J64" s="130"/>
      <c r="K64" s="130"/>
      <c r="L64" s="130"/>
      <c r="M64" s="130"/>
      <c r="N64" s="130"/>
      <c r="O64" s="130"/>
      <c r="P64" s="130" t="s">
        <v>127</v>
      </c>
      <c r="Q64" s="130"/>
      <c r="R64" s="130"/>
      <c r="S64" s="130"/>
      <c r="T64" s="130"/>
      <c r="U64" s="130"/>
      <c r="V64" s="130"/>
      <c r="W64" s="130" t="s">
        <v>127</v>
      </c>
      <c r="X64" s="130"/>
      <c r="Y64" s="130"/>
      <c r="Z64" s="130"/>
      <c r="AA64" s="130"/>
      <c r="AB64" s="130"/>
      <c r="AC64" s="130"/>
      <c r="AD64" s="130" t="s">
        <v>127</v>
      </c>
      <c r="AE64" s="130"/>
      <c r="AF64" s="130"/>
      <c r="AG64" s="130"/>
      <c r="AH64" s="130"/>
      <c r="AI64" s="130"/>
      <c r="AJ64" s="130"/>
      <c r="AK64" s="130" t="s">
        <v>127</v>
      </c>
      <c r="AL64" s="130"/>
      <c r="AM64" s="130"/>
      <c r="AN64" s="131"/>
      <c r="AO64" s="130"/>
      <c r="AP64" s="130"/>
      <c r="AQ64" s="130"/>
      <c r="AR64" s="130" t="s">
        <v>127</v>
      </c>
      <c r="AS64" s="130"/>
      <c r="AT64" s="130"/>
      <c r="AU64" s="131"/>
      <c r="AV64" s="130"/>
      <c r="AW64" s="130"/>
      <c r="AX64" s="130"/>
      <c r="AY64" s="130" t="s">
        <v>127</v>
      </c>
      <c r="AZ64" s="130"/>
      <c r="BA64" s="130"/>
      <c r="BB64" s="131"/>
      <c r="BC64" s="130"/>
      <c r="BD64" s="130"/>
      <c r="BE64" s="130"/>
      <c r="BF64" s="130" t="s">
        <v>127</v>
      </c>
      <c r="BG64" s="130"/>
      <c r="BH64" s="130"/>
      <c r="BI64" s="130"/>
      <c r="BJ64" s="130"/>
      <c r="BK64" s="130"/>
      <c r="BL64" s="130"/>
      <c r="BM64" s="130" t="s">
        <v>127</v>
      </c>
      <c r="BN64" s="130"/>
      <c r="BO64" s="130"/>
      <c r="BP64" s="130"/>
      <c r="BQ64" s="130"/>
      <c r="BR64" s="130"/>
      <c r="BS64" s="130"/>
      <c r="BT64" s="130" t="s">
        <v>127</v>
      </c>
      <c r="BU64" s="130"/>
      <c r="BV64" s="130"/>
      <c r="BW64" s="130"/>
      <c r="BX64" s="130"/>
      <c r="BY64" s="130"/>
      <c r="BZ64" s="130"/>
      <c r="CA64" s="130" t="s">
        <v>127</v>
      </c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  <c r="CL64" s="130"/>
      <c r="CM64" s="130"/>
    </row>
    <row r="65" spans="1:91" hidden="1">
      <c r="A65" s="130"/>
      <c r="B65" s="130">
        <f>COUNTIF($D$5,"Skema 1")</f>
        <v>0</v>
      </c>
      <c r="C65" s="130"/>
      <c r="D65" s="130"/>
      <c r="E65" s="130"/>
      <c r="F65" s="130"/>
      <c r="G65" s="130"/>
      <c r="H65" s="130"/>
      <c r="I65" s="130">
        <f>COUNTIF($K$8:$K$9,"Skema 1")</f>
        <v>0</v>
      </c>
      <c r="J65" s="130"/>
      <c r="K65" s="130"/>
      <c r="L65" s="130"/>
      <c r="M65" s="130"/>
      <c r="N65" s="130"/>
      <c r="O65" s="130"/>
      <c r="P65" s="130">
        <f>COUNTIF($R$6:$R$7,"Skema 1")</f>
        <v>0</v>
      </c>
      <c r="Q65" s="130"/>
      <c r="R65" s="130"/>
      <c r="S65" s="130"/>
      <c r="T65" s="130"/>
      <c r="U65" s="130"/>
      <c r="V65" s="130"/>
      <c r="W65" s="130">
        <f>COUNTIF($Y$10:$Y$11,"Skema 1")</f>
        <v>0</v>
      </c>
      <c r="X65" s="130"/>
      <c r="Y65" s="130"/>
      <c r="Z65" s="130"/>
      <c r="AA65" s="130"/>
      <c r="AB65" s="130"/>
      <c r="AC65" s="130"/>
      <c r="AD65" s="130">
        <f>COUNTIF($AF$8:$AF$9,"Skema 1")</f>
        <v>0</v>
      </c>
      <c r="AE65" s="130"/>
      <c r="AF65" s="130"/>
      <c r="AG65" s="130"/>
      <c r="AH65" s="130"/>
      <c r="AI65" s="130"/>
      <c r="AJ65" s="130"/>
      <c r="AK65" s="130">
        <f>COUNTIF($AM$5:$AM$6,"Skema 1")</f>
        <v>0</v>
      </c>
      <c r="AL65" s="130"/>
      <c r="AM65" s="130"/>
      <c r="AN65" s="131"/>
      <c r="AO65" s="130"/>
      <c r="AP65" s="130"/>
      <c r="AQ65" s="130"/>
      <c r="AR65" s="130">
        <f>COUNTIF($AT$9:$AT$10,"Skema 1")</f>
        <v>0</v>
      </c>
      <c r="AS65" s="130"/>
      <c r="AT65" s="130"/>
      <c r="AU65" s="131"/>
      <c r="AV65" s="130"/>
      <c r="AW65" s="130"/>
      <c r="AX65" s="130"/>
      <c r="AY65" s="130">
        <f>COUNTIF($BA$8:$BA$9,"Skema 1")</f>
        <v>0</v>
      </c>
      <c r="AZ65" s="130"/>
      <c r="BA65" s="130"/>
      <c r="BB65" s="131"/>
      <c r="BC65" s="130"/>
      <c r="BD65" s="130"/>
      <c r="BE65" s="130"/>
      <c r="BF65" s="130">
        <f>COUNTIF($BH$5:$BH$6,"Skema 1")</f>
        <v>0</v>
      </c>
      <c r="BG65" s="130"/>
      <c r="BH65" s="130"/>
      <c r="BI65" s="130"/>
      <c r="BJ65" s="130"/>
      <c r="BK65" s="130"/>
      <c r="BL65" s="130"/>
      <c r="BM65" s="130">
        <f>COUNTIF($BO$10:$BO$11,"Skema 1")</f>
        <v>0</v>
      </c>
      <c r="BN65" s="130"/>
      <c r="BO65" s="130"/>
      <c r="BP65" s="130"/>
      <c r="BQ65" s="130"/>
      <c r="BR65" s="130"/>
      <c r="BS65" s="130"/>
      <c r="BT65" s="130">
        <f>COUNTIF($BV$7:$BV$8,"Skema 1")</f>
        <v>0</v>
      </c>
      <c r="BU65" s="130"/>
      <c r="BV65" s="130"/>
      <c r="BW65" s="130"/>
      <c r="BX65" s="130"/>
      <c r="BY65" s="130"/>
      <c r="BZ65" s="130"/>
      <c r="CA65" s="130">
        <f>COUNTIF($CC$5:$CC$6,"Skema 1")</f>
        <v>0</v>
      </c>
      <c r="CB65" s="130"/>
      <c r="CC65" s="130"/>
      <c r="CD65" s="130"/>
      <c r="CE65" s="130"/>
      <c r="CF65" s="130"/>
      <c r="CG65" s="130"/>
      <c r="CH65" s="130"/>
      <c r="CI65" s="130">
        <f>SUM(A65:CH65)</f>
        <v>0</v>
      </c>
      <c r="CJ65" s="130"/>
      <c r="CK65" s="130"/>
      <c r="CL65" s="130"/>
      <c r="CM65" s="130"/>
    </row>
    <row r="66" spans="1:91" hidden="1">
      <c r="A66" s="130"/>
      <c r="B66" s="130">
        <f>COUNTIF($D$11:$D$12,"Skema 1")</f>
        <v>0</v>
      </c>
      <c r="C66" s="130"/>
      <c r="D66" s="130"/>
      <c r="E66" s="130"/>
      <c r="F66" s="130"/>
      <c r="G66" s="130"/>
      <c r="H66" s="130"/>
      <c r="I66" s="130">
        <f>COUNTIF($K$15:$K$16,"Skema 1")</f>
        <v>0</v>
      </c>
      <c r="J66" s="130"/>
      <c r="K66" s="130"/>
      <c r="L66" s="130"/>
      <c r="M66" s="130"/>
      <c r="N66" s="130"/>
      <c r="O66" s="130"/>
      <c r="P66" s="130">
        <f>COUNTIF($R$13:$R$14,"Skema 1")</f>
        <v>0</v>
      </c>
      <c r="Q66" s="130"/>
      <c r="R66" s="130"/>
      <c r="S66" s="130"/>
      <c r="T66" s="130"/>
      <c r="U66" s="130"/>
      <c r="V66" s="130"/>
      <c r="W66" s="130">
        <f>COUNTIF($Y$17:$Y$18,"Skema 1")</f>
        <v>0</v>
      </c>
      <c r="X66" s="130"/>
      <c r="Y66" s="130"/>
      <c r="Z66" s="130"/>
      <c r="AA66" s="130"/>
      <c r="AB66" s="130"/>
      <c r="AC66" s="130"/>
      <c r="AD66" s="130">
        <f>COUNTIF($AF$15:$AF$16,"Skema 1")</f>
        <v>0</v>
      </c>
      <c r="AE66" s="130"/>
      <c r="AF66" s="130"/>
      <c r="AG66" s="130"/>
      <c r="AH66" s="130"/>
      <c r="AI66" s="130"/>
      <c r="AJ66" s="130"/>
      <c r="AK66" s="130">
        <f>COUNTIF($AM$12:$AM$13,"Skema 1")</f>
        <v>0</v>
      </c>
      <c r="AL66" s="130"/>
      <c r="AM66" s="130"/>
      <c r="AN66" s="131"/>
      <c r="AO66" s="130"/>
      <c r="AP66" s="130"/>
      <c r="AQ66" s="130"/>
      <c r="AR66" s="130">
        <f>COUNTIF($AT$16:$AT$17,"Skema 1")</f>
        <v>0</v>
      </c>
      <c r="AS66" s="130"/>
      <c r="AT66" s="130"/>
      <c r="AU66" s="131"/>
      <c r="AV66" s="130"/>
      <c r="AW66" s="130"/>
      <c r="AX66" s="130"/>
      <c r="AY66" s="130">
        <f>COUNTIF($BA$15:$BA$16,"Skema 1")</f>
        <v>0</v>
      </c>
      <c r="AZ66" s="130"/>
      <c r="BA66" s="130"/>
      <c r="BB66" s="131"/>
      <c r="BC66" s="130"/>
      <c r="BD66" s="130"/>
      <c r="BE66" s="130"/>
      <c r="BF66" s="130">
        <f>COUNTIF($BH$12:$BH$13,"Skema 1")</f>
        <v>0</v>
      </c>
      <c r="BG66" s="130"/>
      <c r="BH66" s="130"/>
      <c r="BI66" s="130"/>
      <c r="BJ66" s="130"/>
      <c r="BK66" s="130"/>
      <c r="BL66" s="130"/>
      <c r="BM66" s="130">
        <f>COUNTIF($BO$17:$BO$18,"Skema 1")</f>
        <v>0</v>
      </c>
      <c r="BN66" s="130"/>
      <c r="BO66" s="130"/>
      <c r="BP66" s="130"/>
      <c r="BQ66" s="130"/>
      <c r="BR66" s="130"/>
      <c r="BS66" s="130"/>
      <c r="BT66" s="130">
        <f>COUNTIF($BV$14:$BV$15,"Skema 1")</f>
        <v>0</v>
      </c>
      <c r="BU66" s="130"/>
      <c r="BV66" s="130"/>
      <c r="BW66" s="130"/>
      <c r="BX66" s="130"/>
      <c r="BY66" s="130"/>
      <c r="BZ66" s="130"/>
      <c r="CA66" s="130">
        <f>COUNTIF($CC$12:$CC$13,"Skema 1")</f>
        <v>0</v>
      </c>
      <c r="CB66" s="130"/>
      <c r="CC66" s="130"/>
      <c r="CD66" s="130"/>
      <c r="CE66" s="130"/>
      <c r="CF66" s="130"/>
      <c r="CG66" s="130"/>
      <c r="CH66" s="130"/>
      <c r="CI66" s="130">
        <f t="shared" ref="CI66:CI96" si="36">SUM(A66:CH66)</f>
        <v>0</v>
      </c>
      <c r="CJ66" s="130"/>
      <c r="CK66" s="130"/>
      <c r="CL66" s="130"/>
      <c r="CM66" s="130"/>
    </row>
    <row r="67" spans="1:91" hidden="1">
      <c r="A67" s="130"/>
      <c r="B67" s="130">
        <f>COUNTIF($D$18:$D$19,"Skema 1")</f>
        <v>0</v>
      </c>
      <c r="C67" s="130"/>
      <c r="D67" s="130"/>
      <c r="E67" s="130"/>
      <c r="F67" s="130"/>
      <c r="G67" s="130"/>
      <c r="H67" s="130"/>
      <c r="I67" s="130">
        <f>COUNTIF($K$22:$K$23,"Skema 1")</f>
        <v>0</v>
      </c>
      <c r="J67" s="130"/>
      <c r="K67" s="130"/>
      <c r="L67" s="130"/>
      <c r="M67" s="130"/>
      <c r="N67" s="130"/>
      <c r="O67" s="130"/>
      <c r="P67" s="130">
        <f>COUNTIF($R$20:$R$21,"Skema 1")</f>
        <v>0</v>
      </c>
      <c r="Q67" s="130"/>
      <c r="R67" s="130"/>
      <c r="S67" s="130"/>
      <c r="T67" s="130"/>
      <c r="U67" s="130"/>
      <c r="V67" s="130"/>
      <c r="W67" s="130">
        <f>COUNTIF($Y$24:$Y$25,"Skema 1")</f>
        <v>0</v>
      </c>
      <c r="X67" s="130"/>
      <c r="Y67" s="130"/>
      <c r="Z67" s="130"/>
      <c r="AA67" s="130"/>
      <c r="AB67" s="130"/>
      <c r="AC67" s="130"/>
      <c r="AD67" s="130">
        <f>COUNTIF($AF$22:$AF$23,"Skema 1")</f>
        <v>0</v>
      </c>
      <c r="AE67" s="130"/>
      <c r="AF67" s="130"/>
      <c r="AG67" s="130"/>
      <c r="AH67" s="130"/>
      <c r="AI67" s="130"/>
      <c r="AJ67" s="130"/>
      <c r="AK67" s="130">
        <f>COUNTIF($AM$19:$AM$20,"Skema 1")</f>
        <v>0</v>
      </c>
      <c r="AL67" s="130"/>
      <c r="AM67" s="130"/>
      <c r="AN67" s="131"/>
      <c r="AO67" s="130"/>
      <c r="AP67" s="130"/>
      <c r="AQ67" s="130"/>
      <c r="AR67" s="130">
        <f>COUNTIF($AT$23:$AT$24,"Skema 1")</f>
        <v>0</v>
      </c>
      <c r="AS67" s="130"/>
      <c r="AT67" s="130"/>
      <c r="AU67" s="131"/>
      <c r="AV67" s="130"/>
      <c r="AW67" s="130"/>
      <c r="AX67" s="130"/>
      <c r="AY67" s="130">
        <f>COUNTIF($BA$22:$BA$23,"Skema 1")</f>
        <v>0</v>
      </c>
      <c r="AZ67" s="130"/>
      <c r="BA67" s="130"/>
      <c r="BB67" s="131"/>
      <c r="BC67" s="130"/>
      <c r="BD67" s="130"/>
      <c r="BE67" s="130"/>
      <c r="BF67" s="130">
        <f>COUNTIF($BH$19:$BH$20,"Skema 1")</f>
        <v>0</v>
      </c>
      <c r="BG67" s="130"/>
      <c r="BH67" s="130"/>
      <c r="BI67" s="130"/>
      <c r="BJ67" s="130"/>
      <c r="BK67" s="130"/>
      <c r="BL67" s="130"/>
      <c r="BM67" s="130">
        <f>COUNTIF($BO$24:$BO$25,"Skema 1")</f>
        <v>0</v>
      </c>
      <c r="BN67" s="130"/>
      <c r="BO67" s="130"/>
      <c r="BP67" s="130"/>
      <c r="BQ67" s="130"/>
      <c r="BR67" s="130"/>
      <c r="BS67" s="130"/>
      <c r="BT67" s="130">
        <f>COUNTIF($BV$21:$BV$22,"Skema 1")</f>
        <v>0</v>
      </c>
      <c r="BU67" s="130"/>
      <c r="BV67" s="130"/>
      <c r="BW67" s="130"/>
      <c r="BX67" s="130"/>
      <c r="BY67" s="130"/>
      <c r="BZ67" s="130"/>
      <c r="CA67" s="130">
        <f>COUNTIF($CC$19:$CC$20,"Skema 1")</f>
        <v>0</v>
      </c>
      <c r="CB67" s="130"/>
      <c r="CC67" s="130"/>
      <c r="CD67" s="130"/>
      <c r="CE67" s="130"/>
      <c r="CF67" s="130"/>
      <c r="CG67" s="130"/>
      <c r="CH67" s="130"/>
      <c r="CI67" s="130">
        <f t="shared" si="36"/>
        <v>0</v>
      </c>
      <c r="CJ67" s="130"/>
      <c r="CK67" s="130"/>
      <c r="CL67" s="130"/>
      <c r="CM67" s="130"/>
    </row>
    <row r="68" spans="1:91" hidden="1">
      <c r="A68" s="130"/>
      <c r="B68" s="130">
        <f>COUNTIF($D$25:$D$26,"Skema 1")</f>
        <v>0</v>
      </c>
      <c r="C68" s="130"/>
      <c r="D68" s="130"/>
      <c r="E68" s="130"/>
      <c r="F68" s="130"/>
      <c r="G68" s="130"/>
      <c r="H68" s="130"/>
      <c r="I68" s="130">
        <f>COUNTIF($K$29:$K$30,"Skema 1")</f>
        <v>0</v>
      </c>
      <c r="J68" s="130"/>
      <c r="K68" s="130"/>
      <c r="L68" s="130"/>
      <c r="M68" s="130"/>
      <c r="N68" s="130"/>
      <c r="O68" s="130"/>
      <c r="P68" s="130">
        <f>COUNTIF($R$27:$R$28,"Skema 1")</f>
        <v>0</v>
      </c>
      <c r="Q68" s="130"/>
      <c r="R68" s="130"/>
      <c r="S68" s="130"/>
      <c r="T68" s="130"/>
      <c r="U68" s="130"/>
      <c r="V68" s="130"/>
      <c r="W68" s="130">
        <f>COUNTIF($Y$31:$Y$32,"Skema 1")</f>
        <v>0</v>
      </c>
      <c r="X68" s="130"/>
      <c r="Y68" s="130"/>
      <c r="Z68" s="130"/>
      <c r="AA68" s="130"/>
      <c r="AB68" s="130"/>
      <c r="AC68" s="130"/>
      <c r="AD68" s="130">
        <f>COUNTIF($AF$29:$AF$30,"Skema 1")</f>
        <v>0</v>
      </c>
      <c r="AE68" s="130"/>
      <c r="AF68" s="130"/>
      <c r="AG68" s="130"/>
      <c r="AH68" s="130"/>
      <c r="AI68" s="130"/>
      <c r="AJ68" s="130"/>
      <c r="AK68" s="130">
        <f>COUNTIF($AM$26:$AM$27,"Skema 1")</f>
        <v>0</v>
      </c>
      <c r="AL68" s="130"/>
      <c r="AM68" s="130"/>
      <c r="AN68" s="131"/>
      <c r="AO68" s="130"/>
      <c r="AP68" s="130"/>
      <c r="AQ68" s="130"/>
      <c r="AR68" s="130">
        <f>COUNTIF($AT$30:$AT$31,"Skema 1")</f>
        <v>0</v>
      </c>
      <c r="AS68" s="130"/>
      <c r="AT68" s="130"/>
      <c r="AU68" s="131"/>
      <c r="AV68" s="130"/>
      <c r="AW68" s="130"/>
      <c r="AX68" s="130"/>
      <c r="AY68" s="130">
        <f>COUNTIF($BA$29:$BA$30,"Skema 1")</f>
        <v>0</v>
      </c>
      <c r="AZ68" s="130"/>
      <c r="BA68" s="130"/>
      <c r="BB68" s="131"/>
      <c r="BC68" s="130"/>
      <c r="BD68" s="130"/>
      <c r="BE68" s="130"/>
      <c r="BF68" s="130">
        <f>COUNTIF($BH$26:$BH$27,"Skema 1")</f>
        <v>0</v>
      </c>
      <c r="BG68" s="130"/>
      <c r="BH68" s="130"/>
      <c r="BI68" s="130"/>
      <c r="BJ68" s="130"/>
      <c r="BK68" s="130"/>
      <c r="BL68" s="130"/>
      <c r="BM68" s="130">
        <f>COUNTIF($BO$31:$BO$32,"Skema 1")</f>
        <v>0</v>
      </c>
      <c r="BN68" s="130"/>
      <c r="BO68" s="130"/>
      <c r="BP68" s="130"/>
      <c r="BQ68" s="130"/>
      <c r="BR68" s="130"/>
      <c r="BS68" s="130"/>
      <c r="BT68" s="130">
        <f>COUNTIF($BV$28:$BV$29,"Skema 1")</f>
        <v>0</v>
      </c>
      <c r="BU68" s="130"/>
      <c r="BV68" s="130"/>
      <c r="BW68" s="130"/>
      <c r="BX68" s="130"/>
      <c r="BY68" s="130"/>
      <c r="BZ68" s="130"/>
      <c r="CA68" s="130">
        <f>COUNTIF($CC$26:$CC$27,"Skema 1")</f>
        <v>0</v>
      </c>
      <c r="CB68" s="130"/>
      <c r="CC68" s="130"/>
      <c r="CD68" s="130"/>
      <c r="CE68" s="130"/>
      <c r="CF68" s="130"/>
      <c r="CG68" s="130"/>
      <c r="CH68" s="130"/>
      <c r="CI68" s="130">
        <f t="shared" si="36"/>
        <v>0</v>
      </c>
      <c r="CJ68" s="130"/>
      <c r="CK68" s="130"/>
      <c r="CL68" s="130"/>
      <c r="CM68" s="130"/>
    </row>
    <row r="69" spans="1:91" hidden="1">
      <c r="A69" s="130"/>
      <c r="B69" s="130">
        <f>COUNTIF($D$32:$D$33,"Skema 1")</f>
        <v>0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>
        <f>COUNTIF($R$34:$R$35,"Skema 1")</f>
        <v>0</v>
      </c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>
        <f>COUNTIF($AM$33:$AM$34,"Skema 1")</f>
        <v>0</v>
      </c>
      <c r="AL69" s="130"/>
      <c r="AM69" s="130"/>
      <c r="AN69" s="131"/>
      <c r="AO69" s="130"/>
      <c r="AP69" s="130"/>
      <c r="AQ69" s="130"/>
      <c r="AR69" s="130"/>
      <c r="AS69" s="130"/>
      <c r="AT69" s="130"/>
      <c r="AU69" s="131"/>
      <c r="AV69" s="130"/>
      <c r="AW69" s="130"/>
      <c r="AX69" s="130"/>
      <c r="AY69" s="130"/>
      <c r="AZ69" s="130"/>
      <c r="BA69" s="130"/>
      <c r="BB69" s="131"/>
      <c r="BC69" s="130"/>
      <c r="BD69" s="130"/>
      <c r="BE69" s="130"/>
      <c r="BF69" s="130">
        <f>COUNTIF($BH$33:$BH$34,"Skema 1")</f>
        <v>0</v>
      </c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>
        <f>COUNTIF($CC$33:$CC$34,"Skema 1")</f>
        <v>0</v>
      </c>
      <c r="CB69" s="130"/>
      <c r="CC69" s="130"/>
      <c r="CD69" s="130"/>
      <c r="CE69" s="130"/>
      <c r="CF69" s="130"/>
      <c r="CG69" s="130"/>
      <c r="CH69" s="130"/>
      <c r="CI69" s="130">
        <f t="shared" si="36"/>
        <v>0</v>
      </c>
      <c r="CJ69" s="130"/>
      <c r="CK69" s="130"/>
      <c r="CL69" s="130"/>
      <c r="CM69" s="130"/>
    </row>
    <row r="70" spans="1:91" hidden="1">
      <c r="A70" s="130"/>
      <c r="B70" s="130" t="s">
        <v>128</v>
      </c>
      <c r="C70" s="130"/>
      <c r="D70" s="130"/>
      <c r="E70" s="130"/>
      <c r="F70" s="130"/>
      <c r="G70" s="130"/>
      <c r="H70" s="130"/>
      <c r="I70" s="130" t="s">
        <v>128</v>
      </c>
      <c r="J70" s="130"/>
      <c r="K70" s="130"/>
      <c r="L70" s="130"/>
      <c r="M70" s="130"/>
      <c r="N70" s="130"/>
      <c r="O70" s="130"/>
      <c r="P70" s="130" t="s">
        <v>128</v>
      </c>
      <c r="Q70" s="130"/>
      <c r="R70" s="130"/>
      <c r="S70" s="130"/>
      <c r="T70" s="130"/>
      <c r="U70" s="130"/>
      <c r="V70" s="130"/>
      <c r="W70" s="130" t="s">
        <v>128</v>
      </c>
      <c r="X70" s="130"/>
      <c r="Y70" s="130"/>
      <c r="Z70" s="130"/>
      <c r="AA70" s="130"/>
      <c r="AB70" s="130"/>
      <c r="AC70" s="130"/>
      <c r="AD70" s="130" t="s">
        <v>128</v>
      </c>
      <c r="AE70" s="130"/>
      <c r="AF70" s="130"/>
      <c r="AG70" s="130"/>
      <c r="AH70" s="130"/>
      <c r="AI70" s="130"/>
      <c r="AJ70" s="130"/>
      <c r="AK70" s="130" t="s">
        <v>128</v>
      </c>
      <c r="AL70" s="130"/>
      <c r="AM70" s="130"/>
      <c r="AN70" s="131"/>
      <c r="AO70" s="130"/>
      <c r="AP70" s="130"/>
      <c r="AQ70" s="130"/>
      <c r="AR70" s="130" t="s">
        <v>128</v>
      </c>
      <c r="AS70" s="130"/>
      <c r="AT70" s="130"/>
      <c r="AU70" s="131"/>
      <c r="AV70" s="130"/>
      <c r="AW70" s="130"/>
      <c r="AX70" s="130"/>
      <c r="AY70" s="130" t="s">
        <v>128</v>
      </c>
      <c r="AZ70" s="130"/>
      <c r="BA70" s="130"/>
      <c r="BB70" s="131"/>
      <c r="BC70" s="130"/>
      <c r="BD70" s="130"/>
      <c r="BE70" s="130"/>
      <c r="BF70" s="130" t="s">
        <v>128</v>
      </c>
      <c r="BG70" s="130"/>
      <c r="BH70" s="130"/>
      <c r="BI70" s="130"/>
      <c r="BJ70" s="130"/>
      <c r="BK70" s="130"/>
      <c r="BL70" s="130"/>
      <c r="BM70" s="130" t="s">
        <v>128</v>
      </c>
      <c r="BN70" s="130"/>
      <c r="BO70" s="130"/>
      <c r="BP70" s="130"/>
      <c r="BQ70" s="130"/>
      <c r="BR70" s="130"/>
      <c r="BS70" s="130"/>
      <c r="BT70" s="130" t="s">
        <v>128</v>
      </c>
      <c r="BU70" s="130"/>
      <c r="BV70" s="130"/>
      <c r="BW70" s="130"/>
      <c r="BX70" s="130"/>
      <c r="BY70" s="130"/>
      <c r="BZ70" s="130"/>
      <c r="CA70" s="130" t="s">
        <v>128</v>
      </c>
      <c r="CB70" s="130"/>
      <c r="CC70" s="130"/>
      <c r="CD70" s="130"/>
      <c r="CE70" s="130"/>
      <c r="CF70" s="130"/>
      <c r="CG70" s="130"/>
      <c r="CH70" s="130"/>
      <c r="CI70" s="130">
        <f t="shared" si="36"/>
        <v>0</v>
      </c>
      <c r="CJ70" s="130"/>
      <c r="CK70" s="130"/>
      <c r="CL70" s="130"/>
      <c r="CM70" s="130"/>
    </row>
    <row r="71" spans="1:91" hidden="1">
      <c r="A71" s="130"/>
      <c r="B71" s="130">
        <f>COUNTIF($D$5,"Skema 2")</f>
        <v>0</v>
      </c>
      <c r="C71" s="130"/>
      <c r="D71" s="130"/>
      <c r="E71" s="130"/>
      <c r="F71" s="130"/>
      <c r="G71" s="130"/>
      <c r="H71" s="130"/>
      <c r="I71" s="130">
        <f>COUNTIF($K$8:$K$9,"Skema 2")</f>
        <v>0</v>
      </c>
      <c r="J71" s="130"/>
      <c r="K71" s="130"/>
      <c r="L71" s="130"/>
      <c r="M71" s="130"/>
      <c r="N71" s="130"/>
      <c r="O71" s="130"/>
      <c r="P71" s="130">
        <f>COUNTIF($R$6:$R$7,"Skema 2")</f>
        <v>0</v>
      </c>
      <c r="Q71" s="130"/>
      <c r="R71" s="130"/>
      <c r="S71" s="130"/>
      <c r="T71" s="130"/>
      <c r="U71" s="130"/>
      <c r="V71" s="130"/>
      <c r="W71" s="130">
        <f>COUNTIF($Y$10:$Y$11,"Skema 2")</f>
        <v>0</v>
      </c>
      <c r="X71" s="130"/>
      <c r="Y71" s="130"/>
      <c r="Z71" s="130"/>
      <c r="AA71" s="130"/>
      <c r="AB71" s="130"/>
      <c r="AC71" s="130"/>
      <c r="AD71" s="130">
        <f>COUNTIF($AF$8:$AF$9,"Skema 2")</f>
        <v>0</v>
      </c>
      <c r="AE71" s="130"/>
      <c r="AF71" s="130"/>
      <c r="AG71" s="130"/>
      <c r="AH71" s="130"/>
      <c r="AI71" s="130"/>
      <c r="AJ71" s="130"/>
      <c r="AK71" s="130">
        <f>COUNTIF($AM$5:$AM$6,"Skema 2")</f>
        <v>0</v>
      </c>
      <c r="AL71" s="130"/>
      <c r="AM71" s="130"/>
      <c r="AN71" s="131"/>
      <c r="AO71" s="130"/>
      <c r="AP71" s="130"/>
      <c r="AQ71" s="130"/>
      <c r="AR71" s="130">
        <f>COUNTIF($AT$9:$AT$10,"Skema 2")</f>
        <v>0</v>
      </c>
      <c r="AS71" s="130"/>
      <c r="AT71" s="130"/>
      <c r="AU71" s="131"/>
      <c r="AV71" s="130"/>
      <c r="AW71" s="130"/>
      <c r="AX71" s="130"/>
      <c r="AY71" s="130">
        <f>COUNTIF($BA$8:$BA$9,"Skema 2")</f>
        <v>0</v>
      </c>
      <c r="AZ71" s="130"/>
      <c r="BA71" s="130"/>
      <c r="BB71" s="131"/>
      <c r="BC71" s="130"/>
      <c r="BD71" s="130"/>
      <c r="BE71" s="130"/>
      <c r="BF71" s="130">
        <f>COUNTIF($BH$5:$BH$6,"Skema 2")</f>
        <v>0</v>
      </c>
      <c r="BG71" s="130"/>
      <c r="BH71" s="130"/>
      <c r="BI71" s="130"/>
      <c r="BJ71" s="130"/>
      <c r="BK71" s="130"/>
      <c r="BL71" s="130"/>
      <c r="BM71" s="130">
        <f>COUNTIF($BO$10:$BO$11,"Skema 2")</f>
        <v>0</v>
      </c>
      <c r="BN71" s="130"/>
      <c r="BO71" s="130"/>
      <c r="BP71" s="130"/>
      <c r="BQ71" s="130"/>
      <c r="BR71" s="130"/>
      <c r="BS71" s="130"/>
      <c r="BT71" s="130">
        <f>COUNTIF($BV$7:$BV$8,"Skema 2")</f>
        <v>0</v>
      </c>
      <c r="BU71" s="130"/>
      <c r="BV71" s="130"/>
      <c r="BW71" s="130"/>
      <c r="BX71" s="130"/>
      <c r="BY71" s="130"/>
      <c r="BZ71" s="130"/>
      <c r="CA71" s="130">
        <f>COUNTIF($CC$5:$CC$6,"Skema 2")</f>
        <v>0</v>
      </c>
      <c r="CB71" s="130"/>
      <c r="CC71" s="130"/>
      <c r="CD71" s="130"/>
      <c r="CE71" s="130"/>
      <c r="CF71" s="130"/>
      <c r="CG71" s="130"/>
      <c r="CH71" s="130"/>
      <c r="CI71" s="130">
        <f t="shared" si="36"/>
        <v>0</v>
      </c>
      <c r="CJ71" s="130"/>
      <c r="CK71" s="130"/>
      <c r="CL71" s="130"/>
      <c r="CM71" s="130"/>
    </row>
    <row r="72" spans="1:91" hidden="1">
      <c r="A72" s="130"/>
      <c r="B72" s="130">
        <f>COUNTIF($D$11:$D$12,"Skema 2")</f>
        <v>0</v>
      </c>
      <c r="C72" s="130"/>
      <c r="D72" s="130"/>
      <c r="E72" s="130"/>
      <c r="F72" s="130"/>
      <c r="G72" s="130"/>
      <c r="H72" s="130"/>
      <c r="I72" s="130">
        <f>COUNTIF($K$15:$K$16,"Skema 2")</f>
        <v>0</v>
      </c>
      <c r="J72" s="130"/>
      <c r="K72" s="130"/>
      <c r="L72" s="130"/>
      <c r="M72" s="130"/>
      <c r="N72" s="130"/>
      <c r="O72" s="130"/>
      <c r="P72" s="130">
        <f>COUNTIF($R$13:$R$14,"Skema 2")</f>
        <v>0</v>
      </c>
      <c r="Q72" s="130"/>
      <c r="R72" s="130"/>
      <c r="S72" s="130"/>
      <c r="T72" s="130"/>
      <c r="U72" s="130"/>
      <c r="V72" s="130"/>
      <c r="W72" s="130">
        <f>COUNTIF($Y$17:$Y$18,"Skema 2")</f>
        <v>0</v>
      </c>
      <c r="X72" s="130"/>
      <c r="Y72" s="130"/>
      <c r="Z72" s="130"/>
      <c r="AA72" s="130"/>
      <c r="AB72" s="130"/>
      <c r="AC72" s="130"/>
      <c r="AD72" s="130">
        <f>COUNTIF($AF$15:$AF$16,"Skema 2")</f>
        <v>0</v>
      </c>
      <c r="AE72" s="130"/>
      <c r="AF72" s="130"/>
      <c r="AG72" s="130"/>
      <c r="AH72" s="130"/>
      <c r="AI72" s="130"/>
      <c r="AJ72" s="130"/>
      <c r="AK72" s="130">
        <f>COUNTIF($AM$12:$AM$13,"Skema 2")</f>
        <v>0</v>
      </c>
      <c r="AL72" s="130"/>
      <c r="AM72" s="130"/>
      <c r="AN72" s="131"/>
      <c r="AO72" s="130"/>
      <c r="AP72" s="130"/>
      <c r="AQ72" s="130"/>
      <c r="AR72" s="130">
        <f>COUNTIF($AT$16:$AT$17,"Skema 2")</f>
        <v>0</v>
      </c>
      <c r="AS72" s="130"/>
      <c r="AT72" s="130"/>
      <c r="AU72" s="131"/>
      <c r="AV72" s="130"/>
      <c r="AW72" s="130"/>
      <c r="AX72" s="130"/>
      <c r="AY72" s="130">
        <f>COUNTIF($BA$15:$BA$16,"Skema 2")</f>
        <v>0</v>
      </c>
      <c r="AZ72" s="130"/>
      <c r="BA72" s="130"/>
      <c r="BB72" s="131"/>
      <c r="BC72" s="130"/>
      <c r="BD72" s="130"/>
      <c r="BE72" s="130"/>
      <c r="BF72" s="130">
        <f>COUNTIF($BH$12:$BH$13,"Skema 2")</f>
        <v>0</v>
      </c>
      <c r="BG72" s="130"/>
      <c r="BH72" s="130"/>
      <c r="BI72" s="130"/>
      <c r="BJ72" s="130"/>
      <c r="BK72" s="130"/>
      <c r="BL72" s="130"/>
      <c r="BM72" s="130">
        <f>COUNTIF($BO$17:$BO$18,"Skema 2")</f>
        <v>0</v>
      </c>
      <c r="BN72" s="130"/>
      <c r="BO72" s="130"/>
      <c r="BP72" s="130"/>
      <c r="BQ72" s="130"/>
      <c r="BR72" s="130"/>
      <c r="BS72" s="130"/>
      <c r="BT72" s="130">
        <f>COUNTIF($BV$14:$BV$15,"Skema 2")</f>
        <v>0</v>
      </c>
      <c r="BU72" s="130"/>
      <c r="BV72" s="130"/>
      <c r="BW72" s="130"/>
      <c r="BX72" s="130"/>
      <c r="BY72" s="130"/>
      <c r="BZ72" s="130"/>
      <c r="CA72" s="130">
        <f>COUNTIF($CC$12:$CC$13,"Skema 2")</f>
        <v>0</v>
      </c>
      <c r="CB72" s="130"/>
      <c r="CC72" s="130"/>
      <c r="CD72" s="130"/>
      <c r="CE72" s="130"/>
      <c r="CF72" s="130"/>
      <c r="CG72" s="130"/>
      <c r="CH72" s="130"/>
      <c r="CI72" s="130">
        <f t="shared" si="36"/>
        <v>0</v>
      </c>
      <c r="CJ72" s="130"/>
      <c r="CK72" s="130"/>
      <c r="CL72" s="130"/>
      <c r="CM72" s="130"/>
    </row>
    <row r="73" spans="1:91" hidden="1">
      <c r="A73" s="130"/>
      <c r="B73" s="130">
        <f>COUNTIF($D$18:$D$19,"Skema 2")</f>
        <v>0</v>
      </c>
      <c r="C73" s="130"/>
      <c r="D73" s="130"/>
      <c r="E73" s="130"/>
      <c r="F73" s="130"/>
      <c r="G73" s="130"/>
      <c r="H73" s="130"/>
      <c r="I73" s="130">
        <f>COUNTIF($K$22:$K$23,"Skema 2")</f>
        <v>0</v>
      </c>
      <c r="J73" s="130"/>
      <c r="K73" s="130"/>
      <c r="L73" s="130"/>
      <c r="M73" s="130"/>
      <c r="N73" s="130"/>
      <c r="O73" s="130"/>
      <c r="P73" s="130">
        <f>COUNTIF($R$20:$R$21,"Skema 2")</f>
        <v>0</v>
      </c>
      <c r="Q73" s="130"/>
      <c r="R73" s="130"/>
      <c r="S73" s="130"/>
      <c r="T73" s="130"/>
      <c r="U73" s="130"/>
      <c r="V73" s="130"/>
      <c r="W73" s="130">
        <f>COUNTIF($Y$24:$Y$25,"Skema 2")</f>
        <v>0</v>
      </c>
      <c r="X73" s="130"/>
      <c r="Y73" s="130"/>
      <c r="Z73" s="130"/>
      <c r="AA73" s="130"/>
      <c r="AB73" s="130"/>
      <c r="AC73" s="130"/>
      <c r="AD73" s="130">
        <f>COUNTIF($AF$22:$AF$23,"Skema 2")</f>
        <v>0</v>
      </c>
      <c r="AE73" s="130"/>
      <c r="AF73" s="130"/>
      <c r="AG73" s="130"/>
      <c r="AH73" s="130"/>
      <c r="AI73" s="130"/>
      <c r="AJ73" s="130"/>
      <c r="AK73" s="130">
        <f>COUNTIF($AM$19:$AM$20,"Skema 2")</f>
        <v>0</v>
      </c>
      <c r="AL73" s="130"/>
      <c r="AM73" s="130"/>
      <c r="AN73" s="131"/>
      <c r="AO73" s="130"/>
      <c r="AP73" s="130"/>
      <c r="AQ73" s="130"/>
      <c r="AR73" s="130">
        <f>COUNTIF($AT$23:$AT$24,"Skema 2")</f>
        <v>0</v>
      </c>
      <c r="AS73" s="130"/>
      <c r="AT73" s="130"/>
      <c r="AU73" s="131"/>
      <c r="AV73" s="130"/>
      <c r="AW73" s="130"/>
      <c r="AX73" s="130"/>
      <c r="AY73" s="130">
        <f>COUNTIF($BA$22:$BA$23,"Skema 2")</f>
        <v>0</v>
      </c>
      <c r="AZ73" s="130"/>
      <c r="BA73" s="130"/>
      <c r="BB73" s="131"/>
      <c r="BC73" s="130"/>
      <c r="BD73" s="130"/>
      <c r="BE73" s="130"/>
      <c r="BF73" s="130">
        <f>COUNTIF($BH$19:$BH$20,"Skema 2")</f>
        <v>0</v>
      </c>
      <c r="BG73" s="130"/>
      <c r="BH73" s="130"/>
      <c r="BI73" s="130"/>
      <c r="BJ73" s="130"/>
      <c r="BK73" s="130"/>
      <c r="BL73" s="130"/>
      <c r="BM73" s="130">
        <f>COUNTIF($BO$24:$BO$25,"Skema 2")</f>
        <v>0</v>
      </c>
      <c r="BN73" s="130"/>
      <c r="BO73" s="130"/>
      <c r="BP73" s="130"/>
      <c r="BQ73" s="130"/>
      <c r="BR73" s="130"/>
      <c r="BS73" s="130"/>
      <c r="BT73" s="130">
        <f>COUNTIF($BV$21:$BV$22,"Skema 2")</f>
        <v>0</v>
      </c>
      <c r="BU73" s="130"/>
      <c r="BV73" s="130"/>
      <c r="BW73" s="130"/>
      <c r="BX73" s="130"/>
      <c r="BY73" s="130"/>
      <c r="BZ73" s="130"/>
      <c r="CA73" s="130">
        <f>COUNTIF($CC$19:$CC$20,"Skema 2")</f>
        <v>0</v>
      </c>
      <c r="CB73" s="130"/>
      <c r="CC73" s="130"/>
      <c r="CD73" s="130"/>
      <c r="CE73" s="130"/>
      <c r="CF73" s="130"/>
      <c r="CG73" s="130"/>
      <c r="CH73" s="130"/>
      <c r="CI73" s="130">
        <f t="shared" si="36"/>
        <v>0</v>
      </c>
      <c r="CJ73" s="130"/>
      <c r="CK73" s="130"/>
      <c r="CL73" s="130"/>
      <c r="CM73" s="130"/>
    </row>
    <row r="74" spans="1:91" hidden="1">
      <c r="A74" s="130"/>
      <c r="B74" s="130">
        <f>COUNTIF($D$25:$D$26,"Skema 2")</f>
        <v>0</v>
      </c>
      <c r="C74" s="130"/>
      <c r="D74" s="130"/>
      <c r="E74" s="130"/>
      <c r="F74" s="130"/>
      <c r="G74" s="130"/>
      <c r="H74" s="130"/>
      <c r="I74" s="130">
        <f>COUNTIF($K$29:$K$30,"Skema 2")</f>
        <v>0</v>
      </c>
      <c r="J74" s="130"/>
      <c r="K74" s="130"/>
      <c r="L74" s="130"/>
      <c r="M74" s="130"/>
      <c r="N74" s="130"/>
      <c r="O74" s="130"/>
      <c r="P74" s="130">
        <f>COUNTIF($R$27:$R$28,"Skema 2")</f>
        <v>0</v>
      </c>
      <c r="Q74" s="130"/>
      <c r="R74" s="130"/>
      <c r="S74" s="130"/>
      <c r="T74" s="130"/>
      <c r="U74" s="130"/>
      <c r="V74" s="130"/>
      <c r="W74" s="130">
        <f>COUNTIF($Y$31:$Y$32,"Skema 2")</f>
        <v>0</v>
      </c>
      <c r="X74" s="130"/>
      <c r="Y74" s="130"/>
      <c r="Z74" s="130"/>
      <c r="AA74" s="130"/>
      <c r="AB74" s="130"/>
      <c r="AC74" s="130"/>
      <c r="AD74" s="130">
        <f>COUNTIF($AF$29:$AF$30,"Skema 2")</f>
        <v>0</v>
      </c>
      <c r="AE74" s="130"/>
      <c r="AF74" s="130"/>
      <c r="AG74" s="130"/>
      <c r="AH74" s="130"/>
      <c r="AI74" s="130"/>
      <c r="AJ74" s="130"/>
      <c r="AK74" s="130">
        <f>COUNTIF($AM$26:$AM$27,"Skema 2")</f>
        <v>0</v>
      </c>
      <c r="AL74" s="130"/>
      <c r="AM74" s="130"/>
      <c r="AN74" s="131"/>
      <c r="AO74" s="130"/>
      <c r="AP74" s="130"/>
      <c r="AQ74" s="130"/>
      <c r="AR74" s="130">
        <f>COUNTIF($AT$30:$AT$31,"Skema 2")</f>
        <v>0</v>
      </c>
      <c r="AS74" s="130"/>
      <c r="AT74" s="130"/>
      <c r="AU74" s="131"/>
      <c r="AV74" s="130"/>
      <c r="AW74" s="130"/>
      <c r="AX74" s="130"/>
      <c r="AY74" s="130">
        <f>COUNTIF($BA$29:$BA$30,"Skema 2")</f>
        <v>0</v>
      </c>
      <c r="AZ74" s="130"/>
      <c r="BA74" s="130"/>
      <c r="BB74" s="131"/>
      <c r="BC74" s="130"/>
      <c r="BD74" s="130"/>
      <c r="BE74" s="130"/>
      <c r="BF74" s="130">
        <f>COUNTIF($BH$26:$BH$27,"Skema 2")</f>
        <v>0</v>
      </c>
      <c r="BG74" s="130"/>
      <c r="BH74" s="130"/>
      <c r="BI74" s="130"/>
      <c r="BJ74" s="130"/>
      <c r="BK74" s="130"/>
      <c r="BL74" s="130"/>
      <c r="BM74" s="130">
        <f>COUNTIF($BO$31:$BO$32,"Skema 2")</f>
        <v>0</v>
      </c>
      <c r="BN74" s="130"/>
      <c r="BO74" s="130"/>
      <c r="BP74" s="130"/>
      <c r="BQ74" s="130"/>
      <c r="BR74" s="130"/>
      <c r="BS74" s="130"/>
      <c r="BT74" s="130">
        <f>COUNTIF($BV$28:$BV$29,"Skema 2")</f>
        <v>0</v>
      </c>
      <c r="BU74" s="130"/>
      <c r="BV74" s="130"/>
      <c r="BW74" s="130"/>
      <c r="BX74" s="130"/>
      <c r="BY74" s="130"/>
      <c r="BZ74" s="130"/>
      <c r="CA74" s="130">
        <f>COUNTIF($CC$26:$CC$27,"Skema 2")</f>
        <v>0</v>
      </c>
      <c r="CB74" s="130"/>
      <c r="CC74" s="130"/>
      <c r="CD74" s="130"/>
      <c r="CE74" s="130"/>
      <c r="CF74" s="130"/>
      <c r="CG74" s="130"/>
      <c r="CH74" s="130"/>
      <c r="CI74" s="130">
        <f t="shared" si="36"/>
        <v>0</v>
      </c>
      <c r="CJ74" s="130"/>
      <c r="CK74" s="130"/>
      <c r="CL74" s="130"/>
      <c r="CM74" s="130"/>
    </row>
    <row r="75" spans="1:91" hidden="1">
      <c r="A75" s="130"/>
      <c r="B75" s="130">
        <f>COUNTIF($D$32:$D$33,"Skema 2")</f>
        <v>0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>
        <f>COUNTIF($R$34:$R$35,"Skema 2")</f>
        <v>0</v>
      </c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>
        <f>COUNTIF($AM$33:$AM$34,"Skema 2")</f>
        <v>0</v>
      </c>
      <c r="AL75" s="130"/>
      <c r="AM75" s="130"/>
      <c r="AN75" s="131"/>
      <c r="AO75" s="130"/>
      <c r="AP75" s="130"/>
      <c r="AQ75" s="130"/>
      <c r="AR75" s="130"/>
      <c r="AS75" s="130"/>
      <c r="AT75" s="130"/>
      <c r="AU75" s="131"/>
      <c r="AV75" s="130"/>
      <c r="AW75" s="130"/>
      <c r="AX75" s="130"/>
      <c r="AY75" s="130"/>
      <c r="AZ75" s="130"/>
      <c r="BA75" s="130"/>
      <c r="BB75" s="131"/>
      <c r="BC75" s="130"/>
      <c r="BD75" s="130"/>
      <c r="BE75" s="130"/>
      <c r="BF75" s="130">
        <f>COUNTIF($BH$33:$BH$34,"Skema 2")</f>
        <v>0</v>
      </c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>
        <f>COUNTIF($CC$33:$CC$34,"Skema 2")</f>
        <v>0</v>
      </c>
      <c r="CB75" s="130"/>
      <c r="CC75" s="130"/>
      <c r="CD75" s="130"/>
      <c r="CE75" s="130"/>
      <c r="CF75" s="130"/>
      <c r="CG75" s="130"/>
      <c r="CH75" s="130"/>
      <c r="CI75" s="130">
        <f t="shared" si="36"/>
        <v>0</v>
      </c>
      <c r="CJ75" s="130"/>
      <c r="CK75" s="130"/>
      <c r="CL75" s="130"/>
      <c r="CM75" s="130"/>
    </row>
    <row r="76" spans="1:91" hidden="1">
      <c r="A76" s="130"/>
      <c r="B76" s="130" t="s">
        <v>129</v>
      </c>
      <c r="C76" s="130"/>
      <c r="D76" s="130"/>
      <c r="E76" s="130"/>
      <c r="F76" s="130"/>
      <c r="G76" s="130"/>
      <c r="H76" s="130"/>
      <c r="I76" s="130" t="s">
        <v>129</v>
      </c>
      <c r="J76" s="130"/>
      <c r="K76" s="130"/>
      <c r="L76" s="130"/>
      <c r="M76" s="130"/>
      <c r="N76" s="130"/>
      <c r="O76" s="130"/>
      <c r="P76" s="130" t="s">
        <v>129</v>
      </c>
      <c r="Q76" s="130"/>
      <c r="R76" s="130"/>
      <c r="S76" s="130"/>
      <c r="T76" s="130"/>
      <c r="U76" s="130"/>
      <c r="V76" s="130"/>
      <c r="W76" s="130" t="s">
        <v>129</v>
      </c>
      <c r="X76" s="130"/>
      <c r="Y76" s="130"/>
      <c r="Z76" s="130"/>
      <c r="AA76" s="130"/>
      <c r="AB76" s="130"/>
      <c r="AC76" s="130"/>
      <c r="AD76" s="130" t="s">
        <v>129</v>
      </c>
      <c r="AE76" s="130"/>
      <c r="AF76" s="130"/>
      <c r="AG76" s="130"/>
      <c r="AH76" s="130"/>
      <c r="AI76" s="130"/>
      <c r="AJ76" s="130"/>
      <c r="AK76" s="130" t="s">
        <v>129</v>
      </c>
      <c r="AL76" s="130"/>
      <c r="AM76" s="130"/>
      <c r="AN76" s="131"/>
      <c r="AO76" s="130"/>
      <c r="AP76" s="130"/>
      <c r="AQ76" s="130"/>
      <c r="AR76" s="130" t="s">
        <v>129</v>
      </c>
      <c r="AS76" s="130"/>
      <c r="AT76" s="130"/>
      <c r="AU76" s="131"/>
      <c r="AV76" s="130"/>
      <c r="AW76" s="130"/>
      <c r="AX76" s="130"/>
      <c r="AY76" s="130" t="s">
        <v>129</v>
      </c>
      <c r="AZ76" s="130"/>
      <c r="BA76" s="130"/>
      <c r="BB76" s="131"/>
      <c r="BC76" s="130"/>
      <c r="BD76" s="130"/>
      <c r="BE76" s="130"/>
      <c r="BF76" s="130" t="s">
        <v>129</v>
      </c>
      <c r="BG76" s="130"/>
      <c r="BH76" s="130"/>
      <c r="BI76" s="130"/>
      <c r="BJ76" s="130"/>
      <c r="BK76" s="130"/>
      <c r="BL76" s="130"/>
      <c r="BM76" s="130" t="s">
        <v>129</v>
      </c>
      <c r="BN76" s="130"/>
      <c r="BO76" s="130"/>
      <c r="BP76" s="130"/>
      <c r="BQ76" s="130"/>
      <c r="BR76" s="130"/>
      <c r="BS76" s="130"/>
      <c r="BT76" s="130" t="s">
        <v>129</v>
      </c>
      <c r="BU76" s="130"/>
      <c r="BV76" s="130"/>
      <c r="BW76" s="130"/>
      <c r="BX76" s="130"/>
      <c r="BY76" s="130"/>
      <c r="BZ76" s="130"/>
      <c r="CA76" s="130" t="s">
        <v>129</v>
      </c>
      <c r="CB76" s="130"/>
      <c r="CC76" s="130"/>
      <c r="CD76" s="130"/>
      <c r="CE76" s="130"/>
      <c r="CF76" s="130"/>
      <c r="CG76" s="130"/>
      <c r="CH76" s="130"/>
      <c r="CI76" s="130">
        <f t="shared" si="36"/>
        <v>0</v>
      </c>
      <c r="CJ76" s="130"/>
      <c r="CK76" s="130"/>
      <c r="CL76" s="130"/>
      <c r="CM76" s="130"/>
    </row>
    <row r="77" spans="1:91" hidden="1">
      <c r="A77" s="130"/>
      <c r="B77" s="130">
        <f>COUNTIF($D$5,"Skema 3")</f>
        <v>0</v>
      </c>
      <c r="C77" s="130"/>
      <c r="D77" s="130"/>
      <c r="E77" s="130"/>
      <c r="F77" s="130"/>
      <c r="G77" s="130"/>
      <c r="H77" s="130"/>
      <c r="I77" s="130">
        <f>COUNTIF($K$8:$K$9,"Skema 3")</f>
        <v>0</v>
      </c>
      <c r="J77" s="130"/>
      <c r="K77" s="130"/>
      <c r="L77" s="130"/>
      <c r="M77" s="130"/>
      <c r="N77" s="130"/>
      <c r="O77" s="130"/>
      <c r="P77" s="130">
        <f>COUNTIF($R$6:$R$7,"Skema 3")</f>
        <v>0</v>
      </c>
      <c r="Q77" s="130"/>
      <c r="R77" s="130"/>
      <c r="S77" s="130"/>
      <c r="T77" s="130"/>
      <c r="U77" s="130"/>
      <c r="V77" s="130"/>
      <c r="W77" s="130">
        <f>COUNTIF($Y$10:$Y$11,"Skema 3")</f>
        <v>0</v>
      </c>
      <c r="X77" s="130"/>
      <c r="Y77" s="130"/>
      <c r="Z77" s="130"/>
      <c r="AA77" s="130"/>
      <c r="AB77" s="130"/>
      <c r="AC77" s="130"/>
      <c r="AD77" s="130">
        <f>COUNTIF($AF$8:$AF$9,"Skema 3")</f>
        <v>0</v>
      </c>
      <c r="AE77" s="130"/>
      <c r="AF77" s="130"/>
      <c r="AG77" s="130"/>
      <c r="AH77" s="130"/>
      <c r="AI77" s="130"/>
      <c r="AJ77" s="130"/>
      <c r="AK77" s="130">
        <f>COUNTIF($AM$5:$AM$6,"Skema 3")</f>
        <v>0</v>
      </c>
      <c r="AL77" s="130"/>
      <c r="AM77" s="130"/>
      <c r="AN77" s="131"/>
      <c r="AO77" s="130"/>
      <c r="AP77" s="130"/>
      <c r="AQ77" s="130"/>
      <c r="AR77" s="130">
        <f>COUNTIF($AT$9:$AT$10,"Skema 3")</f>
        <v>0</v>
      </c>
      <c r="AS77" s="130"/>
      <c r="AT77" s="130"/>
      <c r="AU77" s="131"/>
      <c r="AV77" s="130"/>
      <c r="AW77" s="130"/>
      <c r="AX77" s="130"/>
      <c r="AY77" s="130">
        <f>COUNTIF($BA$8:$BA$9,"Skema 3")</f>
        <v>0</v>
      </c>
      <c r="AZ77" s="130"/>
      <c r="BA77" s="130"/>
      <c r="BB77" s="131"/>
      <c r="BC77" s="130"/>
      <c r="BD77" s="130"/>
      <c r="BE77" s="130"/>
      <c r="BF77" s="130">
        <f>COUNTIF($BH$5:$BH$6,"Skema 3")</f>
        <v>0</v>
      </c>
      <c r="BG77" s="130"/>
      <c r="BH77" s="130"/>
      <c r="BI77" s="130"/>
      <c r="BJ77" s="130"/>
      <c r="BK77" s="130"/>
      <c r="BL77" s="130"/>
      <c r="BM77" s="130">
        <f>COUNTIF($BO$10:$BO$11,"Skema 3")</f>
        <v>0</v>
      </c>
      <c r="BN77" s="130"/>
      <c r="BO77" s="130"/>
      <c r="BP77" s="130"/>
      <c r="BQ77" s="130"/>
      <c r="BR77" s="130"/>
      <c r="BS77" s="130"/>
      <c r="BT77" s="130">
        <f>COUNTIF($BV$7:$BV$8,"Skema 3")</f>
        <v>0</v>
      </c>
      <c r="BU77" s="130"/>
      <c r="BV77" s="130"/>
      <c r="BW77" s="130"/>
      <c r="BX77" s="130"/>
      <c r="BY77" s="130"/>
      <c r="BZ77" s="130"/>
      <c r="CA77" s="130">
        <f>COUNTIF($CC$5:$CC$6,"Skema 3")</f>
        <v>0</v>
      </c>
      <c r="CB77" s="130"/>
      <c r="CC77" s="130"/>
      <c r="CD77" s="130"/>
      <c r="CE77" s="130"/>
      <c r="CF77" s="130"/>
      <c r="CG77" s="130"/>
      <c r="CH77" s="130"/>
      <c r="CI77" s="130">
        <f t="shared" si="36"/>
        <v>0</v>
      </c>
      <c r="CJ77" s="130"/>
      <c r="CK77" s="130"/>
      <c r="CL77" s="130"/>
      <c r="CM77" s="130"/>
    </row>
    <row r="78" spans="1:91" hidden="1">
      <c r="A78" s="130"/>
      <c r="B78" s="130">
        <f>COUNTIF($D$11:$D$12,"Skema 3")</f>
        <v>0</v>
      </c>
      <c r="C78" s="130"/>
      <c r="D78" s="130"/>
      <c r="E78" s="130"/>
      <c r="F78" s="130"/>
      <c r="G78" s="130"/>
      <c r="H78" s="130"/>
      <c r="I78" s="130">
        <f>COUNTIF($K$15:$K$16,"Skema 3")</f>
        <v>0</v>
      </c>
      <c r="J78" s="130"/>
      <c r="K78" s="130"/>
      <c r="L78" s="130"/>
      <c r="M78" s="130"/>
      <c r="N78" s="130"/>
      <c r="O78" s="130"/>
      <c r="P78" s="130">
        <f>COUNTIF($R$13:$R$14,"Skema 3")</f>
        <v>0</v>
      </c>
      <c r="Q78" s="130"/>
      <c r="R78" s="130"/>
      <c r="S78" s="130"/>
      <c r="T78" s="130"/>
      <c r="U78" s="130"/>
      <c r="V78" s="130"/>
      <c r="W78" s="130">
        <f>COUNTIF($Y$17:$Y$18,"Skema 3")</f>
        <v>0</v>
      </c>
      <c r="X78" s="130"/>
      <c r="Y78" s="130"/>
      <c r="Z78" s="130"/>
      <c r="AA78" s="130"/>
      <c r="AB78" s="130"/>
      <c r="AC78" s="130"/>
      <c r="AD78" s="130">
        <f>COUNTIF($AF$15:$AF$16,"Skema 3")</f>
        <v>0</v>
      </c>
      <c r="AE78" s="130"/>
      <c r="AF78" s="130"/>
      <c r="AG78" s="130"/>
      <c r="AH78" s="130"/>
      <c r="AI78" s="130"/>
      <c r="AJ78" s="130"/>
      <c r="AK78" s="130">
        <f>COUNTIF($AM$12:$AM$13,"Skema 3")</f>
        <v>0</v>
      </c>
      <c r="AL78" s="130"/>
      <c r="AM78" s="130"/>
      <c r="AN78" s="131"/>
      <c r="AO78" s="130"/>
      <c r="AP78" s="130"/>
      <c r="AQ78" s="130"/>
      <c r="AR78" s="130">
        <f>COUNTIF($AT$16:$AT$17,"Skema 3")</f>
        <v>0</v>
      </c>
      <c r="AS78" s="130"/>
      <c r="AT78" s="130"/>
      <c r="AU78" s="131"/>
      <c r="AV78" s="130"/>
      <c r="AW78" s="130"/>
      <c r="AX78" s="130"/>
      <c r="AY78" s="130">
        <f>COUNTIF($BA$15:$BA$16,"Skema 3")</f>
        <v>0</v>
      </c>
      <c r="AZ78" s="130"/>
      <c r="BA78" s="130"/>
      <c r="BB78" s="131"/>
      <c r="BC78" s="130"/>
      <c r="BD78" s="130"/>
      <c r="BE78" s="130"/>
      <c r="BF78" s="130">
        <f>COUNTIF($BH$12:$BH$13,"Skema 3")</f>
        <v>0</v>
      </c>
      <c r="BG78" s="130"/>
      <c r="BH78" s="130"/>
      <c r="BI78" s="130"/>
      <c r="BJ78" s="130"/>
      <c r="BK78" s="130"/>
      <c r="BL78" s="130"/>
      <c r="BM78" s="130">
        <f>COUNTIF($BO$17:$BO$18,"Skema 3")</f>
        <v>0</v>
      </c>
      <c r="BN78" s="130"/>
      <c r="BO78" s="130"/>
      <c r="BP78" s="130"/>
      <c r="BQ78" s="130"/>
      <c r="BR78" s="130"/>
      <c r="BS78" s="130"/>
      <c r="BT78" s="130">
        <f>COUNTIF($BV$14:$BV$15,"Skema 3")</f>
        <v>0</v>
      </c>
      <c r="BU78" s="130"/>
      <c r="BV78" s="130"/>
      <c r="BW78" s="130"/>
      <c r="BX78" s="130"/>
      <c r="BY78" s="130"/>
      <c r="BZ78" s="130"/>
      <c r="CA78" s="130">
        <f>COUNTIF($CC$12:$CC$13,"Skema 3")</f>
        <v>0</v>
      </c>
      <c r="CB78" s="130"/>
      <c r="CC78" s="130"/>
      <c r="CD78" s="130"/>
      <c r="CE78" s="130"/>
      <c r="CF78" s="130"/>
      <c r="CG78" s="130"/>
      <c r="CH78" s="130"/>
      <c r="CI78" s="130">
        <f t="shared" si="36"/>
        <v>0</v>
      </c>
      <c r="CJ78" s="130"/>
      <c r="CK78" s="130"/>
      <c r="CL78" s="130"/>
      <c r="CM78" s="130"/>
    </row>
    <row r="79" spans="1:91" hidden="1">
      <c r="A79" s="130"/>
      <c r="B79" s="130">
        <f>COUNTIF($D$18:$D$19,"Skema 3")</f>
        <v>0</v>
      </c>
      <c r="C79" s="130"/>
      <c r="D79" s="130"/>
      <c r="E79" s="130"/>
      <c r="F79" s="130"/>
      <c r="G79" s="130"/>
      <c r="H79" s="130"/>
      <c r="I79" s="130">
        <f>COUNTIF($K$22:$K$23,"Skema 3")</f>
        <v>0</v>
      </c>
      <c r="J79" s="130"/>
      <c r="K79" s="130"/>
      <c r="L79" s="130"/>
      <c r="M79" s="130"/>
      <c r="N79" s="130"/>
      <c r="O79" s="130"/>
      <c r="P79" s="130">
        <f>COUNTIF($R$20:$R$21,"Skema 3")</f>
        <v>0</v>
      </c>
      <c r="Q79" s="130"/>
      <c r="R79" s="130"/>
      <c r="S79" s="130"/>
      <c r="T79" s="130"/>
      <c r="U79" s="130"/>
      <c r="V79" s="130"/>
      <c r="W79" s="130">
        <f>COUNTIF($Y$24:$Y$25,"Skema 3")</f>
        <v>0</v>
      </c>
      <c r="X79" s="130"/>
      <c r="Y79" s="130"/>
      <c r="Z79" s="130"/>
      <c r="AA79" s="130"/>
      <c r="AB79" s="130"/>
      <c r="AC79" s="130"/>
      <c r="AD79" s="130">
        <f>COUNTIF($AF$22:$AF$23,"Skema 3")</f>
        <v>0</v>
      </c>
      <c r="AE79" s="130"/>
      <c r="AF79" s="130"/>
      <c r="AG79" s="130"/>
      <c r="AH79" s="130"/>
      <c r="AI79" s="130"/>
      <c r="AJ79" s="130"/>
      <c r="AK79" s="130">
        <f>COUNTIF($AM$19:$AM$20,"Skema 3")</f>
        <v>0</v>
      </c>
      <c r="AL79" s="130"/>
      <c r="AM79" s="130"/>
      <c r="AN79" s="131"/>
      <c r="AO79" s="130"/>
      <c r="AP79" s="130"/>
      <c r="AQ79" s="130"/>
      <c r="AR79" s="130">
        <f>COUNTIF($AT$23:$AT$24,"Skema 3")</f>
        <v>0</v>
      </c>
      <c r="AS79" s="130"/>
      <c r="AT79" s="130"/>
      <c r="AU79" s="131"/>
      <c r="AV79" s="130"/>
      <c r="AW79" s="130"/>
      <c r="AX79" s="130"/>
      <c r="AY79" s="130">
        <f>COUNTIF($BA$22:$BA$23,"Skema 3")</f>
        <v>0</v>
      </c>
      <c r="AZ79" s="130"/>
      <c r="BA79" s="130"/>
      <c r="BB79" s="131"/>
      <c r="BC79" s="130"/>
      <c r="BD79" s="130"/>
      <c r="BE79" s="130"/>
      <c r="BF79" s="130">
        <f>COUNTIF($BH$19:$BH$20,"Skema 3")</f>
        <v>0</v>
      </c>
      <c r="BG79" s="130"/>
      <c r="BH79" s="130"/>
      <c r="BI79" s="130"/>
      <c r="BJ79" s="130"/>
      <c r="BK79" s="130"/>
      <c r="BL79" s="130"/>
      <c r="BM79" s="130">
        <f>COUNTIF($BO$24:$BO$25,"Skema 3")</f>
        <v>0</v>
      </c>
      <c r="BN79" s="130"/>
      <c r="BO79" s="130"/>
      <c r="BP79" s="130"/>
      <c r="BQ79" s="130"/>
      <c r="BR79" s="130"/>
      <c r="BS79" s="130"/>
      <c r="BT79" s="130">
        <f>COUNTIF($BV$21:$BV$22,"Skema 3")</f>
        <v>0</v>
      </c>
      <c r="BU79" s="130"/>
      <c r="BV79" s="130"/>
      <c r="BW79" s="130"/>
      <c r="BX79" s="130"/>
      <c r="BY79" s="130"/>
      <c r="BZ79" s="130"/>
      <c r="CA79" s="130">
        <f>COUNTIF($CC$19:$CC$20,"Skema 3")</f>
        <v>0</v>
      </c>
      <c r="CB79" s="130"/>
      <c r="CC79" s="130"/>
      <c r="CD79" s="130"/>
      <c r="CE79" s="130"/>
      <c r="CF79" s="130"/>
      <c r="CG79" s="130"/>
      <c r="CH79" s="130"/>
      <c r="CI79" s="130">
        <f t="shared" si="36"/>
        <v>0</v>
      </c>
      <c r="CJ79" s="130"/>
      <c r="CK79" s="130"/>
      <c r="CL79" s="130"/>
      <c r="CM79" s="130"/>
    </row>
    <row r="80" spans="1:91" hidden="1">
      <c r="A80" s="130"/>
      <c r="B80" s="130">
        <f>COUNTIF($D$25:$D$26,"Skema 3")</f>
        <v>0</v>
      </c>
      <c r="C80" s="130"/>
      <c r="D80" s="130"/>
      <c r="E80" s="130"/>
      <c r="F80" s="130"/>
      <c r="G80" s="130"/>
      <c r="H80" s="130"/>
      <c r="I80" s="130">
        <f>COUNTIF($K$29:$K$30,"Skema 3")</f>
        <v>0</v>
      </c>
      <c r="J80" s="130"/>
      <c r="K80" s="130"/>
      <c r="L80" s="130"/>
      <c r="M80" s="130"/>
      <c r="N80" s="130"/>
      <c r="O80" s="130"/>
      <c r="P80" s="130">
        <f>COUNTIF($R$27:$R$28,"Skema 3")</f>
        <v>0</v>
      </c>
      <c r="Q80" s="130"/>
      <c r="R80" s="130"/>
      <c r="S80" s="130"/>
      <c r="T80" s="130"/>
      <c r="U80" s="130"/>
      <c r="V80" s="130"/>
      <c r="W80" s="130">
        <f>COUNTIF($Y$31:$Y$32,"Skema 3")</f>
        <v>0</v>
      </c>
      <c r="X80" s="130"/>
      <c r="Y80" s="130"/>
      <c r="Z80" s="130"/>
      <c r="AA80" s="130"/>
      <c r="AB80" s="130"/>
      <c r="AC80" s="130"/>
      <c r="AD80" s="130">
        <f>COUNTIF($AF$29:$AF$30,"Skema 3")</f>
        <v>0</v>
      </c>
      <c r="AE80" s="130"/>
      <c r="AF80" s="130"/>
      <c r="AG80" s="130"/>
      <c r="AH80" s="130"/>
      <c r="AI80" s="130"/>
      <c r="AJ80" s="130"/>
      <c r="AK80" s="130">
        <f>COUNTIF($AM$26:$AM$27,"Skema 3")</f>
        <v>0</v>
      </c>
      <c r="AL80" s="130"/>
      <c r="AM80" s="130"/>
      <c r="AN80" s="131"/>
      <c r="AO80" s="130"/>
      <c r="AP80" s="130"/>
      <c r="AQ80" s="130"/>
      <c r="AR80" s="130">
        <f>COUNTIF($AT$30:$AT$31,"Skema 3")</f>
        <v>0</v>
      </c>
      <c r="AS80" s="130"/>
      <c r="AT80" s="130"/>
      <c r="AU80" s="131"/>
      <c r="AV80" s="130"/>
      <c r="AW80" s="130"/>
      <c r="AX80" s="130"/>
      <c r="AY80" s="130">
        <f>COUNTIF($BA$29:$BA$30,"Skema 3")</f>
        <v>0</v>
      </c>
      <c r="AZ80" s="130"/>
      <c r="BA80" s="130"/>
      <c r="BB80" s="131"/>
      <c r="BC80" s="130"/>
      <c r="BD80" s="130"/>
      <c r="BE80" s="130"/>
      <c r="BF80" s="130">
        <f>COUNTIF($BH$26:$BH$27,"Skema 3")</f>
        <v>0</v>
      </c>
      <c r="BG80" s="130"/>
      <c r="BH80" s="130"/>
      <c r="BI80" s="130"/>
      <c r="BJ80" s="130"/>
      <c r="BK80" s="130"/>
      <c r="BL80" s="130"/>
      <c r="BM80" s="130">
        <f>COUNTIF($BO$31:$BO$32,"Skema 3")</f>
        <v>0</v>
      </c>
      <c r="BN80" s="130"/>
      <c r="BO80" s="130"/>
      <c r="BP80" s="130"/>
      <c r="BQ80" s="130"/>
      <c r="BR80" s="130"/>
      <c r="BS80" s="130"/>
      <c r="BT80" s="130">
        <f>COUNTIF($BV$28:$BV$29,"Skema 3")</f>
        <v>0</v>
      </c>
      <c r="BU80" s="130"/>
      <c r="BV80" s="130"/>
      <c r="BW80" s="130"/>
      <c r="BX80" s="130"/>
      <c r="BY80" s="130"/>
      <c r="BZ80" s="130"/>
      <c r="CA80" s="130">
        <f>COUNTIF($CC$26:$CC$27,"Skema 3")</f>
        <v>0</v>
      </c>
      <c r="CB80" s="130"/>
      <c r="CC80" s="130"/>
      <c r="CD80" s="130"/>
      <c r="CE80" s="130"/>
      <c r="CF80" s="130"/>
      <c r="CG80" s="130"/>
      <c r="CH80" s="130"/>
      <c r="CI80" s="130">
        <f t="shared" si="36"/>
        <v>0</v>
      </c>
      <c r="CJ80" s="130"/>
      <c r="CK80" s="130"/>
      <c r="CL80" s="130"/>
      <c r="CM80" s="130"/>
    </row>
    <row r="81" spans="1:91" hidden="1">
      <c r="A81" s="130"/>
      <c r="B81" s="130">
        <f>COUNTIF($D$32:$D$33,"Skema 3")</f>
        <v>0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>
        <f>COUNTIF($R$34:$R$35,"Skema 3")</f>
        <v>0</v>
      </c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>
        <f>COUNTIF($AM$33:$AM$34,"Skema 3")</f>
        <v>0</v>
      </c>
      <c r="AL81" s="130"/>
      <c r="AM81" s="130"/>
      <c r="AN81" s="131"/>
      <c r="AO81" s="130"/>
      <c r="AP81" s="130"/>
      <c r="AQ81" s="130"/>
      <c r="AR81" s="130"/>
      <c r="AS81" s="130"/>
      <c r="AT81" s="130"/>
      <c r="AU81" s="131"/>
      <c r="AV81" s="130"/>
      <c r="AW81" s="130"/>
      <c r="AX81" s="130"/>
      <c r="AY81" s="130"/>
      <c r="AZ81" s="130"/>
      <c r="BA81" s="130"/>
      <c r="BB81" s="131"/>
      <c r="BC81" s="130"/>
      <c r="BD81" s="130"/>
      <c r="BE81" s="130"/>
      <c r="BF81" s="130">
        <f>COUNTIF($BH$33:$BH$34,"Skema 3")</f>
        <v>0</v>
      </c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>
        <f>COUNTIF($CC$33:$CC$34,"Skema 3")</f>
        <v>0</v>
      </c>
      <c r="CB81" s="130"/>
      <c r="CC81" s="130"/>
      <c r="CD81" s="130"/>
      <c r="CE81" s="130"/>
      <c r="CF81" s="130"/>
      <c r="CG81" s="130"/>
      <c r="CH81" s="130"/>
      <c r="CI81" s="130">
        <f t="shared" si="36"/>
        <v>0</v>
      </c>
      <c r="CJ81" s="130"/>
      <c r="CK81" s="130"/>
      <c r="CL81" s="130"/>
      <c r="CM81" s="130"/>
    </row>
    <row r="82" spans="1:91" hidden="1">
      <c r="A82" s="130"/>
      <c r="B82" s="130" t="s">
        <v>130</v>
      </c>
      <c r="C82" s="130"/>
      <c r="D82" s="130"/>
      <c r="E82" s="130"/>
      <c r="F82" s="130"/>
      <c r="G82" s="130"/>
      <c r="H82" s="130"/>
      <c r="I82" s="130" t="s">
        <v>130</v>
      </c>
      <c r="J82" s="130"/>
      <c r="K82" s="130"/>
      <c r="L82" s="130"/>
      <c r="M82" s="130"/>
      <c r="N82" s="130"/>
      <c r="O82" s="130"/>
      <c r="P82" s="130" t="s">
        <v>130</v>
      </c>
      <c r="Q82" s="130"/>
      <c r="R82" s="130"/>
      <c r="S82" s="130"/>
      <c r="T82" s="130"/>
      <c r="U82" s="130"/>
      <c r="V82" s="130"/>
      <c r="W82" s="130" t="s">
        <v>130</v>
      </c>
      <c r="X82" s="130"/>
      <c r="Y82" s="130"/>
      <c r="Z82" s="130"/>
      <c r="AA82" s="130"/>
      <c r="AB82" s="130"/>
      <c r="AC82" s="130"/>
      <c r="AD82" s="130" t="s">
        <v>130</v>
      </c>
      <c r="AE82" s="130"/>
      <c r="AF82" s="130"/>
      <c r="AG82" s="130"/>
      <c r="AH82" s="130"/>
      <c r="AI82" s="130"/>
      <c r="AJ82" s="130"/>
      <c r="AK82" s="130" t="s">
        <v>130</v>
      </c>
      <c r="AL82" s="130"/>
      <c r="AM82" s="130"/>
      <c r="AN82" s="131"/>
      <c r="AO82" s="130"/>
      <c r="AP82" s="130"/>
      <c r="AQ82" s="130"/>
      <c r="AR82" s="130" t="s">
        <v>130</v>
      </c>
      <c r="AS82" s="130"/>
      <c r="AT82" s="130"/>
      <c r="AU82" s="131"/>
      <c r="AV82" s="130"/>
      <c r="AW82" s="130"/>
      <c r="AX82" s="130"/>
      <c r="AY82" s="130" t="s">
        <v>130</v>
      </c>
      <c r="AZ82" s="130"/>
      <c r="BA82" s="130"/>
      <c r="BB82" s="131"/>
      <c r="BC82" s="130"/>
      <c r="BD82" s="130"/>
      <c r="BE82" s="130"/>
      <c r="BF82" s="130" t="s">
        <v>130</v>
      </c>
      <c r="BG82" s="130"/>
      <c r="BH82" s="130"/>
      <c r="BI82" s="130"/>
      <c r="BJ82" s="130"/>
      <c r="BK82" s="130"/>
      <c r="BL82" s="130"/>
      <c r="BM82" s="130" t="s">
        <v>130</v>
      </c>
      <c r="BN82" s="130"/>
      <c r="BO82" s="130"/>
      <c r="BP82" s="130"/>
      <c r="BQ82" s="130"/>
      <c r="BR82" s="130"/>
      <c r="BS82" s="130"/>
      <c r="BT82" s="130" t="s">
        <v>130</v>
      </c>
      <c r="BU82" s="130"/>
      <c r="BV82" s="130"/>
      <c r="BW82" s="130"/>
      <c r="BX82" s="130"/>
      <c r="BY82" s="130"/>
      <c r="BZ82" s="130"/>
      <c r="CA82" s="130" t="s">
        <v>130</v>
      </c>
      <c r="CB82" s="130"/>
      <c r="CC82" s="130"/>
      <c r="CD82" s="130"/>
      <c r="CE82" s="130"/>
      <c r="CF82" s="130"/>
      <c r="CG82" s="130"/>
      <c r="CH82" s="130"/>
      <c r="CI82" s="130">
        <f t="shared" si="36"/>
        <v>0</v>
      </c>
      <c r="CJ82" s="130"/>
      <c r="CK82" s="130"/>
      <c r="CL82" s="130"/>
      <c r="CM82" s="130"/>
    </row>
    <row r="83" spans="1:91" hidden="1">
      <c r="A83" s="130"/>
      <c r="B83" s="130">
        <f>COUNTIF($D$5,"Skema 4")</f>
        <v>0</v>
      </c>
      <c r="C83" s="130"/>
      <c r="D83" s="130"/>
      <c r="E83" s="130"/>
      <c r="F83" s="130"/>
      <c r="G83" s="130"/>
      <c r="H83" s="130"/>
      <c r="I83" s="130">
        <f>COUNTIF($K$8:$K$9,"Skema 4")</f>
        <v>0</v>
      </c>
      <c r="J83" s="130"/>
      <c r="K83" s="130"/>
      <c r="L83" s="130"/>
      <c r="M83" s="130"/>
      <c r="N83" s="130"/>
      <c r="O83" s="130"/>
      <c r="P83" s="130">
        <f>COUNTIF($R$6:$R$7,"Skema 4")</f>
        <v>0</v>
      </c>
      <c r="Q83" s="130"/>
      <c r="R83" s="130"/>
      <c r="S83" s="130"/>
      <c r="T83" s="130"/>
      <c r="U83" s="130"/>
      <c r="V83" s="130"/>
      <c r="W83" s="130">
        <f>COUNTIF($Y$10:$Y$11,"Skema 4")</f>
        <v>0</v>
      </c>
      <c r="X83" s="130"/>
      <c r="Y83" s="130"/>
      <c r="Z83" s="130"/>
      <c r="AA83" s="130"/>
      <c r="AB83" s="130"/>
      <c r="AC83" s="130"/>
      <c r="AD83" s="130">
        <f>COUNTIF($AF$8:$AF$9,"Skema 4")</f>
        <v>0</v>
      </c>
      <c r="AE83" s="130"/>
      <c r="AF83" s="130"/>
      <c r="AG83" s="130"/>
      <c r="AH83" s="130"/>
      <c r="AI83" s="130"/>
      <c r="AJ83" s="130"/>
      <c r="AK83" s="130">
        <f>COUNTIF($AM$5:$AM$6,"Skema 4")</f>
        <v>0</v>
      </c>
      <c r="AL83" s="130"/>
      <c r="AM83" s="130"/>
      <c r="AN83" s="131"/>
      <c r="AO83" s="130"/>
      <c r="AP83" s="130"/>
      <c r="AQ83" s="130"/>
      <c r="AR83" s="130">
        <f>COUNTIF($AT$9:$AT$10,"Skema 4")</f>
        <v>0</v>
      </c>
      <c r="AS83" s="130"/>
      <c r="AT83" s="130"/>
      <c r="AU83" s="131"/>
      <c r="AV83" s="130"/>
      <c r="AW83" s="130"/>
      <c r="AX83" s="130"/>
      <c r="AY83" s="130">
        <f>COUNTIF($BA$8:$BA$9,"Skema 4")</f>
        <v>0</v>
      </c>
      <c r="AZ83" s="130"/>
      <c r="BA83" s="130"/>
      <c r="BB83" s="131"/>
      <c r="BC83" s="130"/>
      <c r="BD83" s="130"/>
      <c r="BE83" s="130"/>
      <c r="BF83" s="130">
        <f>COUNTIF($BH$5:$BH$6,"Skema 4")</f>
        <v>0</v>
      </c>
      <c r="BG83" s="130"/>
      <c r="BH83" s="130"/>
      <c r="BI83" s="130"/>
      <c r="BJ83" s="130"/>
      <c r="BK83" s="130"/>
      <c r="BL83" s="130"/>
      <c r="BM83" s="130">
        <f>COUNTIF($BO$10:$BO$11,"Skema 4")</f>
        <v>0</v>
      </c>
      <c r="BN83" s="130"/>
      <c r="BO83" s="130"/>
      <c r="BP83" s="130"/>
      <c r="BQ83" s="130"/>
      <c r="BR83" s="130"/>
      <c r="BS83" s="130"/>
      <c r="BT83" s="130">
        <f>COUNTIF($BV$7:$BV$8,"Skema 4")</f>
        <v>0</v>
      </c>
      <c r="BU83" s="130"/>
      <c r="BV83" s="130"/>
      <c r="BW83" s="130"/>
      <c r="BX83" s="130"/>
      <c r="BY83" s="130"/>
      <c r="BZ83" s="130"/>
      <c r="CA83" s="130">
        <f>COUNTIF($CC$5:$CC$6,"Skema 4")</f>
        <v>0</v>
      </c>
      <c r="CB83" s="130"/>
      <c r="CC83" s="130"/>
      <c r="CD83" s="130"/>
      <c r="CE83" s="130"/>
      <c r="CF83" s="130"/>
      <c r="CG83" s="130"/>
      <c r="CH83" s="130"/>
      <c r="CI83" s="130">
        <f t="shared" si="36"/>
        <v>0</v>
      </c>
      <c r="CJ83" s="130"/>
      <c r="CK83" s="130"/>
      <c r="CL83" s="130"/>
      <c r="CM83" s="130"/>
    </row>
    <row r="84" spans="1:91" hidden="1">
      <c r="A84" s="130"/>
      <c r="B84" s="130">
        <f>COUNTIF($D$11:$D$12,"Skema 4")</f>
        <v>0</v>
      </c>
      <c r="C84" s="130"/>
      <c r="D84" s="130"/>
      <c r="E84" s="130"/>
      <c r="F84" s="130"/>
      <c r="G84" s="130"/>
      <c r="H84" s="130"/>
      <c r="I84" s="130">
        <f>COUNTIF($K$15:$K$16,"Skema 4")</f>
        <v>0</v>
      </c>
      <c r="J84" s="130"/>
      <c r="K84" s="130"/>
      <c r="L84" s="130"/>
      <c r="M84" s="130"/>
      <c r="N84" s="130"/>
      <c r="O84" s="130"/>
      <c r="P84" s="130">
        <f>COUNTIF($R$13:$R$14,"Skema 4")</f>
        <v>0</v>
      </c>
      <c r="Q84" s="130"/>
      <c r="R84" s="130"/>
      <c r="S84" s="130"/>
      <c r="T84" s="130"/>
      <c r="U84" s="130"/>
      <c r="V84" s="130"/>
      <c r="W84" s="130">
        <f>COUNTIF($Y$17:$Y$18,"Skema 4")</f>
        <v>0</v>
      </c>
      <c r="X84" s="130"/>
      <c r="Y84" s="130"/>
      <c r="Z84" s="130"/>
      <c r="AA84" s="130"/>
      <c r="AB84" s="130"/>
      <c r="AC84" s="130"/>
      <c r="AD84" s="130">
        <f>COUNTIF($AF$15:$AF$16,"Skema 4")</f>
        <v>0</v>
      </c>
      <c r="AE84" s="130"/>
      <c r="AF84" s="130"/>
      <c r="AG84" s="130"/>
      <c r="AH84" s="130"/>
      <c r="AI84" s="130"/>
      <c r="AJ84" s="130"/>
      <c r="AK84" s="130">
        <f>COUNTIF($AM$12:$AM$13,"Skema 4")</f>
        <v>0</v>
      </c>
      <c r="AL84" s="130"/>
      <c r="AM84" s="130"/>
      <c r="AN84" s="131"/>
      <c r="AO84" s="130"/>
      <c r="AP84" s="130"/>
      <c r="AQ84" s="130"/>
      <c r="AR84" s="130">
        <f>COUNTIF($AT$16:$AT$17,"Skema 4")</f>
        <v>0</v>
      </c>
      <c r="AS84" s="130"/>
      <c r="AT84" s="130"/>
      <c r="AU84" s="131"/>
      <c r="AV84" s="130"/>
      <c r="AW84" s="130"/>
      <c r="AX84" s="130"/>
      <c r="AY84" s="130">
        <f>COUNTIF($BA$15:$BA$16,"Skema 4")</f>
        <v>0</v>
      </c>
      <c r="AZ84" s="130"/>
      <c r="BA84" s="130"/>
      <c r="BB84" s="131"/>
      <c r="BC84" s="130"/>
      <c r="BD84" s="130"/>
      <c r="BE84" s="130"/>
      <c r="BF84" s="130">
        <f>COUNTIF($BH$12:$BH$13,"Skema 4")</f>
        <v>0</v>
      </c>
      <c r="BG84" s="130"/>
      <c r="BH84" s="130"/>
      <c r="BI84" s="130"/>
      <c r="BJ84" s="130"/>
      <c r="BK84" s="130"/>
      <c r="BL84" s="130"/>
      <c r="BM84" s="130">
        <f>COUNTIF($BO$17:$BO$18,"Skema 4")</f>
        <v>0</v>
      </c>
      <c r="BN84" s="130"/>
      <c r="BO84" s="130"/>
      <c r="BP84" s="130"/>
      <c r="BQ84" s="130"/>
      <c r="BR84" s="130"/>
      <c r="BS84" s="130"/>
      <c r="BT84" s="130">
        <f>COUNTIF($BV$14:$BV$15,"Skema 4")</f>
        <v>0</v>
      </c>
      <c r="BU84" s="130"/>
      <c r="BV84" s="130"/>
      <c r="BW84" s="130"/>
      <c r="BX84" s="130"/>
      <c r="BY84" s="130"/>
      <c r="BZ84" s="130"/>
      <c r="CA84" s="130">
        <f>COUNTIF($CC$12:$CC$13,"Skema 4")</f>
        <v>0</v>
      </c>
      <c r="CB84" s="130"/>
      <c r="CC84" s="130"/>
      <c r="CD84" s="130"/>
      <c r="CE84" s="130"/>
      <c r="CF84" s="130"/>
      <c r="CG84" s="130"/>
      <c r="CH84" s="130"/>
      <c r="CI84" s="130">
        <f t="shared" si="36"/>
        <v>0</v>
      </c>
      <c r="CJ84" s="130"/>
      <c r="CK84" s="130"/>
      <c r="CL84" s="130"/>
      <c r="CM84" s="130"/>
    </row>
    <row r="85" spans="1:91" hidden="1">
      <c r="A85" s="130"/>
      <c r="B85" s="130">
        <f>COUNTIF($D$18:$D$19,"Skema 4")</f>
        <v>0</v>
      </c>
      <c r="C85" s="130"/>
      <c r="D85" s="130"/>
      <c r="E85" s="130"/>
      <c r="F85" s="130"/>
      <c r="G85" s="130"/>
      <c r="H85" s="130"/>
      <c r="I85" s="130">
        <f>COUNTIF($K$22:$K$23,"Skema 4")</f>
        <v>0</v>
      </c>
      <c r="J85" s="130"/>
      <c r="K85" s="130"/>
      <c r="L85" s="130"/>
      <c r="M85" s="130"/>
      <c r="N85" s="130"/>
      <c r="O85" s="130"/>
      <c r="P85" s="130">
        <f>COUNTIF($R$20:$R$21,"Skema 4")</f>
        <v>0</v>
      </c>
      <c r="Q85" s="130"/>
      <c r="R85" s="130"/>
      <c r="S85" s="130"/>
      <c r="T85" s="130"/>
      <c r="U85" s="130"/>
      <c r="V85" s="130"/>
      <c r="W85" s="130">
        <f>COUNTIF($Y$24:$Y$25,"Skema 4")</f>
        <v>0</v>
      </c>
      <c r="X85" s="130"/>
      <c r="Y85" s="130"/>
      <c r="Z85" s="130"/>
      <c r="AA85" s="130"/>
      <c r="AB85" s="130"/>
      <c r="AC85" s="130"/>
      <c r="AD85" s="130">
        <f>COUNTIF($AF$22:$AF$23,"Skema 4")</f>
        <v>0</v>
      </c>
      <c r="AE85" s="130"/>
      <c r="AF85" s="130"/>
      <c r="AG85" s="130"/>
      <c r="AH85" s="130"/>
      <c r="AI85" s="130"/>
      <c r="AJ85" s="130"/>
      <c r="AK85" s="130">
        <f>COUNTIF($AM$19:$AM$20,"Skema 4")</f>
        <v>0</v>
      </c>
      <c r="AL85" s="130"/>
      <c r="AM85" s="130"/>
      <c r="AN85" s="131"/>
      <c r="AO85" s="130"/>
      <c r="AP85" s="130"/>
      <c r="AQ85" s="130"/>
      <c r="AR85" s="130">
        <f>COUNTIF($AT$23:$AT$24,"Skema 4")</f>
        <v>0</v>
      </c>
      <c r="AS85" s="130"/>
      <c r="AT85" s="130"/>
      <c r="AU85" s="131"/>
      <c r="AV85" s="130"/>
      <c r="AW85" s="130"/>
      <c r="AX85" s="130"/>
      <c r="AY85" s="130">
        <f>COUNTIF($BA$22:$BA$23,"Skema 4")</f>
        <v>0</v>
      </c>
      <c r="AZ85" s="130"/>
      <c r="BA85" s="130"/>
      <c r="BB85" s="131"/>
      <c r="BC85" s="130"/>
      <c r="BD85" s="130"/>
      <c r="BE85" s="130"/>
      <c r="BF85" s="130">
        <f>COUNTIF($BH$19:$BH$20,"Skema 4")</f>
        <v>0</v>
      </c>
      <c r="BG85" s="130"/>
      <c r="BH85" s="130"/>
      <c r="BI85" s="130"/>
      <c r="BJ85" s="130"/>
      <c r="BK85" s="130"/>
      <c r="BL85" s="130"/>
      <c r="BM85" s="130">
        <f>COUNTIF($BO$24:$BO$25,"Skema 4")</f>
        <v>0</v>
      </c>
      <c r="BN85" s="130"/>
      <c r="BO85" s="130"/>
      <c r="BP85" s="130"/>
      <c r="BQ85" s="130"/>
      <c r="BR85" s="130"/>
      <c r="BS85" s="130"/>
      <c r="BT85" s="130">
        <f>COUNTIF($BV$21:$BV$22,"Skema 4")</f>
        <v>0</v>
      </c>
      <c r="BU85" s="130"/>
      <c r="BV85" s="130"/>
      <c r="BW85" s="130"/>
      <c r="BX85" s="130"/>
      <c r="BY85" s="130"/>
      <c r="BZ85" s="130"/>
      <c r="CA85" s="130">
        <f>COUNTIF($CC$19:$CC$20,"Skema 4")</f>
        <v>0</v>
      </c>
      <c r="CB85" s="130"/>
      <c r="CC85" s="130"/>
      <c r="CD85" s="130"/>
      <c r="CE85" s="130"/>
      <c r="CF85" s="130"/>
      <c r="CG85" s="130"/>
      <c r="CH85" s="130"/>
      <c r="CI85" s="130">
        <f t="shared" si="36"/>
        <v>0</v>
      </c>
      <c r="CJ85" s="130"/>
      <c r="CK85" s="130"/>
      <c r="CL85" s="130"/>
      <c r="CM85" s="130"/>
    </row>
    <row r="86" spans="1:91" hidden="1">
      <c r="A86" s="130"/>
      <c r="B86" s="130">
        <f>COUNTIF($D$25:$D$26,"Skema 4")</f>
        <v>0</v>
      </c>
      <c r="C86" s="130"/>
      <c r="D86" s="130"/>
      <c r="E86" s="130"/>
      <c r="F86" s="130"/>
      <c r="G86" s="130"/>
      <c r="H86" s="130"/>
      <c r="I86" s="130">
        <f>COUNTIF($K$29:$K$30,"Skema 4")</f>
        <v>0</v>
      </c>
      <c r="J86" s="130"/>
      <c r="K86" s="130"/>
      <c r="L86" s="130"/>
      <c r="M86" s="130"/>
      <c r="N86" s="130"/>
      <c r="O86" s="130"/>
      <c r="P86" s="130">
        <f>COUNTIF($R$27:$R$28,"Skema 4")</f>
        <v>0</v>
      </c>
      <c r="Q86" s="130"/>
      <c r="R86" s="130"/>
      <c r="S86" s="130"/>
      <c r="T86" s="130"/>
      <c r="U86" s="130"/>
      <c r="V86" s="130"/>
      <c r="W86" s="130">
        <f>COUNTIF($Y$31:$Y$32,"Skema 4")</f>
        <v>0</v>
      </c>
      <c r="X86" s="130"/>
      <c r="Y86" s="130"/>
      <c r="Z86" s="130"/>
      <c r="AA86" s="130"/>
      <c r="AB86" s="130"/>
      <c r="AC86" s="130"/>
      <c r="AD86" s="130">
        <f>COUNTIF($AF$29:$AF$30,"Skema 4")</f>
        <v>0</v>
      </c>
      <c r="AE86" s="130"/>
      <c r="AF86" s="130"/>
      <c r="AG86" s="130"/>
      <c r="AH86" s="130"/>
      <c r="AI86" s="130"/>
      <c r="AJ86" s="130"/>
      <c r="AK86" s="130">
        <f>COUNTIF($AM$26:$AM$27,"Skema 4")</f>
        <v>0</v>
      </c>
      <c r="AL86" s="130"/>
      <c r="AM86" s="130"/>
      <c r="AN86" s="131"/>
      <c r="AO86" s="130"/>
      <c r="AP86" s="130"/>
      <c r="AQ86" s="130"/>
      <c r="AR86" s="130">
        <f>COUNTIF($AT$30:$AT$31,"Skema 4")</f>
        <v>0</v>
      </c>
      <c r="AS86" s="130"/>
      <c r="AT86" s="130"/>
      <c r="AU86" s="131"/>
      <c r="AV86" s="130"/>
      <c r="AW86" s="130"/>
      <c r="AX86" s="130"/>
      <c r="AY86" s="130">
        <f>COUNTIF($BA$29:$BA$30,"Skema 4")</f>
        <v>0</v>
      </c>
      <c r="AZ86" s="130"/>
      <c r="BA86" s="130"/>
      <c r="BB86" s="131"/>
      <c r="BC86" s="130"/>
      <c r="BD86" s="130"/>
      <c r="BE86" s="130"/>
      <c r="BF86" s="130">
        <f>COUNTIF($BH$26:$BH$27,"Skema 4")</f>
        <v>0</v>
      </c>
      <c r="BG86" s="130"/>
      <c r="BH86" s="130"/>
      <c r="BI86" s="130"/>
      <c r="BJ86" s="130"/>
      <c r="BK86" s="130"/>
      <c r="BL86" s="130"/>
      <c r="BM86" s="130">
        <f>COUNTIF($BO$31:$BO$32,"Skema 4")</f>
        <v>0</v>
      </c>
      <c r="BN86" s="130"/>
      <c r="BO86" s="130"/>
      <c r="BP86" s="130"/>
      <c r="BQ86" s="130"/>
      <c r="BR86" s="130"/>
      <c r="BS86" s="130"/>
      <c r="BT86" s="130">
        <f>COUNTIF($BV$28:$BV$29,"Skema 4")</f>
        <v>0</v>
      </c>
      <c r="BU86" s="130"/>
      <c r="BV86" s="130"/>
      <c r="BW86" s="130"/>
      <c r="BX86" s="130"/>
      <c r="BY86" s="130"/>
      <c r="BZ86" s="130"/>
      <c r="CA86" s="130">
        <f>COUNTIF($CC$26:$CC$27,"Skema 4")</f>
        <v>0</v>
      </c>
      <c r="CB86" s="130"/>
      <c r="CC86" s="130"/>
      <c r="CD86" s="130"/>
      <c r="CE86" s="130"/>
      <c r="CF86" s="130"/>
      <c r="CG86" s="130"/>
      <c r="CH86" s="130"/>
      <c r="CI86" s="130">
        <f t="shared" si="36"/>
        <v>0</v>
      </c>
      <c r="CJ86" s="130"/>
      <c r="CK86" s="130"/>
      <c r="CL86" s="130"/>
      <c r="CM86" s="130"/>
    </row>
    <row r="87" spans="1:91" hidden="1">
      <c r="A87" s="130"/>
      <c r="B87" s="130">
        <f>COUNTIF($D$32:$D$33,"Skema 4")</f>
        <v>0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>
        <f>COUNTIF($R$34:$R$35,"Skema 4")</f>
        <v>0</v>
      </c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>
        <f>COUNTIF($AM$33:$AM$34,"Skema 4")</f>
        <v>0</v>
      </c>
      <c r="AL87" s="130"/>
      <c r="AM87" s="130"/>
      <c r="AN87" s="131"/>
      <c r="AO87" s="130"/>
      <c r="AP87" s="130"/>
      <c r="AQ87" s="130"/>
      <c r="AR87" s="130"/>
      <c r="AS87" s="130"/>
      <c r="AT87" s="130"/>
      <c r="AU87" s="131"/>
      <c r="AV87" s="130"/>
      <c r="AW87" s="130"/>
      <c r="AX87" s="130"/>
      <c r="AY87" s="130"/>
      <c r="AZ87" s="130"/>
      <c r="BA87" s="130"/>
      <c r="BB87" s="131"/>
      <c r="BC87" s="130"/>
      <c r="BD87" s="130"/>
      <c r="BE87" s="130"/>
      <c r="BF87" s="130">
        <f>COUNTIF($BH$33:$BH$34,"Skema 4")</f>
        <v>0</v>
      </c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>
        <f>COUNTIF($CC$33:$CC$34,"Skema 4")</f>
        <v>0</v>
      </c>
      <c r="CB87" s="130"/>
      <c r="CC87" s="130"/>
      <c r="CD87" s="130"/>
      <c r="CE87" s="130"/>
      <c r="CF87" s="130"/>
      <c r="CG87" s="130"/>
      <c r="CH87" s="130"/>
      <c r="CI87" s="130">
        <f t="shared" si="36"/>
        <v>0</v>
      </c>
      <c r="CJ87" s="130"/>
      <c r="CK87" s="130"/>
      <c r="CL87" s="130"/>
      <c r="CM87" s="130"/>
    </row>
    <row r="88" spans="1:91" hidden="1">
      <c r="A88" s="130"/>
      <c r="B88" s="130" t="s">
        <v>83</v>
      </c>
      <c r="C88" s="130"/>
      <c r="D88" s="130"/>
      <c r="E88" s="130"/>
      <c r="F88" s="130"/>
      <c r="G88" s="130"/>
      <c r="H88" s="130"/>
      <c r="I88" s="130" t="s">
        <v>83</v>
      </c>
      <c r="J88" s="130"/>
      <c r="K88" s="130"/>
      <c r="L88" s="130"/>
      <c r="M88" s="130"/>
      <c r="N88" s="130"/>
      <c r="O88" s="130"/>
      <c r="P88" s="130" t="s">
        <v>83</v>
      </c>
      <c r="Q88" s="130"/>
      <c r="R88" s="130"/>
      <c r="S88" s="130"/>
      <c r="T88" s="130"/>
      <c r="U88" s="130"/>
      <c r="V88" s="130"/>
      <c r="W88" s="130" t="s">
        <v>83</v>
      </c>
      <c r="X88" s="130"/>
      <c r="Y88" s="130"/>
      <c r="Z88" s="130"/>
      <c r="AA88" s="130"/>
      <c r="AB88" s="130"/>
      <c r="AC88" s="130"/>
      <c r="AD88" s="130" t="s">
        <v>83</v>
      </c>
      <c r="AE88" s="130"/>
      <c r="AF88" s="130"/>
      <c r="AG88" s="130"/>
      <c r="AH88" s="130"/>
      <c r="AI88" s="130"/>
      <c r="AJ88" s="130"/>
      <c r="AK88" s="130" t="s">
        <v>83</v>
      </c>
      <c r="AL88" s="130"/>
      <c r="AM88" s="130"/>
      <c r="AN88" s="131"/>
      <c r="AO88" s="130"/>
      <c r="AP88" s="130"/>
      <c r="AQ88" s="130"/>
      <c r="AR88" s="130" t="s">
        <v>83</v>
      </c>
      <c r="AS88" s="130"/>
      <c r="AT88" s="130"/>
      <c r="AU88" s="131"/>
      <c r="AV88" s="130"/>
      <c r="AW88" s="130"/>
      <c r="AX88" s="130"/>
      <c r="AY88" s="130" t="s">
        <v>83</v>
      </c>
      <c r="AZ88" s="130"/>
      <c r="BA88" s="130"/>
      <c r="BB88" s="131"/>
      <c r="BC88" s="130"/>
      <c r="BD88" s="130"/>
      <c r="BE88" s="130"/>
      <c r="BF88" s="130" t="s">
        <v>83</v>
      </c>
      <c r="BG88" s="130"/>
      <c r="BH88" s="130"/>
      <c r="BI88" s="130"/>
      <c r="BJ88" s="130"/>
      <c r="BK88" s="130"/>
      <c r="BL88" s="130"/>
      <c r="BM88" s="130" t="s">
        <v>83</v>
      </c>
      <c r="BN88" s="130"/>
      <c r="BO88" s="130"/>
      <c r="BP88" s="130"/>
      <c r="BQ88" s="130"/>
      <c r="BR88" s="130"/>
      <c r="BS88" s="130"/>
      <c r="BT88" s="130" t="s">
        <v>83</v>
      </c>
      <c r="BU88" s="130"/>
      <c r="BV88" s="130"/>
      <c r="BW88" s="130"/>
      <c r="BX88" s="130"/>
      <c r="BY88" s="130"/>
      <c r="BZ88" s="130"/>
      <c r="CA88" s="130" t="s">
        <v>83</v>
      </c>
      <c r="CB88" s="130"/>
      <c r="CC88" s="130"/>
      <c r="CD88" s="130"/>
      <c r="CE88" s="130"/>
      <c r="CF88" s="130"/>
      <c r="CG88" s="130"/>
      <c r="CH88" s="130"/>
      <c r="CI88" s="130">
        <f t="shared" si="36"/>
        <v>0</v>
      </c>
      <c r="CJ88" s="130"/>
      <c r="CK88" s="130"/>
      <c r="CL88" s="130"/>
      <c r="CM88" s="130"/>
    </row>
    <row r="89" spans="1:91" hidden="1">
      <c r="A89" s="130"/>
      <c r="B89" s="130">
        <f>COUNTIF($D$5,"Fagdag")</f>
        <v>0</v>
      </c>
      <c r="C89" s="130"/>
      <c r="D89" s="130"/>
      <c r="E89" s="130"/>
      <c r="F89" s="130"/>
      <c r="G89" s="130"/>
      <c r="H89" s="130"/>
      <c r="I89" s="130">
        <f>COUNTIF($K$8:$K$9,"Fagdag")</f>
        <v>0</v>
      </c>
      <c r="J89" s="130"/>
      <c r="K89" s="130"/>
      <c r="L89" s="130"/>
      <c r="M89" s="130"/>
      <c r="N89" s="130"/>
      <c r="O89" s="130"/>
      <c r="P89" s="130">
        <f>COUNTIF($R$6:$R$7,"Fagdag")</f>
        <v>0</v>
      </c>
      <c r="Q89" s="130"/>
      <c r="R89" s="130"/>
      <c r="S89" s="130"/>
      <c r="T89" s="130"/>
      <c r="U89" s="130"/>
      <c r="V89" s="130"/>
      <c r="W89" s="130">
        <f>COUNTIF($Y$10:$Y$11,"Fagdag")</f>
        <v>0</v>
      </c>
      <c r="X89" s="130"/>
      <c r="Y89" s="130"/>
      <c r="Z89" s="130"/>
      <c r="AA89" s="130"/>
      <c r="AB89" s="130"/>
      <c r="AC89" s="130"/>
      <c r="AD89" s="130">
        <f>COUNTIF($AF$8:$AF$9,"Fagdag")</f>
        <v>0</v>
      </c>
      <c r="AE89" s="130"/>
      <c r="AF89" s="130"/>
      <c r="AG89" s="130"/>
      <c r="AH89" s="130"/>
      <c r="AI89" s="130"/>
      <c r="AJ89" s="130"/>
      <c r="AK89" s="130">
        <f>COUNTIF($AM$5:$AM$6,"Fagdag")</f>
        <v>0</v>
      </c>
      <c r="AL89" s="130"/>
      <c r="AM89" s="130"/>
      <c r="AN89" s="131"/>
      <c r="AO89" s="130"/>
      <c r="AP89" s="130"/>
      <c r="AQ89" s="130"/>
      <c r="AR89" s="130">
        <f>COUNTIF($AT$9:$AT$10,"Fagdag")</f>
        <v>0</v>
      </c>
      <c r="AS89" s="130"/>
      <c r="AT89" s="130"/>
      <c r="AU89" s="131"/>
      <c r="AV89" s="130"/>
      <c r="AW89" s="130"/>
      <c r="AX89" s="130"/>
      <c r="AY89" s="130">
        <f>COUNTIF($BA$8:$BA$9,"Fagdag")</f>
        <v>0</v>
      </c>
      <c r="AZ89" s="130"/>
      <c r="BA89" s="130"/>
      <c r="BB89" s="131"/>
      <c r="BC89" s="130"/>
      <c r="BD89" s="130"/>
      <c r="BE89" s="130"/>
      <c r="BF89" s="130">
        <f>COUNTIF($BH$5:$BH$6,"Fagdag")</f>
        <v>0</v>
      </c>
      <c r="BG89" s="130"/>
      <c r="BH89" s="130"/>
      <c r="BI89" s="130"/>
      <c r="BJ89" s="130"/>
      <c r="BK89" s="130"/>
      <c r="BL89" s="130"/>
      <c r="BM89" s="130">
        <f>COUNTIF($BO$10:$BO$11,"Fagdag")</f>
        <v>0</v>
      </c>
      <c r="BN89" s="130"/>
      <c r="BO89" s="130"/>
      <c r="BP89" s="130"/>
      <c r="BQ89" s="130"/>
      <c r="BR89" s="130"/>
      <c r="BS89" s="130"/>
      <c r="BT89" s="130">
        <f>COUNTIF($BV$7:$BV$8,"Fagdag")</f>
        <v>0</v>
      </c>
      <c r="BU89" s="130"/>
      <c r="BV89" s="130"/>
      <c r="BW89" s="130"/>
      <c r="BX89" s="130"/>
      <c r="BY89" s="130"/>
      <c r="BZ89" s="130"/>
      <c r="CA89" s="130">
        <f>COUNTIF($CC$5:$CC$6,"Fagdag")</f>
        <v>0</v>
      </c>
      <c r="CB89" s="130"/>
      <c r="CC89" s="130"/>
      <c r="CD89" s="130"/>
      <c r="CE89" s="130"/>
      <c r="CF89" s="130"/>
      <c r="CG89" s="130"/>
      <c r="CH89" s="130"/>
      <c r="CI89" s="130">
        <f t="shared" si="36"/>
        <v>0</v>
      </c>
      <c r="CJ89" s="130"/>
      <c r="CK89" s="130"/>
      <c r="CL89" s="130"/>
      <c r="CM89" s="130"/>
    </row>
    <row r="90" spans="1:91" hidden="1">
      <c r="A90" s="130"/>
      <c r="B90" s="130">
        <f>COUNTIF($D$11:$D$12,"Fagdag")</f>
        <v>0</v>
      </c>
      <c r="C90" s="130"/>
      <c r="D90" s="130"/>
      <c r="E90" s="130"/>
      <c r="F90" s="130"/>
      <c r="G90" s="130"/>
      <c r="H90" s="130"/>
      <c r="I90" s="130">
        <f>COUNTIF($K$15:$K$16,"Fagdag")</f>
        <v>0</v>
      </c>
      <c r="J90" s="130"/>
      <c r="K90" s="130"/>
      <c r="L90" s="130"/>
      <c r="M90" s="130"/>
      <c r="N90" s="130"/>
      <c r="O90" s="130"/>
      <c r="P90" s="130">
        <f>COUNTIF($R$13:$R$14,"Fagdag")</f>
        <v>0</v>
      </c>
      <c r="Q90" s="130"/>
      <c r="R90" s="130"/>
      <c r="S90" s="130"/>
      <c r="T90" s="130"/>
      <c r="U90" s="130"/>
      <c r="V90" s="130"/>
      <c r="W90" s="130">
        <f>COUNTIF($Y$17:$Y$18,"Fagdag")</f>
        <v>0</v>
      </c>
      <c r="X90" s="130"/>
      <c r="Y90" s="130"/>
      <c r="Z90" s="130"/>
      <c r="AA90" s="130"/>
      <c r="AB90" s="130"/>
      <c r="AC90" s="130"/>
      <c r="AD90" s="130">
        <f>COUNTIF($AF$15:$AF$16,"Fagdag")</f>
        <v>0</v>
      </c>
      <c r="AE90" s="130"/>
      <c r="AF90" s="130"/>
      <c r="AG90" s="130"/>
      <c r="AH90" s="130"/>
      <c r="AI90" s="130"/>
      <c r="AJ90" s="130"/>
      <c r="AK90" s="130">
        <f>COUNTIF($AM$12:$AM$13,"Fagdag")</f>
        <v>0</v>
      </c>
      <c r="AL90" s="130"/>
      <c r="AM90" s="130"/>
      <c r="AN90" s="131"/>
      <c r="AO90" s="130"/>
      <c r="AP90" s="130"/>
      <c r="AQ90" s="130"/>
      <c r="AR90" s="130">
        <f>COUNTIF($AT$16:$AT$17,"Fagdag")</f>
        <v>0</v>
      </c>
      <c r="AS90" s="130"/>
      <c r="AT90" s="130"/>
      <c r="AU90" s="131"/>
      <c r="AV90" s="130"/>
      <c r="AW90" s="130"/>
      <c r="AX90" s="130"/>
      <c r="AY90" s="130">
        <f>COUNTIF($BA$15:$BA$16,"Fagdag")</f>
        <v>0</v>
      </c>
      <c r="AZ90" s="130"/>
      <c r="BA90" s="130"/>
      <c r="BB90" s="131"/>
      <c r="BC90" s="130"/>
      <c r="BD90" s="130"/>
      <c r="BE90" s="130"/>
      <c r="BF90" s="130">
        <f>COUNTIF($BH$12:$BH$13,"Fagdag")</f>
        <v>0</v>
      </c>
      <c r="BG90" s="130"/>
      <c r="BH90" s="130"/>
      <c r="BI90" s="130"/>
      <c r="BJ90" s="130"/>
      <c r="BK90" s="130"/>
      <c r="BL90" s="130"/>
      <c r="BM90" s="130">
        <f>COUNTIF($BO$17:$BO$18,"Fagdag")</f>
        <v>0</v>
      </c>
      <c r="BN90" s="130"/>
      <c r="BO90" s="130"/>
      <c r="BP90" s="130"/>
      <c r="BQ90" s="130"/>
      <c r="BR90" s="130"/>
      <c r="BS90" s="130"/>
      <c r="BT90" s="130">
        <f>COUNTIF($BV$14:$BV$15,"Fagdag")</f>
        <v>0</v>
      </c>
      <c r="BU90" s="130"/>
      <c r="BV90" s="130"/>
      <c r="BW90" s="130"/>
      <c r="BX90" s="130"/>
      <c r="BY90" s="130"/>
      <c r="BZ90" s="130"/>
      <c r="CA90" s="130">
        <f>COUNTIF($CC$12:$CC$13,"Fagdag")</f>
        <v>0</v>
      </c>
      <c r="CB90" s="130"/>
      <c r="CC90" s="130"/>
      <c r="CD90" s="130"/>
      <c r="CE90" s="130"/>
      <c r="CF90" s="130"/>
      <c r="CG90" s="130"/>
      <c r="CH90" s="130"/>
      <c r="CI90" s="130">
        <f t="shared" si="36"/>
        <v>0</v>
      </c>
      <c r="CJ90" s="130"/>
      <c r="CK90" s="130"/>
      <c r="CL90" s="130"/>
      <c r="CM90" s="130"/>
    </row>
    <row r="91" spans="1:91" hidden="1">
      <c r="A91" s="130"/>
      <c r="B91" s="130">
        <f>COUNTIF($D$18:$D$19,"Fagdag")</f>
        <v>0</v>
      </c>
      <c r="C91" s="130"/>
      <c r="D91" s="130"/>
      <c r="E91" s="130"/>
      <c r="F91" s="130"/>
      <c r="G91" s="130"/>
      <c r="H91" s="130"/>
      <c r="I91" s="130">
        <f>COUNTIF($K$22:$K$23,"Fagdag")</f>
        <v>0</v>
      </c>
      <c r="J91" s="130"/>
      <c r="K91" s="130"/>
      <c r="L91" s="130"/>
      <c r="M91" s="130"/>
      <c r="N91" s="130"/>
      <c r="O91" s="130"/>
      <c r="P91" s="130">
        <f>COUNTIF($R$20:$R$21,"Fagdag")</f>
        <v>0</v>
      </c>
      <c r="Q91" s="130"/>
      <c r="R91" s="130"/>
      <c r="S91" s="130"/>
      <c r="T91" s="130"/>
      <c r="U91" s="130"/>
      <c r="V91" s="130"/>
      <c r="W91" s="130">
        <f>COUNTIF($Y$24:$Y$25,"Fagdag")</f>
        <v>0</v>
      </c>
      <c r="X91" s="130"/>
      <c r="Y91" s="130"/>
      <c r="Z91" s="130"/>
      <c r="AA91" s="130"/>
      <c r="AB91" s="130"/>
      <c r="AC91" s="130"/>
      <c r="AD91" s="130">
        <f>COUNTIF($AF$22:$AF$23,"Fagdag")</f>
        <v>0</v>
      </c>
      <c r="AE91" s="130"/>
      <c r="AF91" s="130"/>
      <c r="AG91" s="130"/>
      <c r="AH91" s="130"/>
      <c r="AI91" s="130"/>
      <c r="AJ91" s="130"/>
      <c r="AK91" s="130">
        <f>COUNTIF($AM$19:$AM$20,"Fagdag")</f>
        <v>0</v>
      </c>
      <c r="AL91" s="130"/>
      <c r="AM91" s="130"/>
      <c r="AN91" s="131"/>
      <c r="AO91" s="130"/>
      <c r="AP91" s="130"/>
      <c r="AQ91" s="130"/>
      <c r="AR91" s="130">
        <f>COUNTIF($AT$23:$AT$24,"Fagdag")</f>
        <v>0</v>
      </c>
      <c r="AS91" s="130"/>
      <c r="AT91" s="130"/>
      <c r="AU91" s="131"/>
      <c r="AV91" s="130"/>
      <c r="AW91" s="130"/>
      <c r="AX91" s="130"/>
      <c r="AY91" s="130">
        <f>COUNTIF($BA$22:$BA$23,"Fagdag")</f>
        <v>0</v>
      </c>
      <c r="AZ91" s="130"/>
      <c r="BA91" s="130"/>
      <c r="BB91" s="131"/>
      <c r="BC91" s="130"/>
      <c r="BD91" s="130"/>
      <c r="BE91" s="130"/>
      <c r="BF91" s="130">
        <f>COUNTIF($BH$19:$BH$20,"Fagdag")</f>
        <v>0</v>
      </c>
      <c r="BG91" s="130"/>
      <c r="BH91" s="130"/>
      <c r="BI91" s="130"/>
      <c r="BJ91" s="130"/>
      <c r="BK91" s="130"/>
      <c r="BL91" s="130"/>
      <c r="BM91" s="130">
        <f>COUNTIF($BO$24:$BO$25,"Fagdag")</f>
        <v>0</v>
      </c>
      <c r="BN91" s="130"/>
      <c r="BO91" s="130"/>
      <c r="BP91" s="130"/>
      <c r="BQ91" s="130"/>
      <c r="BR91" s="130"/>
      <c r="BS91" s="130"/>
      <c r="BT91" s="130">
        <f>COUNTIF($BV$21:$BV$22,"Fagdag")</f>
        <v>0</v>
      </c>
      <c r="BU91" s="130"/>
      <c r="BV91" s="130"/>
      <c r="BW91" s="130"/>
      <c r="BX91" s="130"/>
      <c r="BY91" s="130"/>
      <c r="BZ91" s="130"/>
      <c r="CA91" s="130">
        <f>COUNTIF($CC$19:$CC$20,"Fagdag")</f>
        <v>0</v>
      </c>
      <c r="CB91" s="130"/>
      <c r="CC91" s="130"/>
      <c r="CD91" s="130"/>
      <c r="CE91" s="130"/>
      <c r="CF91" s="130"/>
      <c r="CG91" s="130"/>
      <c r="CH91" s="130"/>
      <c r="CI91" s="130">
        <f t="shared" si="36"/>
        <v>0</v>
      </c>
      <c r="CJ91" s="130"/>
      <c r="CK91" s="130"/>
      <c r="CL91" s="130"/>
      <c r="CM91" s="130"/>
    </row>
    <row r="92" spans="1:91" hidden="1">
      <c r="A92" s="130"/>
      <c r="B92" s="130">
        <f>COUNTIF($D$25:$D$26,"Fagdag")</f>
        <v>0</v>
      </c>
      <c r="C92" s="130"/>
      <c r="D92" s="130"/>
      <c r="E92" s="130"/>
      <c r="F92" s="130"/>
      <c r="G92" s="130"/>
      <c r="H92" s="130"/>
      <c r="I92" s="130">
        <f>COUNTIF($K$29:$K$30,"Fagdag")</f>
        <v>0</v>
      </c>
      <c r="J92" s="130"/>
      <c r="K92" s="130"/>
      <c r="L92" s="130"/>
      <c r="M92" s="130"/>
      <c r="N92" s="130"/>
      <c r="O92" s="130"/>
      <c r="P92" s="130">
        <f>COUNTIF($R$27:$R$28,"Fagdag")</f>
        <v>0</v>
      </c>
      <c r="Q92" s="130"/>
      <c r="R92" s="130"/>
      <c r="S92" s="130"/>
      <c r="T92" s="130"/>
      <c r="U92" s="130"/>
      <c r="V92" s="130"/>
      <c r="W92" s="130">
        <f>COUNTIF($Y$31:$Y$32,"Fagdag")</f>
        <v>0</v>
      </c>
      <c r="X92" s="130"/>
      <c r="Y92" s="130"/>
      <c r="Z92" s="130"/>
      <c r="AA92" s="130"/>
      <c r="AB92" s="130"/>
      <c r="AC92" s="130"/>
      <c r="AD92" s="130">
        <f>COUNTIF($AF$29:$AF$30,"Fagdag")</f>
        <v>0</v>
      </c>
      <c r="AE92" s="130"/>
      <c r="AF92" s="130"/>
      <c r="AG92" s="130"/>
      <c r="AH92" s="130"/>
      <c r="AI92" s="130"/>
      <c r="AJ92" s="130"/>
      <c r="AK92" s="130">
        <f>COUNTIF($AM$26:$AM$27,"Fagdag")</f>
        <v>0</v>
      </c>
      <c r="AL92" s="130"/>
      <c r="AM92" s="130"/>
      <c r="AN92" s="131"/>
      <c r="AO92" s="130"/>
      <c r="AP92" s="130"/>
      <c r="AQ92" s="130"/>
      <c r="AR92" s="130">
        <f>COUNTIF($AT$30:$AT$31,"Fagdag")</f>
        <v>0</v>
      </c>
      <c r="AS92" s="130"/>
      <c r="AT92" s="130"/>
      <c r="AU92" s="131"/>
      <c r="AV92" s="130"/>
      <c r="AW92" s="130"/>
      <c r="AX92" s="130"/>
      <c r="AY92" s="130">
        <f>COUNTIF($BA$29:$BA$30,"Fagdag")</f>
        <v>0</v>
      </c>
      <c r="AZ92" s="130"/>
      <c r="BA92" s="130"/>
      <c r="BB92" s="131"/>
      <c r="BC92" s="130"/>
      <c r="BD92" s="130"/>
      <c r="BE92" s="130"/>
      <c r="BF92" s="130">
        <f>COUNTIF($BH$26:$BH$27,"Fagdag")</f>
        <v>0</v>
      </c>
      <c r="BG92" s="130"/>
      <c r="BH92" s="130"/>
      <c r="BI92" s="130"/>
      <c r="BJ92" s="130"/>
      <c r="BK92" s="130"/>
      <c r="BL92" s="130"/>
      <c r="BM92" s="130">
        <f>COUNTIF($BO$31:$BO$32,"Fagdag")</f>
        <v>0</v>
      </c>
      <c r="BN92" s="130"/>
      <c r="BO92" s="130"/>
      <c r="BP92" s="130"/>
      <c r="BQ92" s="130"/>
      <c r="BR92" s="130"/>
      <c r="BS92" s="130"/>
      <c r="BT92" s="130">
        <f>COUNTIF($BV$28:$BV$29,"Fagdag")</f>
        <v>0</v>
      </c>
      <c r="BU92" s="130"/>
      <c r="BV92" s="130"/>
      <c r="BW92" s="130"/>
      <c r="BX92" s="130"/>
      <c r="BY92" s="130"/>
      <c r="BZ92" s="130"/>
      <c r="CA92" s="130">
        <f>COUNTIF($CC$26:$CC$27,"Fagdag")</f>
        <v>0</v>
      </c>
      <c r="CB92" s="130"/>
      <c r="CC92" s="130"/>
      <c r="CD92" s="130"/>
      <c r="CE92" s="130"/>
      <c r="CF92" s="130"/>
      <c r="CG92" s="130"/>
      <c r="CH92" s="130"/>
      <c r="CI92" s="130">
        <f t="shared" si="36"/>
        <v>0</v>
      </c>
      <c r="CJ92" s="130"/>
      <c r="CK92" s="130"/>
      <c r="CL92" s="130"/>
      <c r="CM92" s="130"/>
    </row>
    <row r="93" spans="1:91" hidden="1">
      <c r="A93" s="130"/>
      <c r="B93" s="130">
        <f>COUNTIF($D$32:$D$33,"Fagdag")</f>
        <v>0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>
        <f>COUNTIF($R$34:$R$35,"Fagdag")</f>
        <v>0</v>
      </c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>
        <f>COUNTIF($AM$33:$AM$34,"Fagdag")</f>
        <v>0</v>
      </c>
      <c r="AL93" s="130"/>
      <c r="AM93" s="130"/>
      <c r="AN93" s="131"/>
      <c r="AO93" s="130"/>
      <c r="AP93" s="130"/>
      <c r="AQ93" s="130"/>
      <c r="AR93" s="130"/>
      <c r="AS93" s="130"/>
      <c r="AT93" s="130"/>
      <c r="AU93" s="131"/>
      <c r="AV93" s="130"/>
      <c r="AW93" s="130"/>
      <c r="AX93" s="130"/>
      <c r="AY93" s="130"/>
      <c r="AZ93" s="130"/>
      <c r="BA93" s="130"/>
      <c r="BB93" s="131"/>
      <c r="BC93" s="130"/>
      <c r="BD93" s="130"/>
      <c r="BE93" s="130"/>
      <c r="BF93" s="130">
        <f>COUNTIF($BH$33:$BH$34,"Fagdag")</f>
        <v>0</v>
      </c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0"/>
      <c r="BW93" s="130"/>
      <c r="BX93" s="130"/>
      <c r="BY93" s="130"/>
      <c r="BZ93" s="130"/>
      <c r="CA93" s="130">
        <f>COUNTIF($CC$33:$CC$34,"Fagdag")</f>
        <v>0</v>
      </c>
      <c r="CB93" s="130"/>
      <c r="CC93" s="130"/>
      <c r="CD93" s="130"/>
      <c r="CE93" s="130"/>
      <c r="CF93" s="130"/>
      <c r="CG93" s="130"/>
      <c r="CH93" s="130"/>
      <c r="CI93" s="130">
        <f t="shared" si="36"/>
        <v>0</v>
      </c>
      <c r="CJ93" s="130"/>
      <c r="CK93" s="130"/>
      <c r="CL93" s="130"/>
      <c r="CM93" s="130"/>
    </row>
    <row r="94" spans="1:91" hidden="1">
      <c r="A94" s="130"/>
      <c r="B94" s="130" t="s">
        <v>132</v>
      </c>
      <c r="C94" s="130"/>
      <c r="D94" s="130"/>
      <c r="E94" s="130"/>
      <c r="F94" s="130"/>
      <c r="G94" s="130"/>
      <c r="H94" s="130"/>
      <c r="I94" s="130" t="s">
        <v>132</v>
      </c>
      <c r="J94" s="130"/>
      <c r="K94" s="130"/>
      <c r="L94" s="130"/>
      <c r="M94" s="130"/>
      <c r="N94" s="130"/>
      <c r="O94" s="130"/>
      <c r="P94" s="130" t="s">
        <v>132</v>
      </c>
      <c r="Q94" s="130"/>
      <c r="R94" s="130"/>
      <c r="S94" s="130"/>
      <c r="T94" s="130"/>
      <c r="U94" s="130"/>
      <c r="V94" s="130"/>
      <c r="W94" s="130" t="s">
        <v>132</v>
      </c>
      <c r="X94" s="130"/>
      <c r="Y94" s="130"/>
      <c r="Z94" s="130"/>
      <c r="AA94" s="130"/>
      <c r="AB94" s="130"/>
      <c r="AC94" s="130"/>
      <c r="AD94" s="130" t="s">
        <v>132</v>
      </c>
      <c r="AE94" s="130"/>
      <c r="AF94" s="130"/>
      <c r="AG94" s="130"/>
      <c r="AH94" s="130"/>
      <c r="AI94" s="130"/>
      <c r="AJ94" s="130"/>
      <c r="AK94" s="130" t="s">
        <v>132</v>
      </c>
      <c r="AL94" s="130"/>
      <c r="AM94" s="130"/>
      <c r="AN94" s="131"/>
      <c r="AO94" s="130"/>
      <c r="AP94" s="130"/>
      <c r="AQ94" s="130"/>
      <c r="AR94" s="130" t="s">
        <v>132</v>
      </c>
      <c r="AS94" s="130"/>
      <c r="AT94" s="130"/>
      <c r="AU94" s="131"/>
      <c r="AV94" s="130"/>
      <c r="AW94" s="130"/>
      <c r="AX94" s="130"/>
      <c r="AY94" s="130" t="s">
        <v>132</v>
      </c>
      <c r="AZ94" s="130"/>
      <c r="BA94" s="130"/>
      <c r="BB94" s="131"/>
      <c r="BC94" s="130"/>
      <c r="BD94" s="130"/>
      <c r="BE94" s="130"/>
      <c r="BF94" s="130" t="s">
        <v>132</v>
      </c>
      <c r="BG94" s="130"/>
      <c r="BH94" s="130"/>
      <c r="BI94" s="130"/>
      <c r="BJ94" s="130"/>
      <c r="BK94" s="130"/>
      <c r="BL94" s="130"/>
      <c r="BM94" s="130" t="s">
        <v>132</v>
      </c>
      <c r="BN94" s="130"/>
      <c r="BO94" s="130"/>
      <c r="BP94" s="130"/>
      <c r="BQ94" s="130"/>
      <c r="BR94" s="130"/>
      <c r="BS94" s="130"/>
      <c r="BT94" s="130" t="s">
        <v>132</v>
      </c>
      <c r="BU94" s="130"/>
      <c r="BV94" s="130"/>
      <c r="BW94" s="130"/>
      <c r="BX94" s="130"/>
      <c r="BY94" s="130"/>
      <c r="BZ94" s="130"/>
      <c r="CA94" s="130" t="s">
        <v>132</v>
      </c>
      <c r="CB94" s="130"/>
      <c r="CC94" s="130"/>
      <c r="CD94" s="130"/>
      <c r="CE94" s="130"/>
      <c r="CF94" s="130"/>
      <c r="CG94" s="130"/>
      <c r="CH94" s="130"/>
      <c r="CI94" s="130">
        <f t="shared" si="36"/>
        <v>0</v>
      </c>
      <c r="CJ94" s="130"/>
      <c r="CK94" s="130"/>
      <c r="CL94" s="130"/>
      <c r="CM94" s="130"/>
    </row>
    <row r="95" spans="1:91" hidden="1">
      <c r="A95" s="130"/>
      <c r="B95" s="130">
        <f>COUNTIF($D$5,"Emnedag")</f>
        <v>0</v>
      </c>
      <c r="C95" s="130"/>
      <c r="D95" s="130"/>
      <c r="E95" s="130"/>
      <c r="F95" s="130"/>
      <c r="G95" s="130"/>
      <c r="H95" s="130"/>
      <c r="I95" s="130">
        <f>COUNTIF($K$8:$K$9,"Emnedag")</f>
        <v>0</v>
      </c>
      <c r="J95" s="130"/>
      <c r="K95" s="130"/>
      <c r="L95" s="130"/>
      <c r="M95" s="130"/>
      <c r="N95" s="130"/>
      <c r="O95" s="130"/>
      <c r="P95" s="130">
        <f>COUNTIF($R$6:$R$7,"Emnedag")</f>
        <v>0</v>
      </c>
      <c r="Q95" s="130"/>
      <c r="R95" s="130"/>
      <c r="S95" s="130"/>
      <c r="T95" s="130"/>
      <c r="U95" s="130"/>
      <c r="V95" s="130"/>
      <c r="W95" s="130">
        <f>COUNTIF($Y$10:$Y$11,"Emnedag")</f>
        <v>0</v>
      </c>
      <c r="X95" s="130"/>
      <c r="Y95" s="130"/>
      <c r="Z95" s="130"/>
      <c r="AA95" s="130"/>
      <c r="AB95" s="130"/>
      <c r="AC95" s="130"/>
      <c r="AD95" s="130">
        <f>COUNTIF($AF$8:$AF$9,"Emnedag")</f>
        <v>0</v>
      </c>
      <c r="AE95" s="130"/>
      <c r="AF95" s="130"/>
      <c r="AG95" s="130"/>
      <c r="AH95" s="130"/>
      <c r="AI95" s="130"/>
      <c r="AJ95" s="130"/>
      <c r="AK95" s="130">
        <f>COUNTIF($AM$5:$AM$6,"Emnedag")</f>
        <v>0</v>
      </c>
      <c r="AL95" s="130"/>
      <c r="AM95" s="130"/>
      <c r="AN95" s="131"/>
      <c r="AO95" s="130"/>
      <c r="AP95" s="130"/>
      <c r="AQ95" s="130"/>
      <c r="AR95" s="130">
        <f>COUNTIF($AT$9:$AT$10,"Emnedag")</f>
        <v>0</v>
      </c>
      <c r="AS95" s="130"/>
      <c r="AT95" s="130"/>
      <c r="AU95" s="131"/>
      <c r="AV95" s="130"/>
      <c r="AW95" s="130"/>
      <c r="AX95" s="130"/>
      <c r="AY95" s="130">
        <f>COUNTIF($BA$8:$BA$9,"Emnedag")</f>
        <v>0</v>
      </c>
      <c r="AZ95" s="130"/>
      <c r="BA95" s="130"/>
      <c r="BB95" s="131"/>
      <c r="BC95" s="130"/>
      <c r="BD95" s="130"/>
      <c r="BE95" s="130"/>
      <c r="BF95" s="130">
        <f>COUNTIF($BH$5:$BH$6,"Emnedag")</f>
        <v>0</v>
      </c>
      <c r="BG95" s="130"/>
      <c r="BH95" s="130"/>
      <c r="BI95" s="130"/>
      <c r="BJ95" s="130"/>
      <c r="BK95" s="130"/>
      <c r="BL95" s="130"/>
      <c r="BM95" s="130">
        <f>COUNTIF($BO$10:$BO$11,"Emnedag")</f>
        <v>0</v>
      </c>
      <c r="BN95" s="130"/>
      <c r="BO95" s="130"/>
      <c r="BP95" s="130"/>
      <c r="BQ95" s="130"/>
      <c r="BR95" s="130"/>
      <c r="BS95" s="130"/>
      <c r="BT95" s="130">
        <f>COUNTIF($BV$7:$BV$8,"Emnedag")</f>
        <v>0</v>
      </c>
      <c r="BU95" s="130"/>
      <c r="BV95" s="130"/>
      <c r="BW95" s="130"/>
      <c r="BX95" s="130"/>
      <c r="BY95" s="130"/>
      <c r="BZ95" s="130"/>
      <c r="CA95" s="130">
        <f>COUNTIF($CC$5:$CC$6,"Emnedag")</f>
        <v>0</v>
      </c>
      <c r="CB95" s="130"/>
      <c r="CC95" s="130"/>
      <c r="CD95" s="130"/>
      <c r="CE95" s="130"/>
      <c r="CF95" s="130"/>
      <c r="CG95" s="130"/>
      <c r="CH95" s="130"/>
      <c r="CI95" s="130">
        <f t="shared" si="36"/>
        <v>0</v>
      </c>
      <c r="CJ95" s="130"/>
      <c r="CK95" s="130"/>
      <c r="CL95" s="130"/>
      <c r="CM95" s="130"/>
    </row>
    <row r="96" spans="1:91" hidden="1">
      <c r="A96" s="130"/>
      <c r="B96" s="130">
        <f>COUNTIF($D$11:$D$12,"Emnedag")</f>
        <v>0</v>
      </c>
      <c r="C96" s="130"/>
      <c r="D96" s="130"/>
      <c r="E96" s="130"/>
      <c r="F96" s="130"/>
      <c r="G96" s="130"/>
      <c r="H96" s="130"/>
      <c r="I96" s="130">
        <f>COUNTIF($K$15:$K$16,"Emnedag")</f>
        <v>0</v>
      </c>
      <c r="J96" s="130"/>
      <c r="K96" s="130"/>
      <c r="L96" s="130"/>
      <c r="M96" s="130"/>
      <c r="N96" s="130"/>
      <c r="O96" s="130"/>
      <c r="P96" s="130">
        <f>COUNTIF($R$13:$R$14,"Emnedag")</f>
        <v>0</v>
      </c>
      <c r="Q96" s="130"/>
      <c r="R96" s="130"/>
      <c r="S96" s="130"/>
      <c r="T96" s="130"/>
      <c r="U96" s="130"/>
      <c r="V96" s="130"/>
      <c r="W96" s="130">
        <f>COUNTIF($Y$17:$Y$18,"Emnedag")</f>
        <v>0</v>
      </c>
      <c r="X96" s="130"/>
      <c r="Y96" s="130"/>
      <c r="Z96" s="130"/>
      <c r="AA96" s="130"/>
      <c r="AB96" s="130"/>
      <c r="AC96" s="130"/>
      <c r="AD96" s="130">
        <f>COUNTIF($AF$15:$AF$16,"Emnedag")</f>
        <v>0</v>
      </c>
      <c r="AE96" s="130"/>
      <c r="AF96" s="130"/>
      <c r="AG96" s="130"/>
      <c r="AH96" s="130"/>
      <c r="AI96" s="130"/>
      <c r="AJ96" s="130"/>
      <c r="AK96" s="130">
        <f>COUNTIF($AM$12:$AM$13,"Emnedag")</f>
        <v>0</v>
      </c>
      <c r="AL96" s="130"/>
      <c r="AM96" s="130"/>
      <c r="AN96" s="131"/>
      <c r="AO96" s="130"/>
      <c r="AP96" s="130"/>
      <c r="AQ96" s="130"/>
      <c r="AR96" s="130">
        <f>COUNTIF($AT$16:$AT$17,"Emnedag")</f>
        <v>0</v>
      </c>
      <c r="AS96" s="130"/>
      <c r="AT96" s="130"/>
      <c r="AU96" s="131"/>
      <c r="AV96" s="130"/>
      <c r="AW96" s="130"/>
      <c r="AX96" s="130"/>
      <c r="AY96" s="130">
        <f>COUNTIF($BA$15:$BA$16,"Emnedag")</f>
        <v>0</v>
      </c>
      <c r="AZ96" s="130"/>
      <c r="BA96" s="130"/>
      <c r="BB96" s="131"/>
      <c r="BC96" s="130"/>
      <c r="BD96" s="130"/>
      <c r="BE96" s="130"/>
      <c r="BF96" s="130">
        <f>COUNTIF($BH$12:$BH$13,"Emnedag")</f>
        <v>0</v>
      </c>
      <c r="BG96" s="130"/>
      <c r="BH96" s="130"/>
      <c r="BI96" s="130"/>
      <c r="BJ96" s="130"/>
      <c r="BK96" s="130"/>
      <c r="BL96" s="130"/>
      <c r="BM96" s="130">
        <f>COUNTIF($BO$17:$BO$18,"Emnedag")</f>
        <v>0</v>
      </c>
      <c r="BN96" s="130"/>
      <c r="BO96" s="130"/>
      <c r="BP96" s="130"/>
      <c r="BQ96" s="130"/>
      <c r="BR96" s="130"/>
      <c r="BS96" s="130"/>
      <c r="BT96" s="130">
        <f>COUNTIF($BV$14:$BV$15,"Emnedag")</f>
        <v>0</v>
      </c>
      <c r="BU96" s="130"/>
      <c r="BV96" s="130"/>
      <c r="BW96" s="130"/>
      <c r="BX96" s="130"/>
      <c r="BY96" s="130"/>
      <c r="BZ96" s="130"/>
      <c r="CA96" s="130">
        <f>COUNTIF($CC$12:$CC$13,"Emnedag")</f>
        <v>0</v>
      </c>
      <c r="CB96" s="130"/>
      <c r="CC96" s="130"/>
      <c r="CD96" s="130"/>
      <c r="CE96" s="130"/>
      <c r="CF96" s="130"/>
      <c r="CG96" s="130"/>
      <c r="CH96" s="130"/>
      <c r="CI96" s="130">
        <f t="shared" si="36"/>
        <v>0</v>
      </c>
      <c r="CJ96" s="130"/>
      <c r="CK96" s="130"/>
      <c r="CL96" s="130"/>
      <c r="CM96" s="130"/>
    </row>
    <row r="97" spans="1:91" hidden="1">
      <c r="A97" s="130"/>
      <c r="B97" s="130">
        <f>COUNTIF($D$18:$D$19,"Emnedag")</f>
        <v>0</v>
      </c>
      <c r="C97" s="130"/>
      <c r="D97" s="130"/>
      <c r="E97" s="130"/>
      <c r="F97" s="130"/>
      <c r="G97" s="130"/>
      <c r="H97" s="130"/>
      <c r="I97" s="130">
        <f>COUNTIF($K$22:$K$23,"Emnedag")</f>
        <v>0</v>
      </c>
      <c r="J97" s="130"/>
      <c r="K97" s="130"/>
      <c r="L97" s="130"/>
      <c r="M97" s="130"/>
      <c r="N97" s="130"/>
      <c r="O97" s="130"/>
      <c r="P97" s="130">
        <f>COUNTIF($R$20:$R$21,"Emnedag")</f>
        <v>0</v>
      </c>
      <c r="Q97" s="130"/>
      <c r="R97" s="130"/>
      <c r="S97" s="130"/>
      <c r="T97" s="130"/>
      <c r="U97" s="130"/>
      <c r="V97" s="130"/>
      <c r="W97" s="130">
        <f>COUNTIF($Y$24:$Y$25,"Emnedag")</f>
        <v>0</v>
      </c>
      <c r="X97" s="130"/>
      <c r="Y97" s="130"/>
      <c r="Z97" s="130"/>
      <c r="AA97" s="130"/>
      <c r="AB97" s="130"/>
      <c r="AC97" s="130"/>
      <c r="AD97" s="130">
        <f>COUNTIF($AF$22:$AF$23,"Emnedag")</f>
        <v>0</v>
      </c>
      <c r="AE97" s="130"/>
      <c r="AF97" s="130"/>
      <c r="AG97" s="130"/>
      <c r="AH97" s="130"/>
      <c r="AI97" s="130"/>
      <c r="AJ97" s="130"/>
      <c r="AK97" s="130">
        <f>COUNTIF($AM$19:$AM$20,"Emnedag")</f>
        <v>0</v>
      </c>
      <c r="AL97" s="130"/>
      <c r="AM97" s="130"/>
      <c r="AN97" s="131"/>
      <c r="AO97" s="130"/>
      <c r="AP97" s="130"/>
      <c r="AQ97" s="130"/>
      <c r="AR97" s="130">
        <f>COUNTIF($AT$23:$AT$24,"Emnedag")</f>
        <v>0</v>
      </c>
      <c r="AS97" s="130"/>
      <c r="AT97" s="130"/>
      <c r="AU97" s="131"/>
      <c r="AV97" s="130"/>
      <c r="AW97" s="130"/>
      <c r="AX97" s="130"/>
      <c r="AY97" s="130">
        <f>COUNTIF($BA$22:$BA$23,"Emnedag")</f>
        <v>0</v>
      </c>
      <c r="AZ97" s="130"/>
      <c r="BA97" s="130"/>
      <c r="BB97" s="131"/>
      <c r="BC97" s="130"/>
      <c r="BD97" s="130"/>
      <c r="BE97" s="130"/>
      <c r="BF97" s="130">
        <f>COUNTIF($BH$19:$BH$20,"Emnedag")</f>
        <v>0</v>
      </c>
      <c r="BG97" s="130"/>
      <c r="BH97" s="130"/>
      <c r="BI97" s="130"/>
      <c r="BJ97" s="130"/>
      <c r="BK97" s="130"/>
      <c r="BL97" s="130"/>
      <c r="BM97" s="130">
        <f>COUNTIF($BO$24:$BO$25,"Emnedag")</f>
        <v>0</v>
      </c>
      <c r="BN97" s="130"/>
      <c r="BO97" s="130"/>
      <c r="BP97" s="130"/>
      <c r="BQ97" s="130"/>
      <c r="BR97" s="130"/>
      <c r="BS97" s="130"/>
      <c r="BT97" s="130">
        <f>COUNTIF($BV$21:$BV$22,"Emnedag")</f>
        <v>0</v>
      </c>
      <c r="BU97" s="130"/>
      <c r="BV97" s="130"/>
      <c r="BW97" s="130"/>
      <c r="BX97" s="130"/>
      <c r="BY97" s="130"/>
      <c r="BZ97" s="130"/>
      <c r="CA97" s="130">
        <f>COUNTIF($CC$19:$CC$20,"Emnedag")</f>
        <v>0</v>
      </c>
      <c r="CB97" s="130"/>
      <c r="CC97" s="130"/>
      <c r="CD97" s="130"/>
      <c r="CE97" s="130"/>
      <c r="CF97" s="130"/>
      <c r="CG97" s="130"/>
      <c r="CH97" s="130"/>
      <c r="CI97" s="130">
        <f t="shared" ref="CI97:CI117" si="37">SUM(A97:CH97)</f>
        <v>0</v>
      </c>
      <c r="CJ97" s="130"/>
      <c r="CK97" s="130"/>
      <c r="CL97" s="130"/>
      <c r="CM97" s="130"/>
    </row>
    <row r="98" spans="1:91" hidden="1">
      <c r="A98" s="130"/>
      <c r="B98" s="130">
        <f>COUNTIF($D$25:$D$26,"Emnedag")</f>
        <v>0</v>
      </c>
      <c r="C98" s="130"/>
      <c r="D98" s="130"/>
      <c r="E98" s="130"/>
      <c r="F98" s="130"/>
      <c r="G98" s="130"/>
      <c r="H98" s="130"/>
      <c r="I98" s="130">
        <f>COUNTIF($K$29:$K$30,"Emnedag")</f>
        <v>0</v>
      </c>
      <c r="J98" s="130"/>
      <c r="K98" s="130"/>
      <c r="L98" s="130"/>
      <c r="M98" s="130"/>
      <c r="N98" s="130"/>
      <c r="O98" s="130"/>
      <c r="P98" s="130">
        <f>COUNTIF($R$27:$R$28,"Emnedag")</f>
        <v>0</v>
      </c>
      <c r="Q98" s="130"/>
      <c r="R98" s="130"/>
      <c r="S98" s="130"/>
      <c r="T98" s="130"/>
      <c r="U98" s="130"/>
      <c r="V98" s="130"/>
      <c r="W98" s="130">
        <f>COUNTIF($Y$31:$Y$32,"Emnedag")</f>
        <v>0</v>
      </c>
      <c r="X98" s="130"/>
      <c r="Y98" s="130"/>
      <c r="Z98" s="130"/>
      <c r="AA98" s="130"/>
      <c r="AB98" s="130"/>
      <c r="AC98" s="130"/>
      <c r="AD98" s="130">
        <f>COUNTIF($AF$29:$AF$30,"Emnedag")</f>
        <v>0</v>
      </c>
      <c r="AE98" s="130"/>
      <c r="AF98" s="130"/>
      <c r="AG98" s="130"/>
      <c r="AH98" s="130"/>
      <c r="AI98" s="130"/>
      <c r="AJ98" s="130"/>
      <c r="AK98" s="130">
        <f>COUNTIF($AM$26:$AM$27,"Emnedag")</f>
        <v>0</v>
      </c>
      <c r="AL98" s="130"/>
      <c r="AM98" s="130"/>
      <c r="AN98" s="131"/>
      <c r="AO98" s="130"/>
      <c r="AP98" s="130"/>
      <c r="AQ98" s="130"/>
      <c r="AR98" s="130">
        <f>COUNTIF($AT$30:$AT$31,"Emnedag")</f>
        <v>0</v>
      </c>
      <c r="AS98" s="130"/>
      <c r="AT98" s="130"/>
      <c r="AU98" s="131"/>
      <c r="AV98" s="130"/>
      <c r="AW98" s="130"/>
      <c r="AX98" s="130"/>
      <c r="AY98" s="130">
        <f>COUNTIF($BA$29:$BA$30,"Emnedag")</f>
        <v>0</v>
      </c>
      <c r="AZ98" s="130"/>
      <c r="BA98" s="130"/>
      <c r="BB98" s="131"/>
      <c r="BC98" s="130"/>
      <c r="BD98" s="130"/>
      <c r="BE98" s="130"/>
      <c r="BF98" s="130">
        <f>COUNTIF($BH$26:$BH$27,"Emnedag")</f>
        <v>0</v>
      </c>
      <c r="BG98" s="130"/>
      <c r="BH98" s="130"/>
      <c r="BI98" s="130"/>
      <c r="BJ98" s="130"/>
      <c r="BK98" s="130"/>
      <c r="BL98" s="130"/>
      <c r="BM98" s="130">
        <f>COUNTIF($BO$31:$BO$32,"Emnedag")</f>
        <v>0</v>
      </c>
      <c r="BN98" s="130"/>
      <c r="BO98" s="130"/>
      <c r="BP98" s="130"/>
      <c r="BQ98" s="130"/>
      <c r="BR98" s="130"/>
      <c r="BS98" s="130"/>
      <c r="BT98" s="130">
        <f>COUNTIF($BV$28:$BV$29,"Emnedag")</f>
        <v>0</v>
      </c>
      <c r="BU98" s="130"/>
      <c r="BV98" s="130"/>
      <c r="BW98" s="130"/>
      <c r="BX98" s="130"/>
      <c r="BY98" s="130"/>
      <c r="BZ98" s="130"/>
      <c r="CA98" s="130">
        <f>COUNTIF($CC$26:$CC$27,"Emnedag")</f>
        <v>0</v>
      </c>
      <c r="CB98" s="130"/>
      <c r="CC98" s="130"/>
      <c r="CD98" s="130"/>
      <c r="CE98" s="130"/>
      <c r="CF98" s="130"/>
      <c r="CG98" s="130"/>
      <c r="CH98" s="130"/>
      <c r="CI98" s="130">
        <f t="shared" si="37"/>
        <v>0</v>
      </c>
      <c r="CJ98" s="130"/>
      <c r="CK98" s="130"/>
      <c r="CL98" s="130"/>
      <c r="CM98" s="130"/>
    </row>
    <row r="99" spans="1:91" hidden="1">
      <c r="A99" s="130"/>
      <c r="B99" s="130">
        <f>COUNTIF($D$32:$D$33,"Emnedag")</f>
        <v>0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>
        <f>COUNTIF($R$34:$R$35,"Emnedag")</f>
        <v>0</v>
      </c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>
        <f>COUNTIF($AM$33:$AM$34,"Emnedag")</f>
        <v>0</v>
      </c>
      <c r="AL99" s="130"/>
      <c r="AM99" s="130"/>
      <c r="AN99" s="131"/>
      <c r="AO99" s="130"/>
      <c r="AP99" s="130"/>
      <c r="AQ99" s="130"/>
      <c r="AR99" s="130"/>
      <c r="AS99" s="130"/>
      <c r="AT99" s="130"/>
      <c r="AU99" s="131"/>
      <c r="AV99" s="130"/>
      <c r="AW99" s="130"/>
      <c r="AX99" s="130"/>
      <c r="AY99" s="130"/>
      <c r="AZ99" s="130"/>
      <c r="BA99" s="130"/>
      <c r="BB99" s="131"/>
      <c r="BC99" s="130"/>
      <c r="BD99" s="130"/>
      <c r="BE99" s="130"/>
      <c r="BF99" s="130">
        <f>COUNTIF($BH$33:$BH$34,"Emnedag")</f>
        <v>0</v>
      </c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>
        <f>COUNTIF($CC$33:$CC$34,"Emnedag")</f>
        <v>0</v>
      </c>
      <c r="CB99" s="130"/>
      <c r="CC99" s="130"/>
      <c r="CD99" s="130"/>
      <c r="CE99" s="130"/>
      <c r="CF99" s="130"/>
      <c r="CG99" s="130"/>
      <c r="CH99" s="130"/>
      <c r="CI99" s="130">
        <f t="shared" si="37"/>
        <v>0</v>
      </c>
      <c r="CJ99" s="130"/>
      <c r="CK99" s="130"/>
      <c r="CL99" s="130"/>
      <c r="CM99" s="130"/>
    </row>
    <row r="100" spans="1:91" hidden="1">
      <c r="A100" s="130"/>
      <c r="B100" s="130" t="s">
        <v>147</v>
      </c>
      <c r="C100" s="130"/>
      <c r="D100" s="130"/>
      <c r="E100" s="130"/>
      <c r="F100" s="130"/>
      <c r="G100" s="130"/>
      <c r="H100" s="130"/>
      <c r="I100" s="130" t="s">
        <v>133</v>
      </c>
      <c r="J100" s="130"/>
      <c r="K100" s="130"/>
      <c r="L100" s="130"/>
      <c r="M100" s="130"/>
      <c r="N100" s="130"/>
      <c r="O100" s="130"/>
      <c r="P100" s="130" t="s">
        <v>133</v>
      </c>
      <c r="Q100" s="130"/>
      <c r="R100" s="130"/>
      <c r="S100" s="130"/>
      <c r="T100" s="130"/>
      <c r="U100" s="130"/>
      <c r="V100" s="130"/>
      <c r="W100" s="130" t="s">
        <v>133</v>
      </c>
      <c r="X100" s="130"/>
      <c r="Y100" s="130"/>
      <c r="Z100" s="130"/>
      <c r="AA100" s="130"/>
      <c r="AB100" s="130"/>
      <c r="AC100" s="130"/>
      <c r="AD100" s="130" t="s">
        <v>133</v>
      </c>
      <c r="AE100" s="130"/>
      <c r="AF100" s="130"/>
      <c r="AG100" s="130"/>
      <c r="AH100" s="130"/>
      <c r="AI100" s="130"/>
      <c r="AJ100" s="130"/>
      <c r="AK100" s="130" t="s">
        <v>133</v>
      </c>
      <c r="AL100" s="130"/>
      <c r="AM100" s="130"/>
      <c r="AN100" s="131"/>
      <c r="AO100" s="130"/>
      <c r="AP100" s="130"/>
      <c r="AQ100" s="130"/>
      <c r="AR100" s="130" t="s">
        <v>133</v>
      </c>
      <c r="AS100" s="130"/>
      <c r="AT100" s="130"/>
      <c r="AU100" s="131"/>
      <c r="AV100" s="130"/>
      <c r="AW100" s="130"/>
      <c r="AX100" s="130"/>
      <c r="AY100" s="130" t="s">
        <v>133</v>
      </c>
      <c r="AZ100" s="130"/>
      <c r="BA100" s="130"/>
      <c r="BB100" s="131"/>
      <c r="BC100" s="130"/>
      <c r="BD100" s="130"/>
      <c r="BE100" s="130"/>
      <c r="BF100" s="130" t="s">
        <v>133</v>
      </c>
      <c r="BG100" s="130"/>
      <c r="BH100" s="130"/>
      <c r="BI100" s="130"/>
      <c r="BJ100" s="130"/>
      <c r="BK100" s="130"/>
      <c r="BL100" s="130"/>
      <c r="BM100" s="130" t="s">
        <v>133</v>
      </c>
      <c r="BN100" s="130"/>
      <c r="BO100" s="130"/>
      <c r="BP100" s="130"/>
      <c r="BQ100" s="130"/>
      <c r="BR100" s="130"/>
      <c r="BS100" s="130"/>
      <c r="BT100" s="130" t="s">
        <v>133</v>
      </c>
      <c r="BU100" s="130"/>
      <c r="BV100" s="130"/>
      <c r="BW100" s="130"/>
      <c r="BX100" s="130"/>
      <c r="BY100" s="130"/>
      <c r="BZ100" s="130"/>
      <c r="CA100" s="130" t="s">
        <v>133</v>
      </c>
      <c r="CB100" s="130"/>
      <c r="CC100" s="130"/>
      <c r="CD100" s="130"/>
      <c r="CE100" s="130"/>
      <c r="CF100" s="130"/>
      <c r="CG100" s="130"/>
      <c r="CH100" s="130"/>
      <c r="CI100" s="130">
        <f t="shared" si="37"/>
        <v>0</v>
      </c>
      <c r="CJ100" s="130"/>
      <c r="CK100" s="130"/>
      <c r="CL100" s="130"/>
      <c r="CM100" s="130"/>
    </row>
    <row r="101" spans="1:91" hidden="1">
      <c r="A101" s="130"/>
      <c r="B101" s="130">
        <f>COUNTIF($D$5,"Lejrskole")</f>
        <v>0</v>
      </c>
      <c r="C101" s="130"/>
      <c r="D101" s="130"/>
      <c r="E101" s="130"/>
      <c r="F101" s="130"/>
      <c r="G101" s="130"/>
      <c r="H101" s="130"/>
      <c r="I101" s="130">
        <f>COUNTIF($K$8:$K$9,"Lejrskole")</f>
        <v>0</v>
      </c>
      <c r="J101" s="130"/>
      <c r="K101" s="130"/>
      <c r="L101" s="130"/>
      <c r="M101" s="130"/>
      <c r="N101" s="130"/>
      <c r="O101" s="130"/>
      <c r="P101" s="130">
        <f>COUNTIF($R$6:$R$7,"Lejrskole")</f>
        <v>0</v>
      </c>
      <c r="Q101" s="130"/>
      <c r="R101" s="130"/>
      <c r="S101" s="130"/>
      <c r="T101" s="130"/>
      <c r="U101" s="130"/>
      <c r="V101" s="130"/>
      <c r="W101" s="130">
        <f>COUNTIF($Y$10:$Y$11,"Lejrskole")</f>
        <v>0</v>
      </c>
      <c r="X101" s="130"/>
      <c r="Y101" s="130"/>
      <c r="Z101" s="130"/>
      <c r="AA101" s="130"/>
      <c r="AB101" s="130"/>
      <c r="AC101" s="130"/>
      <c r="AD101" s="130">
        <f>COUNTIF($AF$8:$AF$9,"Lejrskole")</f>
        <v>0</v>
      </c>
      <c r="AE101" s="130"/>
      <c r="AF101" s="130"/>
      <c r="AG101" s="130"/>
      <c r="AH101" s="130"/>
      <c r="AI101" s="130"/>
      <c r="AJ101" s="130"/>
      <c r="AK101" s="130">
        <f>COUNTIF($AM$5:$AM$6,"Lejrskole")</f>
        <v>0</v>
      </c>
      <c r="AL101" s="130"/>
      <c r="AM101" s="130"/>
      <c r="AN101" s="131"/>
      <c r="AO101" s="130"/>
      <c r="AP101" s="130"/>
      <c r="AQ101" s="130"/>
      <c r="AR101" s="130">
        <f>COUNTIF($AT$9:$AT$10,"Lejrskole")</f>
        <v>0</v>
      </c>
      <c r="AS101" s="130"/>
      <c r="AT101" s="130"/>
      <c r="AU101" s="131"/>
      <c r="AV101" s="130"/>
      <c r="AW101" s="130"/>
      <c r="AX101" s="130"/>
      <c r="AY101" s="130">
        <f>COUNTIF($BA$8:$BA$9,"Lejrskole")</f>
        <v>0</v>
      </c>
      <c r="AZ101" s="130"/>
      <c r="BA101" s="130"/>
      <c r="BB101" s="131"/>
      <c r="BC101" s="130"/>
      <c r="BD101" s="130"/>
      <c r="BE101" s="130"/>
      <c r="BF101" s="130">
        <f>COUNTIF($BH$5:$BH$6,"Lejrskole")</f>
        <v>0</v>
      </c>
      <c r="BG101" s="130"/>
      <c r="BH101" s="130"/>
      <c r="BI101" s="130"/>
      <c r="BJ101" s="130"/>
      <c r="BK101" s="130"/>
      <c r="BL101" s="130"/>
      <c r="BM101" s="130">
        <f>COUNTIF($BO$10:$BO$11,"Lejrskole")</f>
        <v>0</v>
      </c>
      <c r="BN101" s="130"/>
      <c r="BO101" s="130"/>
      <c r="BP101" s="130"/>
      <c r="BQ101" s="130"/>
      <c r="BR101" s="130"/>
      <c r="BS101" s="130"/>
      <c r="BT101" s="130">
        <f>COUNTIF($BV$7:$BV$8,"Lejrskole")</f>
        <v>0</v>
      </c>
      <c r="BU101" s="130"/>
      <c r="BV101" s="130"/>
      <c r="BW101" s="130"/>
      <c r="BX101" s="130"/>
      <c r="BY101" s="130"/>
      <c r="BZ101" s="130"/>
      <c r="CA101" s="130">
        <f>COUNTIF($CC$5:$CC$6,"Lejrskole")</f>
        <v>0</v>
      </c>
      <c r="CB101" s="130"/>
      <c r="CC101" s="130"/>
      <c r="CD101" s="130"/>
      <c r="CE101" s="130"/>
      <c r="CF101" s="130"/>
      <c r="CG101" s="130"/>
      <c r="CH101" s="130"/>
      <c r="CI101" s="130">
        <f t="shared" si="37"/>
        <v>0</v>
      </c>
      <c r="CJ101" s="130"/>
      <c r="CK101" s="130"/>
      <c r="CL101" s="130"/>
      <c r="CM101" s="130"/>
    </row>
    <row r="102" spans="1:91" hidden="1">
      <c r="A102" s="130"/>
      <c r="B102" s="130">
        <f>COUNTIF($D$11:$D$12,"Lejrskole")</f>
        <v>0</v>
      </c>
      <c r="C102" s="130"/>
      <c r="D102" s="130"/>
      <c r="E102" s="130"/>
      <c r="F102" s="130"/>
      <c r="G102" s="130"/>
      <c r="H102" s="130"/>
      <c r="I102" s="130">
        <f>COUNTIF($K$15:$K$16,"Lejrskole")</f>
        <v>0</v>
      </c>
      <c r="J102" s="130"/>
      <c r="K102" s="130"/>
      <c r="L102" s="130"/>
      <c r="M102" s="130"/>
      <c r="N102" s="130"/>
      <c r="O102" s="130"/>
      <c r="P102" s="130">
        <f>COUNTIF($R$13:$R$14,"Lejrskole")</f>
        <v>0</v>
      </c>
      <c r="Q102" s="130"/>
      <c r="R102" s="130"/>
      <c r="S102" s="130"/>
      <c r="T102" s="130"/>
      <c r="U102" s="130"/>
      <c r="V102" s="130"/>
      <c r="W102" s="130">
        <f>COUNTIF($Y$17:$Y$18,"Lejrskole")</f>
        <v>0</v>
      </c>
      <c r="X102" s="130"/>
      <c r="Y102" s="130"/>
      <c r="Z102" s="130"/>
      <c r="AA102" s="130"/>
      <c r="AB102" s="130"/>
      <c r="AC102" s="130"/>
      <c r="AD102" s="130">
        <f>COUNTIF($AF$15:$AF$16,"Lejrskole")</f>
        <v>0</v>
      </c>
      <c r="AE102" s="130"/>
      <c r="AF102" s="130"/>
      <c r="AG102" s="130"/>
      <c r="AH102" s="130"/>
      <c r="AI102" s="130"/>
      <c r="AJ102" s="130"/>
      <c r="AK102" s="130">
        <f>COUNTIF($AM$12:$AM$13,"Lejrskole")</f>
        <v>0</v>
      </c>
      <c r="AL102" s="130"/>
      <c r="AM102" s="130"/>
      <c r="AN102" s="131"/>
      <c r="AO102" s="130"/>
      <c r="AP102" s="130"/>
      <c r="AQ102" s="130"/>
      <c r="AR102" s="130">
        <f>COUNTIF($AT$16:$AT$17,"Lejrskole")</f>
        <v>0</v>
      </c>
      <c r="AS102" s="130"/>
      <c r="AT102" s="130"/>
      <c r="AU102" s="131"/>
      <c r="AV102" s="130"/>
      <c r="AW102" s="130"/>
      <c r="AX102" s="130"/>
      <c r="AY102" s="130">
        <f>COUNTIF($BA$15:$BA$16,"Lejrskole")</f>
        <v>0</v>
      </c>
      <c r="AZ102" s="130"/>
      <c r="BA102" s="130"/>
      <c r="BB102" s="131"/>
      <c r="BC102" s="130"/>
      <c r="BD102" s="130"/>
      <c r="BE102" s="130"/>
      <c r="BF102" s="130">
        <f>COUNTIF($BH$12:$BH$13,"Lejrskole")</f>
        <v>0</v>
      </c>
      <c r="BG102" s="130"/>
      <c r="BH102" s="130"/>
      <c r="BI102" s="130"/>
      <c r="BJ102" s="130"/>
      <c r="BK102" s="130"/>
      <c r="BL102" s="130"/>
      <c r="BM102" s="130">
        <f>COUNTIF($BO$17:$BO$18,"Lejrskole")</f>
        <v>0</v>
      </c>
      <c r="BN102" s="130"/>
      <c r="BO102" s="130"/>
      <c r="BP102" s="130"/>
      <c r="BQ102" s="130"/>
      <c r="BR102" s="130"/>
      <c r="BS102" s="130"/>
      <c r="BT102" s="130">
        <f>COUNTIF($BV$14:$BV$15,"Lejrskole")</f>
        <v>0</v>
      </c>
      <c r="BU102" s="130"/>
      <c r="BV102" s="130"/>
      <c r="BW102" s="130"/>
      <c r="BX102" s="130"/>
      <c r="BY102" s="130"/>
      <c r="BZ102" s="130"/>
      <c r="CA102" s="130">
        <f>COUNTIF($CC$12:$CC$13,"Lejrskole")</f>
        <v>0</v>
      </c>
      <c r="CB102" s="130"/>
      <c r="CC102" s="130"/>
      <c r="CD102" s="130"/>
      <c r="CE102" s="130"/>
      <c r="CF102" s="130"/>
      <c r="CG102" s="130"/>
      <c r="CH102" s="130"/>
      <c r="CI102" s="130">
        <f t="shared" si="37"/>
        <v>0</v>
      </c>
      <c r="CJ102" s="130"/>
      <c r="CK102" s="130"/>
      <c r="CL102" s="130"/>
      <c r="CM102" s="130"/>
    </row>
    <row r="103" spans="1:91" hidden="1">
      <c r="A103" s="130"/>
      <c r="B103" s="130">
        <f>COUNTIF($D$18:$D$19,"Lejrskole")</f>
        <v>0</v>
      </c>
      <c r="C103" s="130"/>
      <c r="D103" s="130"/>
      <c r="E103" s="130"/>
      <c r="F103" s="130"/>
      <c r="G103" s="130"/>
      <c r="H103" s="130"/>
      <c r="I103" s="130">
        <f>COUNTIF($K$22:$K$23,"Lejrskole")</f>
        <v>0</v>
      </c>
      <c r="J103" s="130"/>
      <c r="K103" s="130"/>
      <c r="L103" s="130"/>
      <c r="M103" s="130"/>
      <c r="N103" s="130"/>
      <c r="O103" s="130"/>
      <c r="P103" s="130">
        <f>COUNTIF($R$20:$R$21,"Lejrskole")</f>
        <v>0</v>
      </c>
      <c r="Q103" s="130"/>
      <c r="R103" s="130"/>
      <c r="S103" s="130"/>
      <c r="T103" s="130"/>
      <c r="U103" s="130"/>
      <c r="V103" s="130"/>
      <c r="W103" s="130">
        <f>COUNTIF($Y$24:$Y$25,"Lejrskole")</f>
        <v>0</v>
      </c>
      <c r="X103" s="130"/>
      <c r="Y103" s="130"/>
      <c r="Z103" s="130"/>
      <c r="AA103" s="130"/>
      <c r="AB103" s="130"/>
      <c r="AC103" s="130"/>
      <c r="AD103" s="130">
        <f>COUNTIF($AF$22:$AF$23,"Lejrskole")</f>
        <v>0</v>
      </c>
      <c r="AE103" s="130"/>
      <c r="AF103" s="130"/>
      <c r="AG103" s="130"/>
      <c r="AH103" s="130"/>
      <c r="AI103" s="130"/>
      <c r="AJ103" s="130"/>
      <c r="AK103" s="130">
        <f>COUNTIF($AM$19:$AM$20,"Lejrskole")</f>
        <v>0</v>
      </c>
      <c r="AL103" s="130"/>
      <c r="AM103" s="130"/>
      <c r="AN103" s="131"/>
      <c r="AO103" s="130"/>
      <c r="AP103" s="130"/>
      <c r="AQ103" s="130"/>
      <c r="AR103" s="130">
        <f>COUNTIF($AT$23:$AT$24,"Lejrskole")</f>
        <v>0</v>
      </c>
      <c r="AS103" s="130"/>
      <c r="AT103" s="130"/>
      <c r="AU103" s="131"/>
      <c r="AV103" s="130"/>
      <c r="AW103" s="130"/>
      <c r="AX103" s="130"/>
      <c r="AY103" s="130">
        <f>COUNTIF($BA$22:$BA$23,"Lejrskole")</f>
        <v>0</v>
      </c>
      <c r="AZ103" s="130"/>
      <c r="BA103" s="130"/>
      <c r="BB103" s="131"/>
      <c r="BC103" s="130"/>
      <c r="BD103" s="130"/>
      <c r="BE103" s="130"/>
      <c r="BF103" s="130">
        <f>COUNTIF($BH$19:$BH$20,"Lejrskole")</f>
        <v>0</v>
      </c>
      <c r="BG103" s="130"/>
      <c r="BH103" s="130"/>
      <c r="BI103" s="130"/>
      <c r="BJ103" s="130"/>
      <c r="BK103" s="130"/>
      <c r="BL103" s="130"/>
      <c r="BM103" s="130">
        <f>COUNTIF($BO$24:$BO$25,"Lejrskole")</f>
        <v>0</v>
      </c>
      <c r="BN103" s="130"/>
      <c r="BO103" s="130"/>
      <c r="BP103" s="130"/>
      <c r="BQ103" s="130"/>
      <c r="BR103" s="130"/>
      <c r="BS103" s="130"/>
      <c r="BT103" s="130">
        <f>COUNTIF($BV$21:$BV$22,"Lejrskole")</f>
        <v>0</v>
      </c>
      <c r="BU103" s="130"/>
      <c r="BV103" s="130"/>
      <c r="BW103" s="130"/>
      <c r="BX103" s="130"/>
      <c r="BY103" s="130"/>
      <c r="BZ103" s="130"/>
      <c r="CA103" s="130">
        <f>COUNTIF($CC$19:$CC$20,"Lejrskole")</f>
        <v>0</v>
      </c>
      <c r="CB103" s="130"/>
      <c r="CC103" s="130"/>
      <c r="CD103" s="130"/>
      <c r="CE103" s="130"/>
      <c r="CF103" s="130"/>
      <c r="CG103" s="130"/>
      <c r="CH103" s="130"/>
      <c r="CI103" s="130">
        <f t="shared" si="37"/>
        <v>0</v>
      </c>
      <c r="CJ103" s="130"/>
      <c r="CK103" s="130"/>
      <c r="CL103" s="130"/>
      <c r="CM103" s="130"/>
    </row>
    <row r="104" spans="1:91" hidden="1">
      <c r="A104" s="130"/>
      <c r="B104" s="130">
        <f>COUNTIF($D$25:$D$26,"Lejrskole")</f>
        <v>0</v>
      </c>
      <c r="C104" s="130"/>
      <c r="D104" s="130"/>
      <c r="E104" s="130"/>
      <c r="F104" s="130"/>
      <c r="G104" s="130"/>
      <c r="H104" s="130"/>
      <c r="I104" s="130">
        <f>COUNTIF($K$29:$K$30,"Lejrskole")</f>
        <v>0</v>
      </c>
      <c r="J104" s="130"/>
      <c r="K104" s="130"/>
      <c r="L104" s="130"/>
      <c r="M104" s="130"/>
      <c r="N104" s="130"/>
      <c r="O104" s="130"/>
      <c r="P104" s="130">
        <f>COUNTIF($R$27:$R$28,"Lejrskole")</f>
        <v>0</v>
      </c>
      <c r="Q104" s="130"/>
      <c r="R104" s="130"/>
      <c r="S104" s="130"/>
      <c r="T104" s="130"/>
      <c r="U104" s="130"/>
      <c r="V104" s="130"/>
      <c r="W104" s="130">
        <f>COUNTIF($Y$31:$Y$32,"Lejrskole")</f>
        <v>0</v>
      </c>
      <c r="X104" s="130"/>
      <c r="Y104" s="130"/>
      <c r="Z104" s="130"/>
      <c r="AA104" s="130"/>
      <c r="AB104" s="130"/>
      <c r="AC104" s="130"/>
      <c r="AD104" s="130">
        <f>COUNTIF($AF$29:$AF$30,"Lejrskole")</f>
        <v>0</v>
      </c>
      <c r="AE104" s="130"/>
      <c r="AF104" s="130"/>
      <c r="AG104" s="130"/>
      <c r="AH104" s="130"/>
      <c r="AI104" s="130"/>
      <c r="AJ104" s="130"/>
      <c r="AK104" s="130">
        <f>COUNTIF($AM$26:$AM$27,"Lejrskole")</f>
        <v>0</v>
      </c>
      <c r="AL104" s="130"/>
      <c r="AM104" s="130"/>
      <c r="AN104" s="131"/>
      <c r="AO104" s="130"/>
      <c r="AP104" s="130"/>
      <c r="AQ104" s="130"/>
      <c r="AR104" s="130">
        <f>COUNTIF($AT$30:$AT$31,"Lejrskole")</f>
        <v>0</v>
      </c>
      <c r="AS104" s="130"/>
      <c r="AT104" s="130"/>
      <c r="AU104" s="131"/>
      <c r="AV104" s="130"/>
      <c r="AW104" s="130"/>
      <c r="AX104" s="130"/>
      <c r="AY104" s="130">
        <f>COUNTIF($BA$29:$BA$30,"Lejrskole")</f>
        <v>0</v>
      </c>
      <c r="AZ104" s="130"/>
      <c r="BA104" s="130"/>
      <c r="BB104" s="131"/>
      <c r="BC104" s="130"/>
      <c r="BD104" s="130"/>
      <c r="BE104" s="130"/>
      <c r="BF104" s="130">
        <f>COUNTIF($BH$26:$BH$27,"Lejrskole")</f>
        <v>0</v>
      </c>
      <c r="BG104" s="130"/>
      <c r="BH104" s="130"/>
      <c r="BI104" s="130"/>
      <c r="BJ104" s="130"/>
      <c r="BK104" s="130"/>
      <c r="BL104" s="130"/>
      <c r="BM104" s="130">
        <f>COUNTIF($BO$31:$BO$32,"Lejrskole")</f>
        <v>0</v>
      </c>
      <c r="BN104" s="130"/>
      <c r="BO104" s="130"/>
      <c r="BP104" s="130"/>
      <c r="BQ104" s="130"/>
      <c r="BR104" s="130"/>
      <c r="BS104" s="130"/>
      <c r="BT104" s="130">
        <f>COUNTIF($BV$28:$BV$29,"Lejrskole")</f>
        <v>0</v>
      </c>
      <c r="BU104" s="130"/>
      <c r="BV104" s="130"/>
      <c r="BW104" s="130"/>
      <c r="BX104" s="130"/>
      <c r="BY104" s="130"/>
      <c r="BZ104" s="130"/>
      <c r="CA104" s="130">
        <f>COUNTIF($CC$26:$CC$27,"Lejrskole")</f>
        <v>0</v>
      </c>
      <c r="CB104" s="130"/>
      <c r="CC104" s="130"/>
      <c r="CD104" s="130"/>
      <c r="CE104" s="130"/>
      <c r="CF104" s="130"/>
      <c r="CG104" s="130"/>
      <c r="CH104" s="130"/>
      <c r="CI104" s="130">
        <f t="shared" si="37"/>
        <v>0</v>
      </c>
      <c r="CJ104" s="130"/>
      <c r="CK104" s="130"/>
      <c r="CL104" s="130"/>
      <c r="CM104" s="130"/>
    </row>
    <row r="105" spans="1:91" hidden="1">
      <c r="A105" s="130"/>
      <c r="B105" s="130">
        <f>COUNTIF($D$32:$D$33,"Lejrskole")</f>
        <v>0</v>
      </c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>
        <f>COUNTIF($R$34:$R$35,"Lejrskole")</f>
        <v>0</v>
      </c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>
        <f>COUNTIF($AM$33:$AM$34,"Lejrskole")</f>
        <v>0</v>
      </c>
      <c r="AL105" s="130"/>
      <c r="AM105" s="130"/>
      <c r="AN105" s="131"/>
      <c r="AO105" s="130"/>
      <c r="AP105" s="130"/>
      <c r="AQ105" s="130"/>
      <c r="AR105" s="130"/>
      <c r="AS105" s="130"/>
      <c r="AT105" s="130"/>
      <c r="AU105" s="131"/>
      <c r="AV105" s="130"/>
      <c r="AW105" s="130"/>
      <c r="AX105" s="130"/>
      <c r="AY105" s="130"/>
      <c r="AZ105" s="130"/>
      <c r="BA105" s="130"/>
      <c r="BB105" s="131"/>
      <c r="BC105" s="130"/>
      <c r="BD105" s="130"/>
      <c r="BE105" s="130"/>
      <c r="BF105" s="130">
        <f>COUNTIF($BH$33:$BH$34,"Lejrskole")</f>
        <v>0</v>
      </c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>
        <f>COUNTIF($CC$33:$CC$34,"Lejrskole")</f>
        <v>0</v>
      </c>
      <c r="CB105" s="130"/>
      <c r="CC105" s="130"/>
      <c r="CD105" s="130"/>
      <c r="CE105" s="130"/>
      <c r="CF105" s="130"/>
      <c r="CG105" s="130"/>
      <c r="CH105" s="130"/>
      <c r="CI105" s="130">
        <f t="shared" si="37"/>
        <v>0</v>
      </c>
      <c r="CJ105" s="130"/>
      <c r="CK105" s="130"/>
      <c r="CL105" s="130"/>
      <c r="CM105" s="130"/>
    </row>
    <row r="106" spans="1:91" hidden="1">
      <c r="A106" s="130"/>
      <c r="B106" s="130" t="s">
        <v>84</v>
      </c>
      <c r="C106" s="130"/>
      <c r="D106" s="130"/>
      <c r="E106" s="130"/>
      <c r="F106" s="130"/>
      <c r="G106" s="130"/>
      <c r="H106" s="130"/>
      <c r="I106" s="130" t="s">
        <v>84</v>
      </c>
      <c r="J106" s="130"/>
      <c r="K106" s="130"/>
      <c r="L106" s="130"/>
      <c r="M106" s="130"/>
      <c r="N106" s="130"/>
      <c r="O106" s="130"/>
      <c r="P106" s="130" t="s">
        <v>84</v>
      </c>
      <c r="Q106" s="130"/>
      <c r="R106" s="130"/>
      <c r="S106" s="130"/>
      <c r="T106" s="130"/>
      <c r="U106" s="130"/>
      <c r="V106" s="130"/>
      <c r="W106" s="130" t="s">
        <v>84</v>
      </c>
      <c r="X106" s="130"/>
      <c r="Y106" s="130"/>
      <c r="Z106" s="130"/>
      <c r="AA106" s="130"/>
      <c r="AB106" s="130"/>
      <c r="AC106" s="130"/>
      <c r="AD106" s="130" t="s">
        <v>84</v>
      </c>
      <c r="AE106" s="130"/>
      <c r="AF106" s="130"/>
      <c r="AG106" s="130"/>
      <c r="AH106" s="130"/>
      <c r="AI106" s="130"/>
      <c r="AJ106" s="130"/>
      <c r="AK106" s="130" t="s">
        <v>84</v>
      </c>
      <c r="AL106" s="130"/>
      <c r="AM106" s="130"/>
      <c r="AN106" s="131"/>
      <c r="AO106" s="130"/>
      <c r="AP106" s="130"/>
      <c r="AQ106" s="130"/>
      <c r="AR106" s="130" t="s">
        <v>84</v>
      </c>
      <c r="AS106" s="130"/>
      <c r="AT106" s="130"/>
      <c r="AU106" s="131"/>
      <c r="AV106" s="130"/>
      <c r="AW106" s="130"/>
      <c r="AX106" s="130"/>
      <c r="AY106" s="130" t="s">
        <v>84</v>
      </c>
      <c r="AZ106" s="130"/>
      <c r="BA106" s="130"/>
      <c r="BB106" s="131"/>
      <c r="BC106" s="130"/>
      <c r="BD106" s="130"/>
      <c r="BE106" s="130"/>
      <c r="BF106" s="130" t="s">
        <v>84</v>
      </c>
      <c r="BG106" s="130"/>
      <c r="BH106" s="130"/>
      <c r="BI106" s="130"/>
      <c r="BJ106" s="130"/>
      <c r="BK106" s="130"/>
      <c r="BL106" s="130"/>
      <c r="BM106" s="130" t="s">
        <v>84</v>
      </c>
      <c r="BN106" s="130"/>
      <c r="BO106" s="130"/>
      <c r="BP106" s="130"/>
      <c r="BQ106" s="130"/>
      <c r="BR106" s="130"/>
      <c r="BS106" s="130"/>
      <c r="BT106" s="130" t="s">
        <v>84</v>
      </c>
      <c r="BU106" s="130"/>
      <c r="BV106" s="130"/>
      <c r="BW106" s="130"/>
      <c r="BX106" s="130"/>
      <c r="BY106" s="130"/>
      <c r="BZ106" s="130"/>
      <c r="CA106" s="130" t="s">
        <v>84</v>
      </c>
      <c r="CB106" s="130"/>
      <c r="CC106" s="130"/>
      <c r="CD106" s="130"/>
      <c r="CE106" s="130"/>
      <c r="CF106" s="130"/>
      <c r="CG106" s="130"/>
      <c r="CH106" s="130"/>
      <c r="CI106" s="130">
        <f t="shared" si="37"/>
        <v>0</v>
      </c>
      <c r="CJ106" s="130"/>
      <c r="CK106" s="130"/>
      <c r="CL106" s="130"/>
      <c r="CM106" s="130"/>
    </row>
    <row r="107" spans="1:91" hidden="1">
      <c r="A107" s="130"/>
      <c r="B107" s="130">
        <f>COUNTIF($D$5,"Ekskursion")</f>
        <v>0</v>
      </c>
      <c r="C107" s="130"/>
      <c r="D107" s="130"/>
      <c r="E107" s="130"/>
      <c r="F107" s="130"/>
      <c r="G107" s="130"/>
      <c r="H107" s="130"/>
      <c r="I107" s="130">
        <f>COUNTIF($K$8:$K$9,"Ekskursion")</f>
        <v>0</v>
      </c>
      <c r="J107" s="130"/>
      <c r="K107" s="130"/>
      <c r="L107" s="130"/>
      <c r="M107" s="130"/>
      <c r="N107" s="130"/>
      <c r="O107" s="130"/>
      <c r="P107" s="130">
        <f>COUNTIF($R$6:$R$7,"Ekskursion")</f>
        <v>0</v>
      </c>
      <c r="Q107" s="130"/>
      <c r="R107" s="130"/>
      <c r="S107" s="130"/>
      <c r="T107" s="130"/>
      <c r="U107" s="130"/>
      <c r="V107" s="130"/>
      <c r="W107" s="130">
        <f>COUNTIF($Y$10:$Y$11,"Ekskursion")</f>
        <v>0</v>
      </c>
      <c r="X107" s="130"/>
      <c r="Y107" s="130"/>
      <c r="Z107" s="130"/>
      <c r="AA107" s="130"/>
      <c r="AB107" s="130"/>
      <c r="AC107" s="130"/>
      <c r="AD107" s="130">
        <f>COUNTIF($AF$8:$AF$9,"Ekskursion")</f>
        <v>0</v>
      </c>
      <c r="AE107" s="130"/>
      <c r="AF107" s="130"/>
      <c r="AG107" s="130"/>
      <c r="AH107" s="130"/>
      <c r="AI107" s="130"/>
      <c r="AJ107" s="130"/>
      <c r="AK107" s="130">
        <f>COUNTIF($AM$5:$AM$6,"Ekskursion")</f>
        <v>0</v>
      </c>
      <c r="AL107" s="130"/>
      <c r="AM107" s="130"/>
      <c r="AN107" s="131"/>
      <c r="AO107" s="130"/>
      <c r="AP107" s="130"/>
      <c r="AQ107" s="130"/>
      <c r="AR107" s="130">
        <f>COUNTIF($AT$9:$AT$10,"Ekskursion")</f>
        <v>0</v>
      </c>
      <c r="AS107" s="130"/>
      <c r="AT107" s="130"/>
      <c r="AU107" s="131"/>
      <c r="AV107" s="130"/>
      <c r="AW107" s="130"/>
      <c r="AX107" s="130"/>
      <c r="AY107" s="130">
        <f>COUNTIF($BA$8:$BA$9,"Ekskursion")</f>
        <v>0</v>
      </c>
      <c r="AZ107" s="130"/>
      <c r="BA107" s="130"/>
      <c r="BB107" s="131"/>
      <c r="BC107" s="130"/>
      <c r="BD107" s="130"/>
      <c r="BE107" s="130"/>
      <c r="BF107" s="130">
        <f>COUNTIF($BH$5:$BH$6,"Ekskursion")</f>
        <v>0</v>
      </c>
      <c r="BG107" s="130"/>
      <c r="BH107" s="130"/>
      <c r="BI107" s="130"/>
      <c r="BJ107" s="130"/>
      <c r="BK107" s="130"/>
      <c r="BL107" s="130"/>
      <c r="BM107" s="130">
        <f>COUNTIF($BO$10:$BO$11,"Ekskursion")</f>
        <v>0</v>
      </c>
      <c r="BN107" s="130"/>
      <c r="BO107" s="130"/>
      <c r="BP107" s="130"/>
      <c r="BQ107" s="130"/>
      <c r="BR107" s="130"/>
      <c r="BS107" s="130"/>
      <c r="BT107" s="130">
        <f>COUNTIF($BV$7:$BV$8,"Ekskursion")</f>
        <v>0</v>
      </c>
      <c r="BU107" s="130"/>
      <c r="BV107" s="130"/>
      <c r="BW107" s="130"/>
      <c r="BX107" s="130"/>
      <c r="BY107" s="130"/>
      <c r="BZ107" s="130"/>
      <c r="CA107" s="130">
        <f>COUNTIF($CC$5:$CC$6,"Ekskursion")</f>
        <v>0</v>
      </c>
      <c r="CB107" s="130"/>
      <c r="CC107" s="130"/>
      <c r="CD107" s="130"/>
      <c r="CE107" s="130"/>
      <c r="CF107" s="130"/>
      <c r="CG107" s="130"/>
      <c r="CH107" s="130"/>
      <c r="CI107" s="130">
        <f t="shared" si="37"/>
        <v>0</v>
      </c>
      <c r="CJ107" s="130"/>
      <c r="CK107" s="130"/>
      <c r="CL107" s="130"/>
      <c r="CM107" s="130"/>
    </row>
    <row r="108" spans="1:91" hidden="1">
      <c r="A108" s="130"/>
      <c r="B108" s="130">
        <f>COUNTIF($D$11:$D$12,"Ekskursion")</f>
        <v>0</v>
      </c>
      <c r="C108" s="130"/>
      <c r="D108" s="130"/>
      <c r="E108" s="130"/>
      <c r="F108" s="130"/>
      <c r="G108" s="130"/>
      <c r="H108" s="130"/>
      <c r="I108" s="130">
        <f>COUNTIF($K$15:$K$16,"Ekskursion")</f>
        <v>0</v>
      </c>
      <c r="J108" s="130"/>
      <c r="K108" s="130"/>
      <c r="L108" s="130"/>
      <c r="M108" s="130"/>
      <c r="N108" s="130"/>
      <c r="O108" s="130"/>
      <c r="P108" s="130">
        <f>COUNTIF($R$13:$R$14,"Ekskursion")</f>
        <v>0</v>
      </c>
      <c r="Q108" s="130"/>
      <c r="R108" s="130"/>
      <c r="S108" s="130"/>
      <c r="T108" s="130"/>
      <c r="U108" s="130"/>
      <c r="V108" s="130"/>
      <c r="W108" s="130">
        <f>COUNTIF($Y$17:$Y$18,"Ekskursion")</f>
        <v>0</v>
      </c>
      <c r="X108" s="130"/>
      <c r="Y108" s="130"/>
      <c r="Z108" s="130"/>
      <c r="AA108" s="130"/>
      <c r="AB108" s="130"/>
      <c r="AC108" s="130"/>
      <c r="AD108" s="130">
        <f>COUNTIF($AF$15:$AF$16,"Ekskursion")</f>
        <v>0</v>
      </c>
      <c r="AE108" s="130"/>
      <c r="AF108" s="130"/>
      <c r="AG108" s="130"/>
      <c r="AH108" s="130"/>
      <c r="AI108" s="130"/>
      <c r="AJ108" s="130"/>
      <c r="AK108" s="130">
        <f>COUNTIF($AM$12:$AM$13,"Ekskursion")</f>
        <v>0</v>
      </c>
      <c r="AL108" s="130"/>
      <c r="AM108" s="130"/>
      <c r="AN108" s="131"/>
      <c r="AO108" s="130"/>
      <c r="AP108" s="130"/>
      <c r="AQ108" s="130"/>
      <c r="AR108" s="130">
        <f>COUNTIF($AT$16:$AT$17,"Ekskursion")</f>
        <v>0</v>
      </c>
      <c r="AS108" s="130"/>
      <c r="AT108" s="130"/>
      <c r="AU108" s="131"/>
      <c r="AV108" s="130"/>
      <c r="AW108" s="130"/>
      <c r="AX108" s="130"/>
      <c r="AY108" s="130">
        <f>COUNTIF($BA$15:$BA$16,"Ekskursion")</f>
        <v>0</v>
      </c>
      <c r="AZ108" s="130"/>
      <c r="BA108" s="130"/>
      <c r="BB108" s="131"/>
      <c r="BC108" s="130"/>
      <c r="BD108" s="130"/>
      <c r="BE108" s="130"/>
      <c r="BF108" s="130">
        <f>COUNTIF($BH$12:$BH$13,"Ekskursion")</f>
        <v>0</v>
      </c>
      <c r="BG108" s="130"/>
      <c r="BH108" s="130"/>
      <c r="BI108" s="130"/>
      <c r="BJ108" s="130"/>
      <c r="BK108" s="130"/>
      <c r="BL108" s="130"/>
      <c r="BM108" s="130">
        <f>COUNTIF($BO$17:$BO$18,"Ekskursion")</f>
        <v>0</v>
      </c>
      <c r="BN108" s="130"/>
      <c r="BO108" s="130"/>
      <c r="BP108" s="130"/>
      <c r="BQ108" s="130"/>
      <c r="BR108" s="130"/>
      <c r="BS108" s="130"/>
      <c r="BT108" s="130">
        <f>COUNTIF($BV$14:$BV$15,"Ekskursion")</f>
        <v>0</v>
      </c>
      <c r="BU108" s="130"/>
      <c r="BV108" s="130"/>
      <c r="BW108" s="130"/>
      <c r="BX108" s="130"/>
      <c r="BY108" s="130"/>
      <c r="BZ108" s="130"/>
      <c r="CA108" s="130">
        <f>COUNTIF($CC$12:$CC$13,"Ekskursion")</f>
        <v>0</v>
      </c>
      <c r="CB108" s="130"/>
      <c r="CC108" s="130"/>
      <c r="CD108" s="130"/>
      <c r="CE108" s="130"/>
      <c r="CF108" s="130"/>
      <c r="CG108" s="130"/>
      <c r="CH108" s="130"/>
      <c r="CI108" s="130">
        <f t="shared" si="37"/>
        <v>0</v>
      </c>
      <c r="CJ108" s="130"/>
      <c r="CK108" s="130"/>
      <c r="CL108" s="130"/>
      <c r="CM108" s="130"/>
    </row>
    <row r="109" spans="1:91" hidden="1">
      <c r="A109" s="130"/>
      <c r="B109" s="130">
        <f>COUNTIF($D$18:$D$19,"Ekskursion")</f>
        <v>0</v>
      </c>
      <c r="C109" s="130"/>
      <c r="D109" s="130"/>
      <c r="E109" s="130"/>
      <c r="F109" s="130"/>
      <c r="G109" s="130"/>
      <c r="H109" s="130"/>
      <c r="I109" s="130">
        <f>COUNTIF($K$22:$K$23,"Ekskursion")</f>
        <v>0</v>
      </c>
      <c r="J109" s="130"/>
      <c r="K109" s="130"/>
      <c r="L109" s="130"/>
      <c r="M109" s="130"/>
      <c r="N109" s="130"/>
      <c r="O109" s="130"/>
      <c r="P109" s="130">
        <f>COUNTIF($R$20:$R$21,"Ekskursion")</f>
        <v>0</v>
      </c>
      <c r="Q109" s="130"/>
      <c r="R109" s="130"/>
      <c r="S109" s="130"/>
      <c r="T109" s="130"/>
      <c r="U109" s="130"/>
      <c r="V109" s="130"/>
      <c r="W109" s="130">
        <f>COUNTIF($Y$24:$Y$25,"Ekskursion")</f>
        <v>0</v>
      </c>
      <c r="X109" s="130"/>
      <c r="Y109" s="130"/>
      <c r="Z109" s="130"/>
      <c r="AA109" s="130"/>
      <c r="AB109" s="130"/>
      <c r="AC109" s="130"/>
      <c r="AD109" s="130">
        <f>COUNTIF($AF$22:$AF$23,"Ekskursion")</f>
        <v>0</v>
      </c>
      <c r="AE109" s="130"/>
      <c r="AF109" s="130"/>
      <c r="AG109" s="130"/>
      <c r="AH109" s="130"/>
      <c r="AI109" s="130"/>
      <c r="AJ109" s="130"/>
      <c r="AK109" s="130">
        <f>COUNTIF($AM$19:$AM$20,"Ekskursion")</f>
        <v>0</v>
      </c>
      <c r="AL109" s="130"/>
      <c r="AM109" s="130"/>
      <c r="AN109" s="131"/>
      <c r="AO109" s="130"/>
      <c r="AP109" s="130"/>
      <c r="AQ109" s="130"/>
      <c r="AR109" s="130">
        <f>COUNTIF($AT$23:$AT$24,"Ekskursion")</f>
        <v>0</v>
      </c>
      <c r="AS109" s="130"/>
      <c r="AT109" s="130"/>
      <c r="AU109" s="131"/>
      <c r="AV109" s="130"/>
      <c r="AW109" s="130"/>
      <c r="AX109" s="130"/>
      <c r="AY109" s="130">
        <f>COUNTIF($BA$22:$BA$23,"Ekskursion")</f>
        <v>0</v>
      </c>
      <c r="AZ109" s="130"/>
      <c r="BA109" s="130"/>
      <c r="BB109" s="131"/>
      <c r="BC109" s="130"/>
      <c r="BD109" s="130"/>
      <c r="BE109" s="130"/>
      <c r="BF109" s="130">
        <f>COUNTIF($BH$19:$BH$20,"Ekskursion")</f>
        <v>0</v>
      </c>
      <c r="BG109" s="130"/>
      <c r="BH109" s="130"/>
      <c r="BI109" s="130"/>
      <c r="BJ109" s="130"/>
      <c r="BK109" s="130"/>
      <c r="BL109" s="130"/>
      <c r="BM109" s="130">
        <f>COUNTIF($BO$24:$BO$25,"Ekskursion")</f>
        <v>0</v>
      </c>
      <c r="BN109" s="130"/>
      <c r="BO109" s="130"/>
      <c r="BP109" s="130"/>
      <c r="BQ109" s="130"/>
      <c r="BR109" s="130"/>
      <c r="BS109" s="130"/>
      <c r="BT109" s="130">
        <f>COUNTIF($BV$21:$BV$22,"Ekskursion")</f>
        <v>0</v>
      </c>
      <c r="BU109" s="130"/>
      <c r="BV109" s="130"/>
      <c r="BW109" s="130"/>
      <c r="BX109" s="130"/>
      <c r="BY109" s="130"/>
      <c r="BZ109" s="130"/>
      <c r="CA109" s="130">
        <f>COUNTIF($CC$19:$CC$20,"Ekskursion")</f>
        <v>0</v>
      </c>
      <c r="CB109" s="130"/>
      <c r="CC109" s="130"/>
      <c r="CD109" s="130"/>
      <c r="CE109" s="130"/>
      <c r="CF109" s="130"/>
      <c r="CG109" s="130"/>
      <c r="CH109" s="130"/>
      <c r="CI109" s="130">
        <f t="shared" si="37"/>
        <v>0</v>
      </c>
      <c r="CJ109" s="130"/>
      <c r="CK109" s="130"/>
      <c r="CL109" s="130"/>
      <c r="CM109" s="130"/>
    </row>
    <row r="110" spans="1:91" hidden="1">
      <c r="A110" s="130"/>
      <c r="B110" s="130">
        <f>COUNTIF($D$25:$D$26,"Ekskursion")</f>
        <v>0</v>
      </c>
      <c r="C110" s="130"/>
      <c r="D110" s="130"/>
      <c r="E110" s="130"/>
      <c r="F110" s="130"/>
      <c r="G110" s="130"/>
      <c r="H110" s="130"/>
      <c r="I110" s="130">
        <f>COUNTIF($K$29:$K$30,"Ekskursion")</f>
        <v>0</v>
      </c>
      <c r="J110" s="130"/>
      <c r="K110" s="130"/>
      <c r="L110" s="130"/>
      <c r="M110" s="130"/>
      <c r="N110" s="130"/>
      <c r="O110" s="130"/>
      <c r="P110" s="130">
        <f>COUNTIF($R$27:$R$28,"Ekskursion")</f>
        <v>0</v>
      </c>
      <c r="Q110" s="130"/>
      <c r="R110" s="130"/>
      <c r="S110" s="130"/>
      <c r="T110" s="130"/>
      <c r="U110" s="130"/>
      <c r="V110" s="130"/>
      <c r="W110" s="130">
        <f>COUNTIF($Y$31:$Y$32,"Ekskursion")</f>
        <v>0</v>
      </c>
      <c r="X110" s="130"/>
      <c r="Y110" s="130"/>
      <c r="Z110" s="130"/>
      <c r="AA110" s="130"/>
      <c r="AB110" s="130"/>
      <c r="AC110" s="130"/>
      <c r="AD110" s="130">
        <f>COUNTIF($AF$29:$AF$30,"Ekskursion")</f>
        <v>0</v>
      </c>
      <c r="AE110" s="130"/>
      <c r="AF110" s="130"/>
      <c r="AG110" s="130"/>
      <c r="AH110" s="130"/>
      <c r="AI110" s="130"/>
      <c r="AJ110" s="130"/>
      <c r="AK110" s="130">
        <f>COUNTIF($AM$26:$AM$27,"Ekskursion")</f>
        <v>0</v>
      </c>
      <c r="AL110" s="130"/>
      <c r="AM110" s="130"/>
      <c r="AN110" s="131"/>
      <c r="AO110" s="130"/>
      <c r="AP110" s="130"/>
      <c r="AQ110" s="130"/>
      <c r="AR110" s="130">
        <f>COUNTIF($AT$30:$AT$31,"Ekskursion")</f>
        <v>0</v>
      </c>
      <c r="AS110" s="130"/>
      <c r="AT110" s="130"/>
      <c r="AU110" s="131"/>
      <c r="AV110" s="130"/>
      <c r="AW110" s="130"/>
      <c r="AX110" s="130"/>
      <c r="AY110" s="130">
        <f>COUNTIF($BA$29:$BA$30,"Ekskursion")</f>
        <v>0</v>
      </c>
      <c r="AZ110" s="130"/>
      <c r="BA110" s="130"/>
      <c r="BB110" s="131"/>
      <c r="BC110" s="130"/>
      <c r="BD110" s="130"/>
      <c r="BE110" s="130"/>
      <c r="BF110" s="130">
        <f>COUNTIF($BH$26:$BH$27,"Ekskursion")</f>
        <v>0</v>
      </c>
      <c r="BG110" s="130"/>
      <c r="BH110" s="130"/>
      <c r="BI110" s="130"/>
      <c r="BJ110" s="130"/>
      <c r="BK110" s="130"/>
      <c r="BL110" s="130"/>
      <c r="BM110" s="130">
        <f>COUNTIF($BO$31:$BO$32,"Ekskursion")</f>
        <v>0</v>
      </c>
      <c r="BN110" s="130"/>
      <c r="BO110" s="130"/>
      <c r="BP110" s="130"/>
      <c r="BQ110" s="130"/>
      <c r="BR110" s="130"/>
      <c r="BS110" s="130"/>
      <c r="BT110" s="130">
        <f>COUNTIF($BV$28:$BV$29,"Ekskursion")</f>
        <v>0</v>
      </c>
      <c r="BU110" s="130"/>
      <c r="BV110" s="130"/>
      <c r="BW110" s="130"/>
      <c r="BX110" s="130"/>
      <c r="BY110" s="130"/>
      <c r="BZ110" s="130"/>
      <c r="CA110" s="130">
        <f>COUNTIF($CC$26:$CC$27,"Ekskursion")</f>
        <v>0</v>
      </c>
      <c r="CB110" s="130"/>
      <c r="CC110" s="130"/>
      <c r="CD110" s="130"/>
      <c r="CE110" s="130"/>
      <c r="CF110" s="130"/>
      <c r="CG110" s="130"/>
      <c r="CH110" s="130"/>
      <c r="CI110" s="130">
        <f t="shared" si="37"/>
        <v>0</v>
      </c>
      <c r="CJ110" s="130"/>
      <c r="CK110" s="130"/>
      <c r="CL110" s="130"/>
      <c r="CM110" s="130"/>
    </row>
    <row r="111" spans="1:91" hidden="1">
      <c r="A111" s="130"/>
      <c r="B111" s="130">
        <f>COUNTIF($D$32:$D$33,"Ekskursion")</f>
        <v>0</v>
      </c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>
        <f>COUNTIF($R$34:$R$35,"Ekskursion")</f>
        <v>0</v>
      </c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>
        <f>COUNTIF($AM$33:$AM$34,"Ekskursion")</f>
        <v>0</v>
      </c>
      <c r="AL111" s="130"/>
      <c r="AM111" s="130"/>
      <c r="AN111" s="131"/>
      <c r="AO111" s="130"/>
      <c r="AP111" s="130"/>
      <c r="AQ111" s="130"/>
      <c r="AR111" s="130"/>
      <c r="AS111" s="130"/>
      <c r="AT111" s="130"/>
      <c r="AU111" s="131"/>
      <c r="AV111" s="130"/>
      <c r="AW111" s="130"/>
      <c r="AX111" s="130"/>
      <c r="AY111" s="130"/>
      <c r="AZ111" s="130"/>
      <c r="BA111" s="130"/>
      <c r="BB111" s="131"/>
      <c r="BC111" s="130"/>
      <c r="BD111" s="130"/>
      <c r="BE111" s="130"/>
      <c r="BF111" s="130">
        <f>COUNTIF($BH$33:$BH$34,"Ekskursion")</f>
        <v>0</v>
      </c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>
        <f>COUNTIF($CC$33:$CC$34,"Ekskursion")</f>
        <v>0</v>
      </c>
      <c r="CB111" s="130"/>
      <c r="CC111" s="130"/>
      <c r="CD111" s="130"/>
      <c r="CE111" s="130"/>
      <c r="CF111" s="130"/>
      <c r="CG111" s="130"/>
      <c r="CH111" s="130"/>
      <c r="CI111" s="130">
        <f t="shared" si="37"/>
        <v>0</v>
      </c>
      <c r="CJ111" s="130"/>
      <c r="CK111" s="130"/>
      <c r="CL111" s="130"/>
      <c r="CM111" s="130"/>
    </row>
    <row r="112" spans="1:91" hidden="1">
      <c r="A112" s="130"/>
      <c r="B112" s="130" t="s">
        <v>148</v>
      </c>
      <c r="C112" s="130"/>
      <c r="D112" s="130"/>
      <c r="E112" s="130"/>
      <c r="F112" s="130"/>
      <c r="G112" s="130"/>
      <c r="H112" s="130"/>
      <c r="I112" s="130" t="s">
        <v>134</v>
      </c>
      <c r="J112" s="130"/>
      <c r="K112" s="130"/>
      <c r="L112" s="130"/>
      <c r="M112" s="130"/>
      <c r="N112" s="130"/>
      <c r="O112" s="130"/>
      <c r="P112" s="130" t="s">
        <v>134</v>
      </c>
      <c r="Q112" s="130"/>
      <c r="R112" s="130"/>
      <c r="S112" s="130"/>
      <c r="T112" s="130"/>
      <c r="U112" s="130"/>
      <c r="V112" s="130"/>
      <c r="W112" s="130" t="s">
        <v>134</v>
      </c>
      <c r="X112" s="130"/>
      <c r="Y112" s="130"/>
      <c r="Z112" s="130"/>
      <c r="AA112" s="130"/>
      <c r="AB112" s="130"/>
      <c r="AC112" s="130"/>
      <c r="AD112" s="130" t="s">
        <v>134</v>
      </c>
      <c r="AE112" s="130"/>
      <c r="AF112" s="130"/>
      <c r="AG112" s="130"/>
      <c r="AH112" s="130"/>
      <c r="AI112" s="130"/>
      <c r="AJ112" s="130"/>
      <c r="AK112" s="130" t="s">
        <v>134</v>
      </c>
      <c r="AL112" s="130"/>
      <c r="AM112" s="130"/>
      <c r="AN112" s="131"/>
      <c r="AO112" s="130"/>
      <c r="AP112" s="130"/>
      <c r="AQ112" s="130"/>
      <c r="AR112" s="130" t="s">
        <v>134</v>
      </c>
      <c r="AS112" s="130"/>
      <c r="AT112" s="130"/>
      <c r="AU112" s="131"/>
      <c r="AV112" s="130"/>
      <c r="AW112" s="130"/>
      <c r="AX112" s="130"/>
      <c r="AY112" s="130" t="s">
        <v>134</v>
      </c>
      <c r="AZ112" s="130"/>
      <c r="BA112" s="130"/>
      <c r="BB112" s="131"/>
      <c r="BC112" s="130"/>
      <c r="BD112" s="130"/>
      <c r="BE112" s="130"/>
      <c r="BF112" s="130" t="s">
        <v>134</v>
      </c>
      <c r="BG112" s="130"/>
      <c r="BH112" s="130"/>
      <c r="BI112" s="130"/>
      <c r="BJ112" s="130"/>
      <c r="BK112" s="130"/>
      <c r="BL112" s="130"/>
      <c r="BM112" s="130" t="s">
        <v>134</v>
      </c>
      <c r="BN112" s="130"/>
      <c r="BO112" s="130"/>
      <c r="BP112" s="130"/>
      <c r="BQ112" s="130"/>
      <c r="BR112" s="130"/>
      <c r="BS112" s="130"/>
      <c r="BT112" s="130" t="s">
        <v>134</v>
      </c>
      <c r="BU112" s="130"/>
      <c r="BV112" s="130"/>
      <c r="BW112" s="130"/>
      <c r="BX112" s="130"/>
      <c r="BY112" s="130"/>
      <c r="BZ112" s="130"/>
      <c r="CA112" s="130" t="s">
        <v>134</v>
      </c>
      <c r="CB112" s="130"/>
      <c r="CC112" s="130"/>
      <c r="CD112" s="130"/>
      <c r="CE112" s="130"/>
      <c r="CF112" s="130"/>
      <c r="CG112" s="130"/>
      <c r="CH112" s="130"/>
      <c r="CI112" s="130">
        <f t="shared" si="37"/>
        <v>0</v>
      </c>
      <c r="CJ112" s="130"/>
      <c r="CK112" s="130"/>
      <c r="CL112" s="130"/>
      <c r="CM112" s="130"/>
    </row>
    <row r="113" spans="1:91" hidden="1">
      <c r="A113" s="130"/>
      <c r="B113" s="130">
        <f>COUNTIF($D$5,"Pæd.dag")</f>
        <v>0</v>
      </c>
      <c r="C113" s="130"/>
      <c r="D113" s="130"/>
      <c r="E113" s="130"/>
      <c r="F113" s="130"/>
      <c r="G113" s="130"/>
      <c r="H113" s="130"/>
      <c r="I113" s="130">
        <f>COUNTIF($K$8:$K$9,"Pæd.dag")</f>
        <v>0</v>
      </c>
      <c r="J113" s="130"/>
      <c r="K113" s="130"/>
      <c r="L113" s="130"/>
      <c r="M113" s="130"/>
      <c r="N113" s="130"/>
      <c r="O113" s="130"/>
      <c r="P113" s="130">
        <f>COUNTIF($R$6:$R$7,"Pæd.dag")</f>
        <v>0</v>
      </c>
      <c r="Q113" s="130"/>
      <c r="R113" s="130"/>
      <c r="S113" s="130"/>
      <c r="T113" s="130"/>
      <c r="U113" s="130"/>
      <c r="V113" s="130"/>
      <c r="W113" s="130">
        <f>COUNTIF($Y$10:$Y$11,"Pæd.dag")</f>
        <v>0</v>
      </c>
      <c r="X113" s="130"/>
      <c r="Y113" s="130"/>
      <c r="Z113" s="130"/>
      <c r="AA113" s="130"/>
      <c r="AB113" s="130"/>
      <c r="AC113" s="130"/>
      <c r="AD113" s="130">
        <f>COUNTIF($AF$8:$AF$9,"Pæd.dag")</f>
        <v>0</v>
      </c>
      <c r="AE113" s="130"/>
      <c r="AF113" s="130"/>
      <c r="AG113" s="130"/>
      <c r="AH113" s="130"/>
      <c r="AI113" s="130"/>
      <c r="AJ113" s="130"/>
      <c r="AK113" s="130">
        <f>COUNTIF($AM$5:$AM$6,"Pæd.dag")</f>
        <v>0</v>
      </c>
      <c r="AL113" s="130"/>
      <c r="AM113" s="130"/>
      <c r="AN113" s="131"/>
      <c r="AO113" s="130"/>
      <c r="AP113" s="130"/>
      <c r="AQ113" s="130"/>
      <c r="AR113" s="130">
        <f>COUNTIF($AT$9:$AT$10,"Pæd.dag")</f>
        <v>0</v>
      </c>
      <c r="AS113" s="130"/>
      <c r="AT113" s="130"/>
      <c r="AU113" s="131"/>
      <c r="AV113" s="130"/>
      <c r="AW113" s="130"/>
      <c r="AX113" s="130"/>
      <c r="AY113" s="130">
        <f>COUNTIF($BA$8:$BA$9,"Pæd.dag")</f>
        <v>0</v>
      </c>
      <c r="AZ113" s="130"/>
      <c r="BA113" s="130"/>
      <c r="BB113" s="131"/>
      <c r="BC113" s="130"/>
      <c r="BD113" s="130"/>
      <c r="BE113" s="130"/>
      <c r="BF113" s="130">
        <f>COUNTIF($BH$5:$BH$6,"Pæd.dag")</f>
        <v>0</v>
      </c>
      <c r="BG113" s="130"/>
      <c r="BH113" s="130"/>
      <c r="BI113" s="130"/>
      <c r="BJ113" s="130"/>
      <c r="BK113" s="130"/>
      <c r="BL113" s="130"/>
      <c r="BM113" s="130">
        <f>COUNTIF($BO$10:$BO$11,"Pæd.dag")</f>
        <v>0</v>
      </c>
      <c r="BN113" s="130"/>
      <c r="BO113" s="130"/>
      <c r="BP113" s="130"/>
      <c r="BQ113" s="130"/>
      <c r="BR113" s="130"/>
      <c r="BS113" s="130"/>
      <c r="BT113" s="130">
        <f>COUNTIF($BV$7:$BV$8,"Pæd.dag")</f>
        <v>0</v>
      </c>
      <c r="BU113" s="130"/>
      <c r="BV113" s="130"/>
      <c r="BW113" s="130"/>
      <c r="BX113" s="130"/>
      <c r="BY113" s="130"/>
      <c r="BZ113" s="130"/>
      <c r="CA113" s="130">
        <f>COUNTIF($CC$5:$CC$6,"Pæd.dag")</f>
        <v>0</v>
      </c>
      <c r="CB113" s="130"/>
      <c r="CC113" s="130"/>
      <c r="CD113" s="130"/>
      <c r="CE113" s="130"/>
      <c r="CF113" s="130"/>
      <c r="CG113" s="130"/>
      <c r="CH113" s="130"/>
      <c r="CI113" s="130">
        <f t="shared" si="37"/>
        <v>0</v>
      </c>
      <c r="CJ113" s="130"/>
      <c r="CK113" s="130"/>
      <c r="CL113" s="130"/>
      <c r="CM113" s="130"/>
    </row>
    <row r="114" spans="1:91" hidden="1">
      <c r="A114" s="130"/>
      <c r="B114" s="130">
        <f>COUNTIF($D$11:$D$12,"Pæd.dag")</f>
        <v>0</v>
      </c>
      <c r="C114" s="130"/>
      <c r="D114" s="130"/>
      <c r="E114" s="130"/>
      <c r="F114" s="130"/>
      <c r="G114" s="130"/>
      <c r="H114" s="130"/>
      <c r="I114" s="130">
        <f>COUNTIF($K$15:$K$16,"Pæd.dag")</f>
        <v>0</v>
      </c>
      <c r="J114" s="130"/>
      <c r="K114" s="130"/>
      <c r="L114" s="130"/>
      <c r="M114" s="130"/>
      <c r="N114" s="130"/>
      <c r="O114" s="130"/>
      <c r="P114" s="130">
        <f>COUNTIF($R$13:$R$14,"Pæd.dag")</f>
        <v>0</v>
      </c>
      <c r="Q114" s="130"/>
      <c r="R114" s="130"/>
      <c r="S114" s="130"/>
      <c r="T114" s="130"/>
      <c r="U114" s="130"/>
      <c r="V114" s="130"/>
      <c r="W114" s="130">
        <f>COUNTIF($Y$17:$Y$18,"Pæd.dag")</f>
        <v>0</v>
      </c>
      <c r="X114" s="130"/>
      <c r="Y114" s="130"/>
      <c r="Z114" s="130"/>
      <c r="AA114" s="130"/>
      <c r="AB114" s="130"/>
      <c r="AC114" s="130"/>
      <c r="AD114" s="130">
        <f>COUNTIF($AF$15:$AF$16,"Pæd.dag")</f>
        <v>0</v>
      </c>
      <c r="AE114" s="130"/>
      <c r="AF114" s="130"/>
      <c r="AG114" s="130"/>
      <c r="AH114" s="130"/>
      <c r="AI114" s="130"/>
      <c r="AJ114" s="130"/>
      <c r="AK114" s="130">
        <f>COUNTIF($AM$12:$AM$13,"Pæd.dag")</f>
        <v>0</v>
      </c>
      <c r="AL114" s="130"/>
      <c r="AM114" s="130"/>
      <c r="AN114" s="131"/>
      <c r="AO114" s="130"/>
      <c r="AP114" s="130"/>
      <c r="AQ114" s="130"/>
      <c r="AR114" s="130">
        <f>COUNTIF($AT$16:$AT$17,"Pæd.dag")</f>
        <v>0</v>
      </c>
      <c r="AS114" s="130"/>
      <c r="AT114" s="130"/>
      <c r="AU114" s="131"/>
      <c r="AV114" s="130"/>
      <c r="AW114" s="130"/>
      <c r="AX114" s="130"/>
      <c r="AY114" s="130">
        <f>COUNTIF($BA$15:$BA$16,"Pæd.dag")</f>
        <v>0</v>
      </c>
      <c r="AZ114" s="130"/>
      <c r="BA114" s="130"/>
      <c r="BB114" s="131"/>
      <c r="BC114" s="130"/>
      <c r="BD114" s="130"/>
      <c r="BE114" s="130"/>
      <c r="BF114" s="130">
        <f>COUNTIF($BH$12:$BH$13,"Pæd.dag")</f>
        <v>0</v>
      </c>
      <c r="BG114" s="130"/>
      <c r="BH114" s="130"/>
      <c r="BI114" s="130"/>
      <c r="BJ114" s="130"/>
      <c r="BK114" s="130"/>
      <c r="BL114" s="130"/>
      <c r="BM114" s="130">
        <f>COUNTIF($BO$17:$BO$18,"Pæd.dag")</f>
        <v>0</v>
      </c>
      <c r="BN114" s="130"/>
      <c r="BO114" s="130"/>
      <c r="BP114" s="130"/>
      <c r="BQ114" s="130"/>
      <c r="BR114" s="130"/>
      <c r="BS114" s="130"/>
      <c r="BT114" s="130">
        <f>COUNTIF($BV$14:$BV$15,"Pæd.dag")</f>
        <v>0</v>
      </c>
      <c r="BU114" s="130"/>
      <c r="BV114" s="130"/>
      <c r="BW114" s="130"/>
      <c r="BX114" s="130"/>
      <c r="BY114" s="130"/>
      <c r="BZ114" s="130"/>
      <c r="CA114" s="130">
        <f>COUNTIF($CC$12:$CC$13,"Pæd.dag")</f>
        <v>0</v>
      </c>
      <c r="CB114" s="130"/>
      <c r="CC114" s="130"/>
      <c r="CD114" s="130"/>
      <c r="CE114" s="130"/>
      <c r="CF114" s="130"/>
      <c r="CG114" s="130"/>
      <c r="CH114" s="130"/>
      <c r="CI114" s="130">
        <f t="shared" si="37"/>
        <v>0</v>
      </c>
      <c r="CJ114" s="130"/>
      <c r="CK114" s="130"/>
      <c r="CL114" s="130"/>
      <c r="CM114" s="130"/>
    </row>
    <row r="115" spans="1:91" hidden="1">
      <c r="A115" s="130"/>
      <c r="B115" s="130">
        <f>COUNTIF($D$18:$D$19,"Pæd.dag")</f>
        <v>0</v>
      </c>
      <c r="C115" s="130"/>
      <c r="D115" s="130"/>
      <c r="E115" s="130"/>
      <c r="F115" s="130"/>
      <c r="G115" s="130"/>
      <c r="H115" s="130"/>
      <c r="I115" s="130">
        <f>COUNTIF($K$22:$K$23,"Pæd.dag")</f>
        <v>0</v>
      </c>
      <c r="J115" s="130"/>
      <c r="K115" s="130"/>
      <c r="L115" s="130"/>
      <c r="M115" s="130"/>
      <c r="N115" s="130"/>
      <c r="O115" s="130"/>
      <c r="P115" s="130">
        <f>COUNTIF($R$20:$R$21,"Pæd.dag")</f>
        <v>0</v>
      </c>
      <c r="Q115" s="130"/>
      <c r="R115" s="130"/>
      <c r="S115" s="130"/>
      <c r="T115" s="130"/>
      <c r="U115" s="130"/>
      <c r="V115" s="130"/>
      <c r="W115" s="130">
        <f>COUNTIF($Y$24:$Y$25,"Pæd.dag")</f>
        <v>0</v>
      </c>
      <c r="X115" s="130"/>
      <c r="Y115" s="130"/>
      <c r="Z115" s="130"/>
      <c r="AA115" s="130"/>
      <c r="AB115" s="130"/>
      <c r="AC115" s="130"/>
      <c r="AD115" s="130">
        <f>COUNTIF($AF$22:$AF$23,"Pæd.dag")</f>
        <v>0</v>
      </c>
      <c r="AE115" s="130"/>
      <c r="AF115" s="130"/>
      <c r="AG115" s="130"/>
      <c r="AH115" s="130"/>
      <c r="AI115" s="130"/>
      <c r="AJ115" s="130"/>
      <c r="AK115" s="130">
        <f>COUNTIF($AM$19:$AM$20,"Pæd.dag")</f>
        <v>0</v>
      </c>
      <c r="AL115" s="130"/>
      <c r="AM115" s="130"/>
      <c r="AN115" s="131"/>
      <c r="AO115" s="130"/>
      <c r="AP115" s="130"/>
      <c r="AQ115" s="130"/>
      <c r="AR115" s="130">
        <f>COUNTIF($AT$23:$AT$24,"Pæd.dag")</f>
        <v>0</v>
      </c>
      <c r="AS115" s="130"/>
      <c r="AT115" s="130"/>
      <c r="AU115" s="131"/>
      <c r="AV115" s="130"/>
      <c r="AW115" s="130"/>
      <c r="AX115" s="130"/>
      <c r="AY115" s="130">
        <f>COUNTIF($BA$22:$BA$23,"Pæd.dag")</f>
        <v>0</v>
      </c>
      <c r="AZ115" s="130"/>
      <c r="BA115" s="130"/>
      <c r="BB115" s="131"/>
      <c r="BC115" s="130"/>
      <c r="BD115" s="130"/>
      <c r="BE115" s="130"/>
      <c r="BF115" s="130">
        <f>COUNTIF($BH$19:$BH$20,"Pæd.dag")</f>
        <v>0</v>
      </c>
      <c r="BG115" s="130"/>
      <c r="BH115" s="130"/>
      <c r="BI115" s="130"/>
      <c r="BJ115" s="130"/>
      <c r="BK115" s="130"/>
      <c r="BL115" s="130"/>
      <c r="BM115" s="130">
        <f>COUNTIF($BO$24:$BO$25,"Pæd.dag")</f>
        <v>0</v>
      </c>
      <c r="BN115" s="130"/>
      <c r="BO115" s="130"/>
      <c r="BP115" s="130"/>
      <c r="BQ115" s="130"/>
      <c r="BR115" s="130"/>
      <c r="BS115" s="130"/>
      <c r="BT115" s="130">
        <f>COUNTIF($BV$21:$BV$22,"Pæd.dag")</f>
        <v>0</v>
      </c>
      <c r="BU115" s="130"/>
      <c r="BV115" s="130"/>
      <c r="BW115" s="130"/>
      <c r="BX115" s="130"/>
      <c r="BY115" s="130"/>
      <c r="BZ115" s="130"/>
      <c r="CA115" s="130">
        <f>COUNTIF($CC$19:$CC$20,"Pæd.dag")</f>
        <v>0</v>
      </c>
      <c r="CB115" s="130"/>
      <c r="CC115" s="130"/>
      <c r="CD115" s="130"/>
      <c r="CE115" s="130"/>
      <c r="CF115" s="130"/>
      <c r="CG115" s="130"/>
      <c r="CH115" s="130"/>
      <c r="CI115" s="130">
        <f t="shared" si="37"/>
        <v>0</v>
      </c>
      <c r="CJ115" s="130"/>
      <c r="CK115" s="130"/>
      <c r="CL115" s="130"/>
      <c r="CM115" s="130"/>
    </row>
    <row r="116" spans="1:91" hidden="1">
      <c r="A116" s="130"/>
      <c r="B116" s="130">
        <f>COUNTIF($D$25:$D$26,"Pæd.dag")</f>
        <v>0</v>
      </c>
      <c r="C116" s="130"/>
      <c r="D116" s="130"/>
      <c r="E116" s="130"/>
      <c r="F116" s="130"/>
      <c r="G116" s="130"/>
      <c r="H116" s="130"/>
      <c r="I116" s="130">
        <f>COUNTIF($K$29:$K$30,"Pæd.dag")</f>
        <v>0</v>
      </c>
      <c r="J116" s="130"/>
      <c r="K116" s="130"/>
      <c r="L116" s="130"/>
      <c r="M116" s="130"/>
      <c r="N116" s="130"/>
      <c r="O116" s="130"/>
      <c r="P116" s="130">
        <f>COUNTIF($R$27:$R$28,"Pæd.dag")</f>
        <v>0</v>
      </c>
      <c r="Q116" s="130"/>
      <c r="R116" s="130"/>
      <c r="S116" s="130"/>
      <c r="T116" s="130"/>
      <c r="U116" s="130"/>
      <c r="V116" s="130"/>
      <c r="W116" s="130">
        <f>COUNTIF($Y$31:$Y$32,"Pæd.dag")</f>
        <v>0</v>
      </c>
      <c r="X116" s="130"/>
      <c r="Y116" s="130"/>
      <c r="Z116" s="130"/>
      <c r="AA116" s="130"/>
      <c r="AB116" s="130"/>
      <c r="AC116" s="130"/>
      <c r="AD116" s="130">
        <f>COUNTIF($AF$29:$AF$30,"Pæd.dag")</f>
        <v>0</v>
      </c>
      <c r="AE116" s="130"/>
      <c r="AF116" s="130"/>
      <c r="AG116" s="130"/>
      <c r="AH116" s="130"/>
      <c r="AI116" s="130"/>
      <c r="AJ116" s="130"/>
      <c r="AK116" s="130">
        <f>COUNTIF($AM$26:$AM$27,"Pæd.dag")</f>
        <v>0</v>
      </c>
      <c r="AL116" s="130"/>
      <c r="AM116" s="130"/>
      <c r="AN116" s="131"/>
      <c r="AO116" s="130"/>
      <c r="AP116" s="130"/>
      <c r="AQ116" s="130"/>
      <c r="AR116" s="130">
        <f>COUNTIF($AT$30:$AT$31,"Pæd.dag")</f>
        <v>0</v>
      </c>
      <c r="AS116" s="130"/>
      <c r="AT116" s="130"/>
      <c r="AU116" s="131"/>
      <c r="AV116" s="130"/>
      <c r="AW116" s="130"/>
      <c r="AX116" s="130"/>
      <c r="AY116" s="130">
        <f>COUNTIF($BA$29:$BA$30,"Pæd.dag")</f>
        <v>0</v>
      </c>
      <c r="AZ116" s="130"/>
      <c r="BA116" s="130"/>
      <c r="BB116" s="131"/>
      <c r="BC116" s="130"/>
      <c r="BD116" s="130"/>
      <c r="BE116" s="130"/>
      <c r="BF116" s="130">
        <f>COUNTIF($BH$26:$BH$27,"Pæd.dag")</f>
        <v>0</v>
      </c>
      <c r="BG116" s="130"/>
      <c r="BH116" s="130"/>
      <c r="BI116" s="130"/>
      <c r="BJ116" s="130"/>
      <c r="BK116" s="130"/>
      <c r="BL116" s="130"/>
      <c r="BM116" s="130">
        <f>COUNTIF($BO$31:$BO$32,"Pæd.dag")</f>
        <v>0</v>
      </c>
      <c r="BN116" s="130"/>
      <c r="BO116" s="130"/>
      <c r="BP116" s="130"/>
      <c r="BQ116" s="130"/>
      <c r="BR116" s="130"/>
      <c r="BS116" s="130"/>
      <c r="BT116" s="130">
        <f>COUNTIF($BV$28:$BV$29,"Pæd.dag")</f>
        <v>0</v>
      </c>
      <c r="BU116" s="130"/>
      <c r="BV116" s="130"/>
      <c r="BW116" s="130"/>
      <c r="BX116" s="130"/>
      <c r="BY116" s="130"/>
      <c r="BZ116" s="130"/>
      <c r="CA116" s="130">
        <f>COUNTIF($CC$26:$CC$27,"Pæd.dag")</f>
        <v>0</v>
      </c>
      <c r="CB116" s="130"/>
      <c r="CC116" s="130"/>
      <c r="CD116" s="130"/>
      <c r="CE116" s="130"/>
      <c r="CF116" s="130"/>
      <c r="CG116" s="130"/>
      <c r="CH116" s="130"/>
      <c r="CI116" s="130">
        <f t="shared" si="37"/>
        <v>0</v>
      </c>
      <c r="CJ116" s="130"/>
      <c r="CK116" s="130"/>
      <c r="CL116" s="130"/>
      <c r="CM116" s="130"/>
    </row>
    <row r="117" spans="1:91" hidden="1">
      <c r="A117" s="130"/>
      <c r="B117" s="130">
        <f>COUNTIF($D$32:$D$33,"Pæd.dag")</f>
        <v>0</v>
      </c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>
        <f>COUNTIF($R$34:$R$35,"Pæd.dag")</f>
        <v>0</v>
      </c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>
        <f>COUNTIF($AM$33:$AM$34,"Pæd.dag")</f>
        <v>0</v>
      </c>
      <c r="AL117" s="130"/>
      <c r="AM117" s="130"/>
      <c r="AN117" s="131"/>
      <c r="AO117" s="130"/>
      <c r="AP117" s="130"/>
      <c r="AQ117" s="130"/>
      <c r="AR117" s="130"/>
      <c r="AS117" s="130"/>
      <c r="AT117" s="130"/>
      <c r="AU117" s="131"/>
      <c r="AV117" s="130"/>
      <c r="AW117" s="130"/>
      <c r="AX117" s="130"/>
      <c r="AY117" s="130"/>
      <c r="AZ117" s="130"/>
      <c r="BA117" s="130"/>
      <c r="BB117" s="131"/>
      <c r="BC117" s="130"/>
      <c r="BD117" s="130"/>
      <c r="BE117" s="130"/>
      <c r="BF117" s="130">
        <f>COUNTIF($BH$33:$BH$34,"Pæd.dag")</f>
        <v>0</v>
      </c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30"/>
      <c r="CA117" s="130">
        <f>COUNTIF($CC$33:$CC$34,"Pæd.dag")</f>
        <v>0</v>
      </c>
      <c r="CB117" s="130"/>
      <c r="CC117" s="130"/>
      <c r="CD117" s="130"/>
      <c r="CE117" s="130"/>
      <c r="CF117" s="130"/>
      <c r="CG117" s="130"/>
      <c r="CH117" s="130"/>
      <c r="CI117" s="130">
        <f t="shared" si="37"/>
        <v>0</v>
      </c>
      <c r="CJ117" s="130"/>
      <c r="CK117" s="130"/>
      <c r="CL117" s="130"/>
      <c r="CM117" s="130"/>
    </row>
    <row r="118" spans="1:91" s="128" customFormat="1" hidden="1">
      <c r="B118" s="128">
        <f>SUM(B65:B117)</f>
        <v>0</v>
      </c>
      <c r="I118" s="128">
        <f>SUM(I65:I117)</f>
        <v>0</v>
      </c>
      <c r="P118" s="128">
        <f>SUM(P65:P117)</f>
        <v>0</v>
      </c>
      <c r="W118" s="128">
        <f>SUM(W65:W116)</f>
        <v>0</v>
      </c>
      <c r="AD118" s="128">
        <f>SUM(AD66:AD117)</f>
        <v>0</v>
      </c>
      <c r="AK118" s="128">
        <f>SUM(AK66:AK117)</f>
        <v>0</v>
      </c>
      <c r="AN118" s="221"/>
      <c r="AR118" s="128">
        <f>SUM(AR65:AR117)</f>
        <v>0</v>
      </c>
      <c r="AU118" s="221"/>
      <c r="AY118" s="128">
        <f>SUM(AY65:AY117)</f>
        <v>0</v>
      </c>
      <c r="BB118" s="221"/>
      <c r="BF118" s="128">
        <f>SUM(BF66:BF117)</f>
        <v>0</v>
      </c>
      <c r="BM118" s="128">
        <f>SUM(BM65:BM117)</f>
        <v>0</v>
      </c>
      <c r="BT118" s="128">
        <f>SUM(BT66:BT117)</f>
        <v>0</v>
      </c>
      <c r="CA118" s="128">
        <f>SUM(CA66:CA117)</f>
        <v>0</v>
      </c>
      <c r="CI118" s="128">
        <f>SUM(CI65:CI117)</f>
        <v>0</v>
      </c>
    </row>
    <row r="119" spans="1:91" hidden="1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0"/>
      <c r="AM119" s="130"/>
      <c r="AN119" s="131"/>
      <c r="AO119" s="130"/>
      <c r="AP119" s="130"/>
      <c r="AQ119" s="130"/>
      <c r="AR119" s="130"/>
      <c r="AS119" s="130"/>
      <c r="AT119" s="130"/>
      <c r="AU119" s="131"/>
      <c r="AV119" s="130"/>
      <c r="AW119" s="130"/>
      <c r="AX119" s="130"/>
      <c r="AY119" s="130"/>
      <c r="AZ119" s="130"/>
      <c r="BA119" s="130"/>
      <c r="BB119" s="131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30"/>
      <c r="CA119" s="130"/>
      <c r="CB119" s="130"/>
      <c r="CC119" s="130"/>
      <c r="CD119" s="130"/>
      <c r="CE119" s="130"/>
      <c r="CF119" s="130"/>
      <c r="CG119" s="130"/>
      <c r="CH119" s="130"/>
      <c r="CI119" s="130"/>
      <c r="CJ119" s="130"/>
      <c r="CK119" s="130"/>
      <c r="CL119" s="130"/>
      <c r="CM119" s="130"/>
    </row>
    <row r="120" spans="1:91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1"/>
      <c r="AO120" s="130"/>
      <c r="AP120" s="130"/>
      <c r="AQ120" s="130"/>
      <c r="AR120" s="130"/>
      <c r="AS120" s="130"/>
      <c r="AT120" s="130"/>
      <c r="AU120" s="131"/>
      <c r="AV120" s="130"/>
      <c r="AW120" s="130"/>
      <c r="AX120" s="130"/>
      <c r="AY120" s="130"/>
      <c r="AZ120" s="130"/>
      <c r="BA120" s="130"/>
      <c r="BB120" s="131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  <c r="CG120" s="130"/>
      <c r="CH120" s="130"/>
      <c r="CI120" s="130"/>
      <c r="CJ120" s="130"/>
      <c r="CK120" s="130"/>
      <c r="CL120" s="130"/>
      <c r="CM120" s="130"/>
    </row>
    <row r="121" spans="1:91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1"/>
      <c r="AO121" s="130"/>
      <c r="AP121" s="130"/>
      <c r="AQ121" s="130"/>
      <c r="AR121" s="130"/>
      <c r="AS121" s="130"/>
      <c r="AT121" s="130"/>
      <c r="AU121" s="131"/>
      <c r="AV121" s="130"/>
      <c r="AW121" s="130"/>
      <c r="AX121" s="130"/>
      <c r="AY121" s="130"/>
      <c r="AZ121" s="130"/>
      <c r="BA121" s="130"/>
      <c r="BB121" s="131"/>
      <c r="BC121" s="130"/>
      <c r="BD121" s="130"/>
      <c r="BE121" s="130"/>
      <c r="BF121" s="130"/>
      <c r="BG121" s="130"/>
      <c r="BH121" s="130"/>
      <c r="BI121" s="130"/>
      <c r="BJ121" s="130"/>
      <c r="BK121" s="130"/>
      <c r="BL121" s="130"/>
      <c r="BM121" s="130"/>
      <c r="BN121" s="130"/>
      <c r="BO121" s="130"/>
      <c r="BP121" s="130"/>
      <c r="BQ121" s="130"/>
      <c r="BR121" s="130"/>
      <c r="BS121" s="130"/>
      <c r="BT121" s="130"/>
      <c r="BU121" s="130"/>
      <c r="BV121" s="130"/>
      <c r="BW121" s="130"/>
      <c r="BX121" s="130"/>
      <c r="BY121" s="130"/>
      <c r="BZ121" s="130"/>
      <c r="CA121" s="130"/>
      <c r="CB121" s="130"/>
      <c r="CC121" s="130"/>
      <c r="CD121" s="130"/>
      <c r="CE121" s="130"/>
      <c r="CF121" s="130"/>
      <c r="CG121" s="130"/>
      <c r="CH121" s="130"/>
      <c r="CI121" s="130"/>
      <c r="CJ121" s="130"/>
      <c r="CK121" s="130"/>
      <c r="CL121" s="130"/>
      <c r="CM121" s="130"/>
    </row>
    <row r="122" spans="1:91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1"/>
      <c r="AO122" s="130"/>
      <c r="AP122" s="130"/>
      <c r="AQ122" s="130"/>
      <c r="AR122" s="130"/>
      <c r="AS122" s="130"/>
      <c r="AT122" s="130"/>
      <c r="AU122" s="131"/>
      <c r="AV122" s="130"/>
      <c r="AW122" s="130"/>
      <c r="AX122" s="130"/>
      <c r="AY122" s="130"/>
      <c r="AZ122" s="130"/>
      <c r="BA122" s="130"/>
      <c r="BB122" s="131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0"/>
      <c r="BZ122" s="130"/>
      <c r="CA122" s="130"/>
      <c r="CB122" s="130"/>
      <c r="CC122" s="130"/>
      <c r="CD122" s="130"/>
      <c r="CE122" s="130"/>
      <c r="CF122" s="130"/>
      <c r="CG122" s="130"/>
      <c r="CH122" s="130"/>
      <c r="CI122" s="130"/>
      <c r="CJ122" s="130"/>
      <c r="CK122" s="130"/>
      <c r="CL122" s="130"/>
      <c r="CM122" s="130"/>
    </row>
    <row r="123" spans="1:91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1"/>
      <c r="AO123" s="130"/>
      <c r="AP123" s="130"/>
      <c r="AQ123" s="130"/>
      <c r="AR123" s="130"/>
      <c r="AS123" s="130"/>
      <c r="AT123" s="130"/>
      <c r="AU123" s="131"/>
      <c r="AV123" s="130"/>
      <c r="AW123" s="130"/>
      <c r="AX123" s="130"/>
      <c r="AY123" s="130"/>
      <c r="AZ123" s="130"/>
      <c r="BA123" s="130"/>
      <c r="BB123" s="131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  <c r="BQ123" s="130"/>
      <c r="BR123" s="130"/>
      <c r="BS123" s="130"/>
      <c r="BT123" s="130"/>
      <c r="BU123" s="130"/>
      <c r="BV123" s="130"/>
      <c r="BW123" s="130"/>
      <c r="BX123" s="130"/>
      <c r="BY123" s="130"/>
      <c r="BZ123" s="130"/>
      <c r="CA123" s="130"/>
      <c r="CB123" s="130"/>
      <c r="CC123" s="130"/>
      <c r="CD123" s="130"/>
      <c r="CE123" s="130"/>
      <c r="CF123" s="130"/>
      <c r="CG123" s="130"/>
      <c r="CH123" s="130"/>
      <c r="CI123" s="130"/>
      <c r="CJ123" s="130"/>
      <c r="CK123" s="130"/>
      <c r="CL123" s="130"/>
      <c r="CM123" s="130"/>
    </row>
    <row r="124" spans="1:91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1"/>
      <c r="AO124" s="130"/>
      <c r="AP124" s="130"/>
      <c r="AQ124" s="130"/>
      <c r="AR124" s="130"/>
      <c r="AS124" s="130"/>
      <c r="AT124" s="130"/>
      <c r="AU124" s="131"/>
      <c r="AV124" s="130"/>
      <c r="AW124" s="130"/>
      <c r="AX124" s="130"/>
      <c r="AY124" s="130"/>
      <c r="AZ124" s="130"/>
      <c r="BA124" s="130"/>
      <c r="BB124" s="131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</row>
  </sheetData>
  <sheetProtection sheet="1" formatCells="0" formatColumns="0" formatRows="0"/>
  <dataConsolidate/>
  <mergeCells count="413"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F3:H4"/>
    <mergeCell ref="F5:H5"/>
    <mergeCell ref="F6:H6"/>
    <mergeCell ref="F15:H15"/>
    <mergeCell ref="F20:H20"/>
    <mergeCell ref="F21:H21"/>
    <mergeCell ref="F22:H22"/>
    <mergeCell ref="T32:V32"/>
    <mergeCell ref="T33:V33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</mergeCells>
  <phoneticPr fontId="4" type="noConversion"/>
  <conditionalFormatting sqref="B5:H35">
    <cfRule type="expression" dxfId="208" priority="34" stopIfTrue="1">
      <formula>OR($D5="Skema 1")</formula>
    </cfRule>
    <cfRule type="expression" dxfId="207" priority="35" stopIfTrue="1">
      <formula>OR($D5="Skema 2")</formula>
    </cfRule>
    <cfRule type="expression" dxfId="206" priority="36" stopIfTrue="1">
      <formula>OR($D5="Skema 3")</formula>
    </cfRule>
    <cfRule type="expression" dxfId="205" priority="48">
      <formula>OR($D5="Ikke relevant")</formula>
    </cfRule>
    <cfRule type="expression" dxfId="204" priority="269">
      <formula>OR($D5="pæd.dag")</formula>
    </cfRule>
    <cfRule type="expression" dxfId="203" priority="270">
      <formula>OR($D5="nul-dag")</formula>
    </cfRule>
    <cfRule type="expression" dxfId="202" priority="271">
      <formula>OR($D5="SH-dag")</formula>
    </cfRule>
    <cfRule type="expression" dxfId="201" priority="272">
      <formula>OR($D5="ekskursion")</formula>
    </cfRule>
    <cfRule type="expression" dxfId="200" priority="273">
      <formula>OR($D5="lejrskole")</formula>
    </cfRule>
    <cfRule type="expression" dxfId="199" priority="274">
      <formula>OR($D5="emnedag")</formula>
    </cfRule>
    <cfRule type="expression" dxfId="198" priority="275">
      <formula>OR($D5="fagdag")</formula>
    </cfRule>
    <cfRule type="expression" dxfId="197" priority="276">
      <formula>OR($D5="feriedag")</formula>
    </cfRule>
    <cfRule type="expression" dxfId="196" priority="277">
      <formula>OR($D5="weekend")</formula>
    </cfRule>
    <cfRule type="expression" dxfId="195" priority="278" stopIfTrue="1">
      <formula>OR($D5="Skema 4")</formula>
    </cfRule>
  </conditionalFormatting>
  <conditionalFormatting sqref="F16">
    <cfRule type="expression" dxfId="194" priority="539">
      <formula>OR($D15="pæd.dag")</formula>
    </cfRule>
    <cfRule type="expression" dxfId="193" priority="540">
      <formula>OR($D15="nul-dag")</formula>
    </cfRule>
    <cfRule type="expression" dxfId="192" priority="541">
      <formula>OR($D15="SH-dag")</formula>
    </cfRule>
    <cfRule type="expression" dxfId="191" priority="542">
      <formula>OR($D15="ekskursion")</formula>
    </cfRule>
    <cfRule type="expression" dxfId="190" priority="543">
      <formula>OR($D15="lejrskole")</formula>
    </cfRule>
    <cfRule type="expression" dxfId="189" priority="544">
      <formula>OR($D15="emnedag")</formula>
    </cfRule>
    <cfRule type="expression" dxfId="188" priority="545">
      <formula>OR($D15="fagdag")</formula>
    </cfRule>
    <cfRule type="expression" dxfId="187" priority="546">
      <formula>OR($D15="feriedag")</formula>
    </cfRule>
    <cfRule type="expression" dxfId="186" priority="547">
      <formula>OR($D15="weekend")</formula>
    </cfRule>
    <cfRule type="expression" dxfId="185" priority="548" stopIfTrue="1">
      <formula>OR($D15="skoledag")</formula>
    </cfRule>
    <cfRule type="expression" dxfId="184" priority="550">
      <formula>OR($D15="Ikke relevant")</formula>
    </cfRule>
  </conditionalFormatting>
  <conditionalFormatting sqref="I5:M34">
    <cfRule type="expression" dxfId="183" priority="31">
      <formula>OR($K5="Skema 2")</formula>
    </cfRule>
    <cfRule type="expression" dxfId="182" priority="32">
      <formula>OR($K5="Skema 3")</formula>
    </cfRule>
    <cfRule type="expression" dxfId="181" priority="33">
      <formula>OR($K5="Skema 4")</formula>
    </cfRule>
    <cfRule type="expression" dxfId="180" priority="47">
      <formula>OR($K5="Ikke relevant")</formula>
    </cfRule>
    <cfRule type="expression" dxfId="179" priority="189">
      <formula>OR($K5="pæd.dag")</formula>
    </cfRule>
    <cfRule type="expression" dxfId="178" priority="190">
      <formula>OR($K5="nul-dag")</formula>
    </cfRule>
    <cfRule type="expression" dxfId="177" priority="191">
      <formula>OR($K5="SH-dag")</formula>
    </cfRule>
    <cfRule type="expression" dxfId="176" priority="192">
      <formula>OR($K5="ekskursion")</formula>
    </cfRule>
    <cfRule type="expression" dxfId="175" priority="193">
      <formula>OR($K5="lejrskole")</formula>
    </cfRule>
    <cfRule type="expression" dxfId="174" priority="194">
      <formula>OR($K5="emnedag")</formula>
    </cfRule>
    <cfRule type="expression" dxfId="173" priority="195">
      <formula>OR($K5="fagdag")</formula>
    </cfRule>
    <cfRule type="expression" dxfId="172" priority="196">
      <formula>OR($K5="feriedag")</formula>
    </cfRule>
    <cfRule type="expression" dxfId="171" priority="197">
      <formula>OR($K5="weekend")</formula>
    </cfRule>
    <cfRule type="expression" dxfId="170" priority="198" stopIfTrue="1">
      <formula>OR($K5="Skema 1")</formula>
    </cfRule>
  </conditionalFormatting>
  <conditionalFormatting sqref="P5:T35">
    <cfRule type="expression" dxfId="169" priority="28" stopIfTrue="1">
      <formula>OR($R5="Skema 2")</formula>
    </cfRule>
    <cfRule type="expression" dxfId="168" priority="29" stopIfTrue="1">
      <formula>OR($R5="Skema 3")</formula>
    </cfRule>
    <cfRule type="expression" dxfId="167" priority="30" stopIfTrue="1">
      <formula>OR($R5="Skema 4")</formula>
    </cfRule>
    <cfRule type="expression" dxfId="166" priority="46">
      <formula>OR($R5="Ikke relevant")</formula>
    </cfRule>
    <cfRule type="expression" dxfId="165" priority="179">
      <formula>OR($R5="pæd.dag")</formula>
    </cfRule>
    <cfRule type="expression" dxfId="164" priority="180">
      <formula>OR($R5="nul-dag")</formula>
    </cfRule>
    <cfRule type="expression" dxfId="163" priority="181">
      <formula>OR($R5="SH-dag")</formula>
    </cfRule>
    <cfRule type="expression" dxfId="162" priority="182">
      <formula>OR($R5="ekskursion")</formula>
    </cfRule>
    <cfRule type="expression" dxfId="161" priority="183">
      <formula>OR($R5="lejrskole")</formula>
    </cfRule>
    <cfRule type="expression" dxfId="160" priority="184">
      <formula>OR($R5="emnedag")</formula>
    </cfRule>
    <cfRule type="expression" dxfId="159" priority="185">
      <formula>OR($R5="fagdag")</formula>
    </cfRule>
    <cfRule type="expression" dxfId="158" priority="186">
      <formula>OR($R5="feriedag")</formula>
    </cfRule>
    <cfRule type="expression" dxfId="157" priority="187">
      <formula>OR($R5="weekend")</formula>
    </cfRule>
    <cfRule type="expression" dxfId="156" priority="188" stopIfTrue="1">
      <formula>OR($R5="Skema 1")</formula>
    </cfRule>
  </conditionalFormatting>
  <conditionalFormatting sqref="W5:AA34">
    <cfRule type="expression" dxfId="155" priority="25">
      <formula>OR($Y5="Skema 2")</formula>
    </cfRule>
    <cfRule type="expression" dxfId="154" priority="26">
      <formula>OR($Y5="Skema 3")</formula>
    </cfRule>
    <cfRule type="expression" dxfId="153" priority="27">
      <formula>OR($Y5="Skema 4")</formula>
    </cfRule>
    <cfRule type="expression" dxfId="152" priority="45">
      <formula>OR($Y5="Ikke relevant")</formula>
    </cfRule>
    <cfRule type="expression" dxfId="151" priority="169">
      <formula>OR($Y5="pæd.dag")</formula>
    </cfRule>
    <cfRule type="expression" dxfId="150" priority="170">
      <formula>OR($Y5="nul-dag")</formula>
    </cfRule>
    <cfRule type="expression" dxfId="149" priority="171">
      <formula>OR($Y5="SH-dag")</formula>
    </cfRule>
    <cfRule type="expression" dxfId="148" priority="172">
      <formula>OR($Y5="ekskursion")</formula>
    </cfRule>
    <cfRule type="expression" dxfId="147" priority="173">
      <formula>OR($Y5="lejrskole")</formula>
    </cfRule>
    <cfRule type="expression" dxfId="146" priority="174">
      <formula>OR($Y5="emnedag")</formula>
    </cfRule>
    <cfRule type="expression" dxfId="145" priority="175">
      <formula>OR($Y5="fagdag")</formula>
    </cfRule>
    <cfRule type="expression" dxfId="144" priority="176">
      <formula>OR($Y5="feriedag")</formula>
    </cfRule>
    <cfRule type="expression" dxfId="143" priority="177">
      <formula>OR($Y5="weekend")</formula>
    </cfRule>
    <cfRule type="expression" dxfId="142" priority="178" stopIfTrue="1">
      <formula>OR($Y5="skema 1")</formula>
    </cfRule>
  </conditionalFormatting>
  <conditionalFormatting sqref="AD5:AH35">
    <cfRule type="expression" dxfId="141" priority="22">
      <formula>OR($AF5="Ikke relevant")</formula>
    </cfRule>
    <cfRule type="expression" dxfId="140" priority="23">
      <formula>OR($AF5="Skema 2")</formula>
    </cfRule>
    <cfRule type="expression" dxfId="139" priority="24">
      <formula>OR($AF5="Skema 3")</formula>
    </cfRule>
    <cfRule type="expression" dxfId="138" priority="44">
      <formula>OR($AF5="Skema 4")</formula>
    </cfRule>
    <cfRule type="expression" dxfId="137" priority="139">
      <formula>OR($AF5="pæd.dag")</formula>
    </cfRule>
    <cfRule type="expression" dxfId="136" priority="140">
      <formula>OR($AF5="nul-dag")</formula>
    </cfRule>
    <cfRule type="expression" dxfId="135" priority="141">
      <formula>OR($AF5="SH-dag")</formula>
    </cfRule>
    <cfRule type="expression" dxfId="134" priority="142">
      <formula>OR($AF5="ekskursion")</formula>
    </cfRule>
    <cfRule type="expression" dxfId="133" priority="143">
      <formula>OR($AF5="lejrskole")</formula>
    </cfRule>
    <cfRule type="expression" dxfId="132" priority="144">
      <formula>OR($AF5="emnedag")</formula>
    </cfRule>
    <cfRule type="expression" dxfId="131" priority="145">
      <formula>OR($AF5="fagdag")</formula>
    </cfRule>
    <cfRule type="expression" dxfId="130" priority="146">
      <formula>OR($AF5="feriedag")</formula>
    </cfRule>
    <cfRule type="expression" dxfId="129" priority="147">
      <formula>OR($AF5="weekend")</formula>
    </cfRule>
    <cfRule type="expression" dxfId="128" priority="148" stopIfTrue="1">
      <formula>OR($AF5="Skema 1")</formula>
    </cfRule>
  </conditionalFormatting>
  <conditionalFormatting sqref="AK5:AO35">
    <cfRule type="expression" dxfId="127" priority="129">
      <formula>OR($AM5="pæd.dag")</formula>
    </cfRule>
    <cfRule type="expression" dxfId="126" priority="130">
      <formula>OR($AM5="nul-dag")</formula>
    </cfRule>
    <cfRule type="expression" dxfId="125" priority="131">
      <formula>OR($AM5="SH-dag")</formula>
    </cfRule>
    <cfRule type="expression" dxfId="124" priority="132">
      <formula>OR($AM5="ekskursion")</formula>
    </cfRule>
    <cfRule type="expression" dxfId="123" priority="133">
      <formula>OR($AM5="lejrskole")</formula>
    </cfRule>
    <cfRule type="expression" dxfId="122" priority="134">
      <formula>OR($AM5="emnedag")</formula>
    </cfRule>
    <cfRule type="expression" dxfId="121" priority="135">
      <formula>OR($AM5="fagdag")</formula>
    </cfRule>
    <cfRule type="expression" dxfId="120" priority="136">
      <formula>OR($AM5="feriedag")</formula>
    </cfRule>
    <cfRule type="expression" dxfId="119" priority="137">
      <formula>OR($AM5="weekend")</formula>
    </cfRule>
    <cfRule type="expression" dxfId="118" priority="138" stopIfTrue="1">
      <formula>OR($AM5="Skema 1")</formula>
    </cfRule>
  </conditionalFormatting>
  <conditionalFormatting sqref="AK5:AQ35">
    <cfRule type="expression" dxfId="117" priority="19">
      <formula>OR($AM5="Skema 2")</formula>
    </cfRule>
    <cfRule type="expression" dxfId="116" priority="20">
      <formula>OR($AM5="Skema 3")</formula>
    </cfRule>
    <cfRule type="expression" dxfId="115" priority="21">
      <formula>OR($AM5="Skema 4")</formula>
    </cfRule>
    <cfRule type="expression" dxfId="114" priority="43">
      <formula>OR($AM5="Ikke relevant")</formula>
    </cfRule>
  </conditionalFormatting>
  <conditionalFormatting sqref="AR5:AX33">
    <cfRule type="expression" dxfId="113" priority="16">
      <formula>OR($AT5="Skema 2")</formula>
    </cfRule>
    <cfRule type="expression" dxfId="112" priority="17">
      <formula>OR($AT5="Skema 3")</formula>
    </cfRule>
    <cfRule type="expression" dxfId="111" priority="18">
      <formula>OR($AT5="Skema 4")</formula>
    </cfRule>
    <cfRule type="expression" dxfId="110" priority="42">
      <formula>OR($AT5="Ikke relevant")</formula>
    </cfRule>
    <cfRule type="expression" dxfId="109" priority="99">
      <formula>OR($AT5="pæd.dag")</formula>
    </cfRule>
    <cfRule type="expression" dxfId="108" priority="100">
      <formula>OR($AT5="nul-dag")</formula>
    </cfRule>
    <cfRule type="expression" dxfId="107" priority="101">
      <formula>OR($AT5="SH-dag")</formula>
    </cfRule>
    <cfRule type="expression" dxfId="106" priority="102">
      <formula>OR($AT5="ekskursion")</formula>
    </cfRule>
    <cfRule type="expression" dxfId="105" priority="103">
      <formula>OR($AT5="lejrskole")</formula>
    </cfRule>
    <cfRule type="expression" dxfId="104" priority="104">
      <formula>OR($AT5="emnedag")</formula>
    </cfRule>
    <cfRule type="expression" dxfId="103" priority="105">
      <formula>OR($AT5="fagdag")</formula>
    </cfRule>
    <cfRule type="expression" dxfId="102" priority="106">
      <formula>OR($AT5="feriedag")</formula>
    </cfRule>
    <cfRule type="expression" dxfId="101" priority="107">
      <formula>OR($AT5="weekend")</formula>
    </cfRule>
    <cfRule type="expression" dxfId="100" priority="108" stopIfTrue="1">
      <formula>OR($AT5="Skema 1")</formula>
    </cfRule>
  </conditionalFormatting>
  <conditionalFormatting sqref="AY5:BC35">
    <cfRule type="expression" dxfId="99" priority="13">
      <formula>OR($BA5="Skema 2")</formula>
    </cfRule>
    <cfRule type="expression" dxfId="98" priority="14">
      <formula>OR($BA5="Skema 3")</formula>
    </cfRule>
    <cfRule type="expression" dxfId="97" priority="15">
      <formula>OR($BA5="Skema 4")</formula>
    </cfRule>
    <cfRule type="expression" dxfId="96" priority="41">
      <formula>OR($BA5="Ikke relevant")</formula>
    </cfRule>
    <cfRule type="expression" dxfId="95" priority="119">
      <formula>OR($BA5="pæd.dag")</formula>
    </cfRule>
    <cfRule type="expression" dxfId="94" priority="120">
      <formula>OR($BA5="nul-dag")</formula>
    </cfRule>
    <cfRule type="expression" dxfId="93" priority="121">
      <formula>OR($BA5="SH-dag")</formula>
    </cfRule>
    <cfRule type="expression" dxfId="92" priority="122">
      <formula>OR($BA5="ekskursion")</formula>
    </cfRule>
    <cfRule type="expression" dxfId="91" priority="123">
      <formula>OR($BA5="lejrskole")</formula>
    </cfRule>
    <cfRule type="expression" dxfId="90" priority="124">
      <formula>OR($BA5="emnedag")</formula>
    </cfRule>
    <cfRule type="expression" dxfId="89" priority="125">
      <formula>OR($BA5="fagdag")</formula>
    </cfRule>
    <cfRule type="expression" dxfId="88" priority="126">
      <formula>OR($BA5="feriedag")</formula>
    </cfRule>
    <cfRule type="expression" dxfId="87" priority="127">
      <formula>OR($BA5="weekend")</formula>
    </cfRule>
    <cfRule type="expression" dxfId="86" priority="128" stopIfTrue="1">
      <formula>OR($BA5="Skema 1")</formula>
    </cfRule>
  </conditionalFormatting>
  <conditionalFormatting sqref="BF5:BJ34">
    <cfRule type="expression" dxfId="85" priority="10">
      <formula>OR($BH5="Skema 2")</formula>
    </cfRule>
    <cfRule type="expression" dxfId="84" priority="11">
      <formula>OR($BH5="Skema 3")</formula>
    </cfRule>
    <cfRule type="expression" dxfId="83" priority="12">
      <formula>OR($BH5="Skema 4")</formula>
    </cfRule>
    <cfRule type="expression" dxfId="82" priority="40">
      <formula>OR($BH5="Ikke relevant")</formula>
    </cfRule>
    <cfRule type="expression" dxfId="81" priority="159">
      <formula>OR($BH5="pæd.dag")</formula>
    </cfRule>
    <cfRule type="expression" dxfId="80" priority="160">
      <formula>OR($BH5="nul-dag")</formula>
    </cfRule>
    <cfRule type="expression" dxfId="79" priority="161">
      <formula>OR($BH5="SH-dag")</formula>
    </cfRule>
    <cfRule type="expression" dxfId="78" priority="162">
      <formula>OR($BH5="ekskursion")</formula>
    </cfRule>
    <cfRule type="expression" dxfId="77" priority="163">
      <formula>OR($BH5="lejrskole")</formula>
    </cfRule>
    <cfRule type="expression" dxfId="76" priority="164">
      <formula>OR($BH5="emnedag")</formula>
    </cfRule>
    <cfRule type="expression" dxfId="75" priority="165">
      <formula>OR($BH5="fagdag")</formula>
    </cfRule>
    <cfRule type="expression" dxfId="74" priority="166">
      <formula>OR($BH5="feriedag")</formula>
    </cfRule>
    <cfRule type="expression" dxfId="73" priority="167">
      <formula>OR($BH5="weekend")</formula>
    </cfRule>
    <cfRule type="expression" dxfId="72" priority="168" stopIfTrue="1">
      <formula>OR($BH5="Skema 1")</formula>
    </cfRule>
  </conditionalFormatting>
  <conditionalFormatting sqref="BM5:BQ35">
    <cfRule type="expression" dxfId="71" priority="7">
      <formula>OR($BO5="Skema 2")</formula>
    </cfRule>
    <cfRule type="expression" dxfId="70" priority="8">
      <formula>OR($BO5="Skema 3")</formula>
    </cfRule>
    <cfRule type="expression" dxfId="69" priority="9">
      <formula>OR($BO5="Skema 4")</formula>
    </cfRule>
    <cfRule type="expression" dxfId="68" priority="39">
      <formula>OR($BO5="Ikke relevant")</formula>
    </cfRule>
    <cfRule type="expression" dxfId="67" priority="109">
      <formula>OR($BO5="pæd.dag")</formula>
    </cfRule>
    <cfRule type="expression" dxfId="66" priority="110">
      <formula>OR($BO5="nul-dag")</formula>
    </cfRule>
    <cfRule type="expression" dxfId="65" priority="111">
      <formula>OR($BO5="SH-dag")</formula>
    </cfRule>
    <cfRule type="expression" dxfId="64" priority="112">
      <formula>OR($BO5="ekskursion")</formula>
    </cfRule>
    <cfRule type="expression" dxfId="63" priority="113">
      <formula>OR($BO5="lejrskole")</formula>
    </cfRule>
    <cfRule type="expression" dxfId="62" priority="114">
      <formula>OR($BO5="emnedag")</formula>
    </cfRule>
    <cfRule type="expression" dxfId="61" priority="115">
      <formula>OR($BO5="fagdag")</formula>
    </cfRule>
    <cfRule type="expression" dxfId="60" priority="116">
      <formula>OR($BO5="feriedag")</formula>
    </cfRule>
    <cfRule type="expression" dxfId="59" priority="117">
      <formula>OR($BO5="weekend")</formula>
    </cfRule>
    <cfRule type="expression" dxfId="58" priority="118" stopIfTrue="1">
      <formula>OR($BO5="Skema 1")</formula>
    </cfRule>
  </conditionalFormatting>
  <conditionalFormatting sqref="BT5:BZ34">
    <cfRule type="expression" dxfId="57" priority="4">
      <formula>OR($BV5="Skema 2")</formula>
    </cfRule>
    <cfRule type="expression" dxfId="56" priority="5">
      <formula>OR($BV5="Skema 3")</formula>
    </cfRule>
    <cfRule type="expression" dxfId="55" priority="6">
      <formula>OR($BV5="Skema 4")</formula>
    </cfRule>
    <cfRule type="expression" dxfId="54" priority="38">
      <formula>OR($BV5="Ikke relevant")</formula>
    </cfRule>
    <cfRule type="expression" dxfId="53" priority="149">
      <formula>OR($BV5="pæd.dag")</formula>
    </cfRule>
    <cfRule type="expression" dxfId="52" priority="150">
      <formula>OR($BV5="nul-dag")</formula>
    </cfRule>
    <cfRule type="expression" dxfId="51" priority="151">
      <formula>OR($BV5="SH-dag")</formula>
    </cfRule>
    <cfRule type="expression" dxfId="50" priority="152">
      <formula>OR($BV5="ekskursion")</formula>
    </cfRule>
    <cfRule type="expression" dxfId="49" priority="153">
      <formula>OR($BV5="lejrskole")</formula>
    </cfRule>
    <cfRule type="expression" dxfId="48" priority="154">
      <formula>OR($BV5="emnedag")</formula>
    </cfRule>
    <cfRule type="expression" dxfId="47" priority="155">
      <formula>OR($BV5="fagdag")</formula>
    </cfRule>
    <cfRule type="expression" dxfId="46" priority="156">
      <formula>OR($BV5="feriedag")</formula>
    </cfRule>
    <cfRule type="expression" dxfId="45" priority="157">
      <formula>OR($BV5="weekend")</formula>
    </cfRule>
    <cfRule type="expression" dxfId="44" priority="158" stopIfTrue="1">
      <formula>OR($BV5="Skema 1")</formula>
    </cfRule>
  </conditionalFormatting>
  <conditionalFormatting sqref="CA5:CG35">
    <cfRule type="expression" dxfId="43" priority="1">
      <formula>OR($CC5="Skema 2")</formula>
    </cfRule>
    <cfRule type="expression" dxfId="42" priority="2">
      <formula>OR($CC5="Skema 3")</formula>
    </cfRule>
    <cfRule type="expression" dxfId="41" priority="3">
      <formula>OR($CC5="Skema 4")</formula>
    </cfRule>
    <cfRule type="expression" dxfId="40" priority="37">
      <formula>OR($CC5="Ikke relevant")</formula>
    </cfRule>
    <cfRule type="expression" dxfId="39" priority="89">
      <formula>OR($CC5="pæd.dag")</formula>
    </cfRule>
    <cfRule type="expression" dxfId="38" priority="90">
      <formula>OR($CC5="nul-dag")</formula>
    </cfRule>
    <cfRule type="expression" dxfId="37" priority="91">
      <formula>OR($CC5="SH-dag")</formula>
    </cfRule>
    <cfRule type="expression" dxfId="36" priority="92">
      <formula>OR($CC5="ekskursion")</formula>
    </cfRule>
    <cfRule type="expression" dxfId="35" priority="93">
      <formula>OR($CC5="lejrskole")</formula>
    </cfRule>
    <cfRule type="expression" dxfId="34" priority="94">
      <formula>OR($CC5="emnedag")</formula>
    </cfRule>
    <cfRule type="expression" dxfId="33" priority="95">
      <formula>OR($CC5="fagdag")</formula>
    </cfRule>
    <cfRule type="expression" dxfId="32" priority="96">
      <formula>OR($CC5="feriedag")</formula>
    </cfRule>
    <cfRule type="expression" dxfId="31" priority="97">
      <formula>OR($CC5="weekend")</formula>
    </cfRule>
    <cfRule type="expression" dxfId="30" priority="98" stopIfTrue="1">
      <formula>OR($CC5="Skema 1")</formula>
    </cfRule>
  </conditionalFormatting>
  <conditionalFormatting sqref="CE12">
    <cfRule type="expression" dxfId="29" priority="49">
      <formula>OR($CC12="pæd.dag")</formula>
    </cfRule>
    <cfRule type="expression" dxfId="28" priority="50">
      <formula>OR($CC12="nul-dag")</formula>
    </cfRule>
    <cfRule type="expression" dxfId="27" priority="51">
      <formula>OR($CC12="SH-dag")</formula>
    </cfRule>
    <cfRule type="expression" dxfId="26" priority="52">
      <formula>OR($CC12="ekskursion")</formula>
    </cfRule>
    <cfRule type="expression" dxfId="25" priority="53">
      <formula>OR($CC12="lejrskole")</formula>
    </cfRule>
    <cfRule type="expression" dxfId="24" priority="54">
      <formula>OR($CC12="emnedag")</formula>
    </cfRule>
    <cfRule type="expression" dxfId="23" priority="55">
      <formula>OR($CC12="fagdag")</formula>
    </cfRule>
    <cfRule type="expression" dxfId="22" priority="56">
      <formula>OR($CC12="feriedag")</formula>
    </cfRule>
    <cfRule type="expression" dxfId="21" priority="57">
      <formula>OR($CC12="weekend")</formula>
    </cfRule>
    <cfRule type="expression" dxfId="20" priority="58" stopIfTrue="1">
      <formula>OR($CC12="skoledag")</formula>
    </cfRule>
  </conditionalFormatting>
  <conditionalFormatting sqref="CE26">
    <cfRule type="expression" dxfId="19" priority="69">
      <formula>OR($CC26="pæd.dag")</formula>
    </cfRule>
    <cfRule type="expression" dxfId="18" priority="70">
      <formula>OR($CC26="nul-dag")</formula>
    </cfRule>
    <cfRule type="expression" dxfId="17" priority="71">
      <formula>OR($CC26="SH-dag")</formula>
    </cfRule>
    <cfRule type="expression" dxfId="16" priority="72">
      <formula>OR($CC26="ekskursion")</formula>
    </cfRule>
    <cfRule type="expression" dxfId="15" priority="73">
      <formula>OR($CC26="lejrskole")</formula>
    </cfRule>
    <cfRule type="expression" dxfId="14" priority="74">
      <formula>OR($CC26="emnedag")</formula>
    </cfRule>
    <cfRule type="expression" dxfId="13" priority="75">
      <formula>OR($CC26="fagdag")</formula>
    </cfRule>
    <cfRule type="expression" dxfId="12" priority="76">
      <formula>OR($CC26="feriedag")</formula>
    </cfRule>
    <cfRule type="expression" dxfId="11" priority="77">
      <formula>OR($CC26="weekend")</formula>
    </cfRule>
    <cfRule type="expression" dxfId="10" priority="78" stopIfTrue="1">
      <formula>OR($CC26="skoledag")</formula>
    </cfRule>
  </conditionalFormatting>
  <conditionalFormatting sqref="CE33">
    <cfRule type="expression" dxfId="9" priority="79">
      <formula>OR($CC33="pæd.dag")</formula>
    </cfRule>
    <cfRule type="expression" dxfId="8" priority="80">
      <formula>OR($CC33="nul-dag")</formula>
    </cfRule>
    <cfRule type="expression" dxfId="7" priority="81">
      <formula>OR($CC33="SH-dag")</formula>
    </cfRule>
    <cfRule type="expression" dxfId="6" priority="82">
      <formula>OR($CC33="ekskursion")</formula>
    </cfRule>
    <cfRule type="expression" dxfId="5" priority="83">
      <formula>OR($CC33="lejrskole")</formula>
    </cfRule>
    <cfRule type="expression" dxfId="4" priority="84">
      <formula>OR($CC33="emnedag")</formula>
    </cfRule>
    <cfRule type="expression" dxfId="3" priority="85">
      <formula>OR($CC33="fagdag")</formula>
    </cfRule>
    <cfRule type="expression" dxfId="2" priority="86">
      <formula>OR($CC33="feriedag")</formula>
    </cfRule>
    <cfRule type="expression" dxfId="1" priority="87">
      <formula>OR($CC33="weekend")</formula>
    </cfRule>
    <cfRule type="expression" dxfId="0" priority="88" stopIfTrue="1">
      <formula>OR($CC33="skoledag")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4"/>
  <sheetViews>
    <sheetView workbookViewId="0"/>
  </sheetViews>
  <sheetFormatPr baseColWidth="10" defaultRowHeight="16"/>
  <cols>
    <col min="1" max="2" width="2.83203125" customWidth="1"/>
    <col min="3" max="3" width="11.83203125" customWidth="1"/>
    <col min="4" max="4" width="2.83203125" style="88" customWidth="1"/>
    <col min="5" max="6" width="2.83203125" customWidth="1"/>
    <col min="7" max="7" width="11.83203125" customWidth="1"/>
    <col min="8" max="10" width="2.83203125" customWidth="1"/>
    <col min="11" max="11" width="11.83203125" customWidth="1"/>
    <col min="12" max="14" width="2.83203125" customWidth="1"/>
    <col min="15" max="15" width="11.83203125" customWidth="1"/>
    <col min="16" max="18" width="2.83203125" customWidth="1"/>
    <col min="19" max="19" width="11.83203125" customWidth="1"/>
    <col min="20" max="22" width="2.83203125" customWidth="1"/>
    <col min="23" max="23" width="11.83203125" customWidth="1"/>
    <col min="24" max="26" width="2.83203125" customWidth="1"/>
    <col min="27" max="27" width="11.83203125" customWidth="1"/>
    <col min="28" max="30" width="2.83203125" customWidth="1"/>
    <col min="31" max="31" width="11.83203125" customWidth="1"/>
    <col min="32" max="34" width="2.83203125" customWidth="1"/>
    <col min="35" max="35" width="11.83203125" customWidth="1"/>
    <col min="36" max="38" width="2.83203125" customWidth="1"/>
    <col min="39" max="39" width="11.83203125" customWidth="1"/>
    <col min="40" max="42" width="2.83203125" customWidth="1"/>
    <col min="43" max="43" width="11.83203125" customWidth="1"/>
    <col min="44" max="46" width="2.83203125" customWidth="1"/>
    <col min="47" max="47" width="11.83203125" customWidth="1"/>
    <col min="48" max="48" width="2.83203125" customWidth="1"/>
  </cols>
  <sheetData>
    <row r="1" spans="1:48" ht="31" thickBot="1">
      <c r="A1" s="112" t="str">
        <f>"Årskalender for "&amp;Maaned!A1&amp;" 2027-2028"</f>
        <v>Årskalender for Min egen skole 2027-2028</v>
      </c>
      <c r="B1" s="113"/>
      <c r="C1" s="114"/>
      <c r="D1" s="115"/>
      <c r="E1" s="114"/>
      <c r="F1" s="113"/>
      <c r="G1" s="114"/>
      <c r="H1" s="115"/>
      <c r="I1" s="114"/>
      <c r="J1" s="113"/>
      <c r="K1" s="114"/>
      <c r="L1" s="115"/>
      <c r="M1" s="114"/>
      <c r="N1" s="113"/>
      <c r="O1" s="114"/>
      <c r="P1" s="115"/>
      <c r="Q1" s="114"/>
      <c r="R1" s="113"/>
      <c r="S1" s="114"/>
      <c r="T1" s="115"/>
      <c r="U1" s="114"/>
      <c r="V1" s="113"/>
      <c r="W1" s="114"/>
      <c r="X1" s="115"/>
      <c r="Y1" s="114"/>
      <c r="Z1" s="113"/>
      <c r="AA1" s="114"/>
      <c r="AB1" s="115"/>
      <c r="AC1" s="114"/>
      <c r="AD1" s="113"/>
      <c r="AE1" s="114"/>
      <c r="AF1" s="115"/>
      <c r="AG1" s="114"/>
      <c r="AH1" s="113"/>
      <c r="AI1" s="114"/>
      <c r="AJ1" s="115"/>
      <c r="AK1" s="114"/>
      <c r="AL1" s="113"/>
      <c r="AM1" s="114"/>
      <c r="AN1" s="115"/>
      <c r="AO1" s="114"/>
      <c r="AP1" s="113"/>
      <c r="AQ1" s="114"/>
      <c r="AR1" s="115"/>
      <c r="AS1" s="114"/>
      <c r="AT1" s="113"/>
      <c r="AU1" s="114"/>
      <c r="AV1" s="116"/>
    </row>
    <row r="2" spans="1:48" ht="18">
      <c r="A2" s="117" t="s">
        <v>46</v>
      </c>
      <c r="B2" s="118"/>
      <c r="C2" s="119"/>
      <c r="D2" s="120"/>
      <c r="E2" s="117" t="s">
        <v>47</v>
      </c>
      <c r="F2" s="118"/>
      <c r="G2" s="119"/>
      <c r="H2" s="120"/>
      <c r="I2" s="121" t="s">
        <v>48</v>
      </c>
      <c r="J2" s="118"/>
      <c r="K2" s="119"/>
      <c r="L2" s="120"/>
      <c r="M2" s="117" t="s">
        <v>49</v>
      </c>
      <c r="N2" s="118"/>
      <c r="O2" s="119"/>
      <c r="P2" s="120"/>
      <c r="Q2" s="117" t="s">
        <v>50</v>
      </c>
      <c r="R2" s="118"/>
      <c r="S2" s="119"/>
      <c r="T2" s="120"/>
      <c r="U2" s="117" t="s">
        <v>51</v>
      </c>
      <c r="V2" s="118"/>
      <c r="W2" s="119"/>
      <c r="X2" s="120"/>
      <c r="Y2" s="121" t="s">
        <v>54</v>
      </c>
      <c r="Z2" s="118"/>
      <c r="AA2" s="119"/>
      <c r="AB2" s="120"/>
      <c r="AC2" s="117" t="s">
        <v>55</v>
      </c>
      <c r="AD2" s="118"/>
      <c r="AE2" s="119"/>
      <c r="AF2" s="120"/>
      <c r="AG2" s="117" t="s">
        <v>56</v>
      </c>
      <c r="AH2" s="118"/>
      <c r="AI2" s="119"/>
      <c r="AJ2" s="120"/>
      <c r="AK2" s="117" t="s">
        <v>57</v>
      </c>
      <c r="AL2" s="118"/>
      <c r="AM2" s="119"/>
      <c r="AN2" s="120"/>
      <c r="AO2" s="117" t="s">
        <v>58</v>
      </c>
      <c r="AP2" s="118"/>
      <c r="AQ2" s="119"/>
      <c r="AR2" s="120"/>
      <c r="AS2" s="117" t="s">
        <v>59</v>
      </c>
      <c r="AT2" s="118"/>
      <c r="AU2" s="119"/>
      <c r="AV2" s="120"/>
    </row>
    <row r="3" spans="1:48">
      <c r="A3" s="140">
        <v>1</v>
      </c>
      <c r="B3" s="141" t="s">
        <v>96</v>
      </c>
      <c r="C3" s="142"/>
      <c r="D3" s="157" t="s">
        <v>88</v>
      </c>
      <c r="E3" s="136">
        <v>1</v>
      </c>
      <c r="F3" s="137" t="s">
        <v>90</v>
      </c>
      <c r="G3" s="138"/>
      <c r="H3" s="151" t="s">
        <v>88</v>
      </c>
      <c r="I3" s="136">
        <v>1</v>
      </c>
      <c r="J3" s="137" t="s">
        <v>95</v>
      </c>
      <c r="K3" s="138"/>
      <c r="L3" s="139" t="s">
        <v>88</v>
      </c>
      <c r="M3" s="136">
        <v>1</v>
      </c>
      <c r="N3" s="137" t="s">
        <v>92</v>
      </c>
      <c r="O3" s="138"/>
      <c r="P3" s="139">
        <v>44.428571428571431</v>
      </c>
      <c r="Q3" s="136">
        <v>1</v>
      </c>
      <c r="R3" s="137" t="s">
        <v>90</v>
      </c>
      <c r="S3" s="138"/>
      <c r="T3" s="139" t="s">
        <v>88</v>
      </c>
      <c r="U3" s="140">
        <v>1</v>
      </c>
      <c r="V3" s="141" t="s">
        <v>91</v>
      </c>
      <c r="W3" s="142"/>
      <c r="X3" s="143" t="s">
        <v>88</v>
      </c>
      <c r="Y3" s="136">
        <v>1</v>
      </c>
      <c r="Z3" s="137" t="s">
        <v>94</v>
      </c>
      <c r="AA3" s="138"/>
      <c r="AB3" s="151" t="s">
        <v>88</v>
      </c>
      <c r="AC3" s="136">
        <v>1</v>
      </c>
      <c r="AD3" s="137" t="s">
        <v>90</v>
      </c>
      <c r="AE3" s="138"/>
      <c r="AF3" s="139" t="s">
        <v>88</v>
      </c>
      <c r="AG3" s="140">
        <v>1</v>
      </c>
      <c r="AH3" s="141" t="s">
        <v>91</v>
      </c>
      <c r="AI3" s="142"/>
      <c r="AJ3" s="152" t="s">
        <v>88</v>
      </c>
      <c r="AK3" s="136">
        <v>1</v>
      </c>
      <c r="AL3" s="137" t="s">
        <v>92</v>
      </c>
      <c r="AM3" s="138"/>
      <c r="AN3" s="139">
        <v>18.285714285714285</v>
      </c>
      <c r="AO3" s="136">
        <v>1</v>
      </c>
      <c r="AP3" s="137" t="s">
        <v>93</v>
      </c>
      <c r="AQ3" s="138"/>
      <c r="AR3" s="151" t="s">
        <v>88</v>
      </c>
      <c r="AS3" s="140">
        <v>1</v>
      </c>
      <c r="AT3" s="141" t="s">
        <v>91</v>
      </c>
      <c r="AU3" s="142"/>
      <c r="AV3" s="143" t="s">
        <v>88</v>
      </c>
    </row>
    <row r="4" spans="1:48">
      <c r="A4" s="136">
        <v>2</v>
      </c>
      <c r="B4" s="137" t="s">
        <v>92</v>
      </c>
      <c r="C4" s="138"/>
      <c r="D4" s="154">
        <v>31.428571428571427</v>
      </c>
      <c r="E4" s="136">
        <v>2</v>
      </c>
      <c r="F4" s="137" t="s">
        <v>93</v>
      </c>
      <c r="G4" s="138"/>
      <c r="H4" s="151" t="s">
        <v>88</v>
      </c>
      <c r="I4" s="140">
        <v>2</v>
      </c>
      <c r="J4" s="141" t="s">
        <v>91</v>
      </c>
      <c r="K4" s="142"/>
      <c r="L4" s="143" t="s">
        <v>88</v>
      </c>
      <c r="M4" s="136">
        <v>2</v>
      </c>
      <c r="N4" s="137" t="s">
        <v>94</v>
      </c>
      <c r="O4" s="138"/>
      <c r="P4" s="139" t="s">
        <v>88</v>
      </c>
      <c r="Q4" s="136">
        <v>2</v>
      </c>
      <c r="R4" s="137" t="s">
        <v>93</v>
      </c>
      <c r="S4" s="138"/>
      <c r="T4" s="139" t="s">
        <v>88</v>
      </c>
      <c r="U4" s="140">
        <v>2</v>
      </c>
      <c r="V4" s="141" t="s">
        <v>96</v>
      </c>
      <c r="W4" s="142"/>
      <c r="X4" s="143" t="s">
        <v>88</v>
      </c>
      <c r="Y4" s="136">
        <v>2</v>
      </c>
      <c r="Z4" s="137" t="s">
        <v>90</v>
      </c>
      <c r="AA4" s="138"/>
      <c r="AB4" s="151" t="s">
        <v>88</v>
      </c>
      <c r="AC4" s="136">
        <v>2</v>
      </c>
      <c r="AD4" s="137" t="s">
        <v>93</v>
      </c>
      <c r="AE4" s="138"/>
      <c r="AF4" s="139" t="s">
        <v>88</v>
      </c>
      <c r="AG4" s="140">
        <v>2</v>
      </c>
      <c r="AH4" s="141" t="s">
        <v>96</v>
      </c>
      <c r="AI4" s="142"/>
      <c r="AJ4" s="152" t="s">
        <v>88</v>
      </c>
      <c r="AK4" s="136">
        <v>2</v>
      </c>
      <c r="AL4" s="137" t="s">
        <v>94</v>
      </c>
      <c r="AM4" s="138"/>
      <c r="AN4" s="139" t="s">
        <v>88</v>
      </c>
      <c r="AO4" s="136">
        <v>2</v>
      </c>
      <c r="AP4" s="137" t="s">
        <v>95</v>
      </c>
      <c r="AQ4" s="138"/>
      <c r="AR4" s="151" t="s">
        <v>88</v>
      </c>
      <c r="AS4" s="140">
        <v>2</v>
      </c>
      <c r="AT4" s="141" t="s">
        <v>96</v>
      </c>
      <c r="AU4" s="142"/>
      <c r="AV4" s="143" t="s">
        <v>88</v>
      </c>
    </row>
    <row r="5" spans="1:48">
      <c r="A5" s="136">
        <v>3</v>
      </c>
      <c r="B5" s="137" t="s">
        <v>94</v>
      </c>
      <c r="C5" s="138"/>
      <c r="D5" s="154" t="s">
        <v>88</v>
      </c>
      <c r="E5" s="136">
        <v>3</v>
      </c>
      <c r="F5" s="137" t="s">
        <v>95</v>
      </c>
      <c r="G5" s="138"/>
      <c r="H5" s="151" t="s">
        <v>88</v>
      </c>
      <c r="I5" s="140">
        <v>3</v>
      </c>
      <c r="J5" s="141" t="s">
        <v>96</v>
      </c>
      <c r="K5" s="142"/>
      <c r="L5" s="143" t="s">
        <v>88</v>
      </c>
      <c r="M5" s="136">
        <v>3</v>
      </c>
      <c r="N5" s="137" t="s">
        <v>90</v>
      </c>
      <c r="O5" s="138"/>
      <c r="P5" s="139" t="s">
        <v>88</v>
      </c>
      <c r="Q5" s="136">
        <v>3</v>
      </c>
      <c r="R5" s="137" t="s">
        <v>95</v>
      </c>
      <c r="S5" s="138"/>
      <c r="T5" s="139" t="s">
        <v>88</v>
      </c>
      <c r="U5" s="136">
        <v>3</v>
      </c>
      <c r="V5" s="137" t="s">
        <v>92</v>
      </c>
      <c r="W5" s="138"/>
      <c r="X5" s="139">
        <v>1.2857142857142858</v>
      </c>
      <c r="Y5" s="136">
        <v>3</v>
      </c>
      <c r="Z5" s="137" t="s">
        <v>93</v>
      </c>
      <c r="AA5" s="138"/>
      <c r="AB5" s="151" t="s">
        <v>88</v>
      </c>
      <c r="AC5" s="136">
        <v>3</v>
      </c>
      <c r="AD5" s="137" t="s">
        <v>95</v>
      </c>
      <c r="AE5" s="138"/>
      <c r="AF5" s="139" t="s">
        <v>88</v>
      </c>
      <c r="AG5" s="136">
        <v>3</v>
      </c>
      <c r="AH5" s="137" t="s">
        <v>92</v>
      </c>
      <c r="AI5" s="138"/>
      <c r="AJ5" s="151">
        <v>14.285714285714286</v>
      </c>
      <c r="AK5" s="136">
        <v>3</v>
      </c>
      <c r="AL5" s="137" t="s">
        <v>90</v>
      </c>
      <c r="AM5" s="138"/>
      <c r="AN5" s="139" t="s">
        <v>88</v>
      </c>
      <c r="AO5" s="140">
        <v>3</v>
      </c>
      <c r="AP5" s="141" t="s">
        <v>91</v>
      </c>
      <c r="AQ5" s="142"/>
      <c r="AR5" s="152" t="s">
        <v>88</v>
      </c>
      <c r="AS5" s="136">
        <v>3</v>
      </c>
      <c r="AT5" s="137" t="s">
        <v>92</v>
      </c>
      <c r="AU5" s="138"/>
      <c r="AV5" s="139">
        <v>27.285714285714285</v>
      </c>
    </row>
    <row r="6" spans="1:48">
      <c r="A6" s="136">
        <v>4</v>
      </c>
      <c r="B6" s="137" t="s">
        <v>90</v>
      </c>
      <c r="C6" s="138"/>
      <c r="D6" s="154" t="s">
        <v>88</v>
      </c>
      <c r="E6" s="140">
        <v>4</v>
      </c>
      <c r="F6" s="141" t="s">
        <v>91</v>
      </c>
      <c r="G6" s="142"/>
      <c r="H6" s="152" t="s">
        <v>88</v>
      </c>
      <c r="I6" s="136">
        <v>4</v>
      </c>
      <c r="J6" s="137" t="s">
        <v>92</v>
      </c>
      <c r="K6" s="138"/>
      <c r="L6" s="139">
        <v>40.428571428571431</v>
      </c>
      <c r="M6" s="136">
        <v>4</v>
      </c>
      <c r="N6" s="137" t="s">
        <v>93</v>
      </c>
      <c r="O6" s="138"/>
      <c r="P6" s="139" t="s">
        <v>88</v>
      </c>
      <c r="Q6" s="140">
        <v>4</v>
      </c>
      <c r="R6" s="141" t="s">
        <v>91</v>
      </c>
      <c r="S6" s="142"/>
      <c r="T6" s="143" t="s">
        <v>88</v>
      </c>
      <c r="U6" s="136">
        <v>4</v>
      </c>
      <c r="V6" s="137" t="s">
        <v>94</v>
      </c>
      <c r="W6" s="138"/>
      <c r="X6" s="139" t="s">
        <v>88</v>
      </c>
      <c r="Y6" s="136">
        <v>4</v>
      </c>
      <c r="Z6" s="137" t="s">
        <v>95</v>
      </c>
      <c r="AA6" s="138"/>
      <c r="AB6" s="151" t="s">
        <v>88</v>
      </c>
      <c r="AC6" s="140">
        <v>4</v>
      </c>
      <c r="AD6" s="141" t="s">
        <v>91</v>
      </c>
      <c r="AE6" s="142"/>
      <c r="AF6" s="143" t="s">
        <v>88</v>
      </c>
      <c r="AG6" s="136">
        <v>4</v>
      </c>
      <c r="AH6" s="137" t="s">
        <v>94</v>
      </c>
      <c r="AI6" s="138"/>
      <c r="AJ6" s="151" t="s">
        <v>88</v>
      </c>
      <c r="AK6" s="136">
        <v>4</v>
      </c>
      <c r="AL6" s="137" t="s">
        <v>93</v>
      </c>
      <c r="AM6" s="138"/>
      <c r="AN6" s="139" t="s">
        <v>88</v>
      </c>
      <c r="AO6" s="140">
        <v>4</v>
      </c>
      <c r="AP6" s="141" t="s">
        <v>96</v>
      </c>
      <c r="AQ6" s="142"/>
      <c r="AR6" s="152" t="s">
        <v>88</v>
      </c>
      <c r="AS6" s="136">
        <v>4</v>
      </c>
      <c r="AT6" s="137" t="s">
        <v>94</v>
      </c>
      <c r="AU6" s="138"/>
      <c r="AV6" s="139" t="s">
        <v>88</v>
      </c>
    </row>
    <row r="7" spans="1:48">
      <c r="A7" s="136">
        <v>5</v>
      </c>
      <c r="B7" s="137" t="s">
        <v>93</v>
      </c>
      <c r="C7" s="138"/>
      <c r="D7" s="156" t="s">
        <v>88</v>
      </c>
      <c r="E7" s="140">
        <v>5</v>
      </c>
      <c r="F7" s="141" t="s">
        <v>96</v>
      </c>
      <c r="G7" s="142"/>
      <c r="H7" s="152" t="s">
        <v>88</v>
      </c>
      <c r="I7" s="136">
        <v>5</v>
      </c>
      <c r="J7" s="137" t="s">
        <v>94</v>
      </c>
      <c r="K7" s="138"/>
      <c r="L7" s="139" t="s">
        <v>88</v>
      </c>
      <c r="M7" s="136">
        <v>5</v>
      </c>
      <c r="N7" s="137" t="s">
        <v>95</v>
      </c>
      <c r="O7" s="138"/>
      <c r="P7" s="139" t="s">
        <v>88</v>
      </c>
      <c r="Q7" s="140">
        <v>5</v>
      </c>
      <c r="R7" s="141" t="s">
        <v>96</v>
      </c>
      <c r="S7" s="142"/>
      <c r="T7" s="143" t="s">
        <v>88</v>
      </c>
      <c r="U7" s="136">
        <v>5</v>
      </c>
      <c r="V7" s="137" t="s">
        <v>90</v>
      </c>
      <c r="W7" s="138"/>
      <c r="X7" s="139" t="s">
        <v>88</v>
      </c>
      <c r="Y7" s="140">
        <v>5</v>
      </c>
      <c r="Z7" s="141" t="s">
        <v>91</v>
      </c>
      <c r="AA7" s="142"/>
      <c r="AB7" s="152" t="s">
        <v>88</v>
      </c>
      <c r="AC7" s="140">
        <v>5</v>
      </c>
      <c r="AD7" s="141" t="s">
        <v>96</v>
      </c>
      <c r="AE7" s="142"/>
      <c r="AF7" s="143" t="s">
        <v>88</v>
      </c>
      <c r="AG7" s="136">
        <v>5</v>
      </c>
      <c r="AH7" s="137" t="s">
        <v>90</v>
      </c>
      <c r="AI7" s="138"/>
      <c r="AJ7" s="151" t="s">
        <v>88</v>
      </c>
      <c r="AK7" s="136">
        <v>5</v>
      </c>
      <c r="AL7" s="137" t="s">
        <v>95</v>
      </c>
      <c r="AM7" s="138"/>
      <c r="AN7" s="139" t="s">
        <v>88</v>
      </c>
      <c r="AO7" s="140">
        <v>5</v>
      </c>
      <c r="AP7" s="141" t="s">
        <v>92</v>
      </c>
      <c r="AQ7" s="142" t="s">
        <v>102</v>
      </c>
      <c r="AR7" s="152">
        <v>23.285714285714285</v>
      </c>
      <c r="AS7" s="136">
        <v>5</v>
      </c>
      <c r="AT7" s="137" t="s">
        <v>90</v>
      </c>
      <c r="AU7" s="138"/>
      <c r="AV7" s="139" t="s">
        <v>88</v>
      </c>
    </row>
    <row r="8" spans="1:48">
      <c r="A8" s="136">
        <v>6</v>
      </c>
      <c r="B8" s="137" t="s">
        <v>95</v>
      </c>
      <c r="C8" s="138"/>
      <c r="D8" s="156" t="s">
        <v>88</v>
      </c>
      <c r="E8" s="136">
        <v>6</v>
      </c>
      <c r="F8" s="137" t="s">
        <v>92</v>
      </c>
      <c r="G8" s="138"/>
      <c r="H8" s="151">
        <v>36.428571428571431</v>
      </c>
      <c r="I8" s="136">
        <v>6</v>
      </c>
      <c r="J8" s="137" t="s">
        <v>90</v>
      </c>
      <c r="K8" s="138"/>
      <c r="L8" s="139" t="s">
        <v>88</v>
      </c>
      <c r="M8" s="140">
        <v>6</v>
      </c>
      <c r="N8" s="141" t="s">
        <v>91</v>
      </c>
      <c r="O8" s="142"/>
      <c r="P8" s="143" t="s">
        <v>88</v>
      </c>
      <c r="Q8" s="136">
        <v>6</v>
      </c>
      <c r="R8" s="137" t="s">
        <v>92</v>
      </c>
      <c r="S8" s="138"/>
      <c r="T8" s="139">
        <v>49.428571428571431</v>
      </c>
      <c r="U8" s="136">
        <v>6</v>
      </c>
      <c r="V8" s="137" t="s">
        <v>93</v>
      </c>
      <c r="W8" s="138"/>
      <c r="X8" s="139" t="s">
        <v>88</v>
      </c>
      <c r="Y8" s="140">
        <v>6</v>
      </c>
      <c r="Z8" s="141" t="s">
        <v>96</v>
      </c>
      <c r="AA8" s="142"/>
      <c r="AB8" s="152" t="s">
        <v>88</v>
      </c>
      <c r="AC8" s="136">
        <v>6</v>
      </c>
      <c r="AD8" s="137" t="s">
        <v>92</v>
      </c>
      <c r="AE8" s="138"/>
      <c r="AF8" s="139">
        <v>10.285714285714286</v>
      </c>
      <c r="AG8" s="136">
        <v>6</v>
      </c>
      <c r="AH8" s="137" t="s">
        <v>93</v>
      </c>
      <c r="AI8" s="138"/>
      <c r="AJ8" s="151" t="s">
        <v>88</v>
      </c>
      <c r="AK8" s="140">
        <v>6</v>
      </c>
      <c r="AL8" s="141" t="s">
        <v>91</v>
      </c>
      <c r="AM8" s="241"/>
      <c r="AN8" s="143" t="s">
        <v>88</v>
      </c>
      <c r="AO8" s="136">
        <v>6</v>
      </c>
      <c r="AP8" s="137" t="s">
        <v>94</v>
      </c>
      <c r="AQ8" s="138"/>
      <c r="AR8" s="151" t="s">
        <v>88</v>
      </c>
      <c r="AS8" s="136">
        <v>6</v>
      </c>
      <c r="AT8" s="137" t="s">
        <v>93</v>
      </c>
      <c r="AU8" s="138"/>
      <c r="AV8" s="139" t="s">
        <v>88</v>
      </c>
    </row>
    <row r="9" spans="1:48">
      <c r="A9" s="140">
        <v>7</v>
      </c>
      <c r="B9" s="141" t="s">
        <v>91</v>
      </c>
      <c r="C9" s="142"/>
      <c r="D9" s="155" t="s">
        <v>88</v>
      </c>
      <c r="E9" s="136">
        <v>7</v>
      </c>
      <c r="F9" s="137" t="s">
        <v>94</v>
      </c>
      <c r="G9" s="138"/>
      <c r="H9" s="151" t="s">
        <v>88</v>
      </c>
      <c r="I9" s="136">
        <v>7</v>
      </c>
      <c r="J9" s="137" t="s">
        <v>93</v>
      </c>
      <c r="K9" s="138"/>
      <c r="L9" s="139" t="s">
        <v>88</v>
      </c>
      <c r="M9" s="140">
        <v>7</v>
      </c>
      <c r="N9" s="141" t="s">
        <v>96</v>
      </c>
      <c r="O9" s="142"/>
      <c r="P9" s="143" t="s">
        <v>88</v>
      </c>
      <c r="Q9" s="136">
        <v>7</v>
      </c>
      <c r="R9" s="137" t="s">
        <v>94</v>
      </c>
      <c r="S9" s="138"/>
      <c r="T9" s="139" t="s">
        <v>88</v>
      </c>
      <c r="U9" s="136">
        <v>7</v>
      </c>
      <c r="V9" s="137" t="s">
        <v>95</v>
      </c>
      <c r="W9" s="138"/>
      <c r="X9" s="139" t="s">
        <v>88</v>
      </c>
      <c r="Y9" s="136">
        <v>7</v>
      </c>
      <c r="Z9" s="137" t="s">
        <v>92</v>
      </c>
      <c r="AA9" s="138"/>
      <c r="AB9" s="151">
        <v>6.2857142857142856</v>
      </c>
      <c r="AC9" s="136">
        <v>7</v>
      </c>
      <c r="AD9" s="137" t="s">
        <v>94</v>
      </c>
      <c r="AE9" s="138"/>
      <c r="AF9" s="139" t="s">
        <v>88</v>
      </c>
      <c r="AG9" s="136">
        <v>7</v>
      </c>
      <c r="AH9" s="137" t="s">
        <v>95</v>
      </c>
      <c r="AI9" s="138"/>
      <c r="AJ9" s="151" t="s">
        <v>88</v>
      </c>
      <c r="AK9" s="140">
        <v>7</v>
      </c>
      <c r="AL9" s="141" t="s">
        <v>96</v>
      </c>
      <c r="AM9" s="142"/>
      <c r="AN9" s="143" t="s">
        <v>88</v>
      </c>
      <c r="AO9" s="136">
        <v>7</v>
      </c>
      <c r="AP9" s="137" t="s">
        <v>90</v>
      </c>
      <c r="AQ9" s="138"/>
      <c r="AR9" s="151" t="s">
        <v>88</v>
      </c>
      <c r="AS9" s="136">
        <v>7</v>
      </c>
      <c r="AT9" s="137" t="s">
        <v>95</v>
      </c>
      <c r="AU9" s="138"/>
      <c r="AV9" s="139" t="s">
        <v>88</v>
      </c>
    </row>
    <row r="10" spans="1:48">
      <c r="A10" s="140">
        <v>8</v>
      </c>
      <c r="B10" s="141" t="s">
        <v>96</v>
      </c>
      <c r="C10" s="142"/>
      <c r="D10" s="157" t="s">
        <v>88</v>
      </c>
      <c r="E10" s="136">
        <v>8</v>
      </c>
      <c r="F10" s="137" t="s">
        <v>90</v>
      </c>
      <c r="G10" s="138"/>
      <c r="H10" s="151" t="s">
        <v>88</v>
      </c>
      <c r="I10" s="136">
        <v>8</v>
      </c>
      <c r="J10" s="137" t="s">
        <v>95</v>
      </c>
      <c r="K10" s="138"/>
      <c r="L10" s="139" t="s">
        <v>88</v>
      </c>
      <c r="M10" s="136">
        <v>8</v>
      </c>
      <c r="N10" s="137" t="s">
        <v>92</v>
      </c>
      <c r="O10" s="138"/>
      <c r="P10" s="139">
        <v>45.428571428571431</v>
      </c>
      <c r="Q10" s="136">
        <v>8</v>
      </c>
      <c r="R10" s="137" t="s">
        <v>90</v>
      </c>
      <c r="S10" s="138"/>
      <c r="T10" s="139" t="s">
        <v>88</v>
      </c>
      <c r="U10" s="140">
        <v>8</v>
      </c>
      <c r="V10" s="141" t="s">
        <v>91</v>
      </c>
      <c r="W10" s="142"/>
      <c r="X10" s="143" t="s">
        <v>88</v>
      </c>
      <c r="Y10" s="136">
        <v>8</v>
      </c>
      <c r="Z10" s="137" t="s">
        <v>94</v>
      </c>
      <c r="AA10" s="138"/>
      <c r="AB10" s="151" t="s">
        <v>88</v>
      </c>
      <c r="AC10" s="136">
        <v>8</v>
      </c>
      <c r="AD10" s="137" t="s">
        <v>90</v>
      </c>
      <c r="AE10" s="138"/>
      <c r="AF10" s="139" t="s">
        <v>88</v>
      </c>
      <c r="AG10" s="140">
        <v>8</v>
      </c>
      <c r="AH10" s="141" t="s">
        <v>91</v>
      </c>
      <c r="AI10" s="142"/>
      <c r="AJ10" s="152" t="s">
        <v>88</v>
      </c>
      <c r="AK10" s="136">
        <v>8</v>
      </c>
      <c r="AL10" s="137" t="s">
        <v>92</v>
      </c>
      <c r="AM10" s="138"/>
      <c r="AN10" s="139">
        <v>19.285714285714285</v>
      </c>
      <c r="AO10" s="136">
        <v>8</v>
      </c>
      <c r="AP10" s="137" t="s">
        <v>93</v>
      </c>
      <c r="AQ10" s="138"/>
      <c r="AR10" s="151" t="s">
        <v>88</v>
      </c>
      <c r="AS10" s="140">
        <v>8</v>
      </c>
      <c r="AT10" s="141" t="s">
        <v>91</v>
      </c>
      <c r="AU10" s="142"/>
      <c r="AV10" s="143" t="s">
        <v>88</v>
      </c>
    </row>
    <row r="11" spans="1:48">
      <c r="A11" s="136">
        <v>9</v>
      </c>
      <c r="B11" s="137" t="s">
        <v>92</v>
      </c>
      <c r="C11" s="138"/>
      <c r="D11" s="154">
        <v>32.428571428571431</v>
      </c>
      <c r="E11" s="136">
        <v>9</v>
      </c>
      <c r="F11" s="137" t="s">
        <v>93</v>
      </c>
      <c r="G11" s="138"/>
      <c r="H11" s="151" t="s">
        <v>88</v>
      </c>
      <c r="I11" s="140">
        <v>9</v>
      </c>
      <c r="J11" s="141" t="s">
        <v>91</v>
      </c>
      <c r="K11" s="142"/>
      <c r="L11" s="143" t="s">
        <v>88</v>
      </c>
      <c r="M11" s="136">
        <v>9</v>
      </c>
      <c r="N11" s="137" t="s">
        <v>94</v>
      </c>
      <c r="O11" s="138"/>
      <c r="P11" s="139" t="s">
        <v>88</v>
      </c>
      <c r="Q11" s="136">
        <v>9</v>
      </c>
      <c r="R11" s="137" t="s">
        <v>93</v>
      </c>
      <c r="S11" s="138"/>
      <c r="T11" s="139" t="s">
        <v>88</v>
      </c>
      <c r="U11" s="140">
        <v>9</v>
      </c>
      <c r="V11" s="141" t="s">
        <v>96</v>
      </c>
      <c r="W11" s="142"/>
      <c r="X11" s="143" t="s">
        <v>88</v>
      </c>
      <c r="Y11" s="136">
        <v>9</v>
      </c>
      <c r="Z11" s="137" t="s">
        <v>90</v>
      </c>
      <c r="AA11" s="138"/>
      <c r="AB11" s="151" t="s">
        <v>88</v>
      </c>
      <c r="AC11" s="136">
        <v>9</v>
      </c>
      <c r="AD11" s="137" t="s">
        <v>93</v>
      </c>
      <c r="AE11" s="138"/>
      <c r="AF11" s="139" t="s">
        <v>88</v>
      </c>
      <c r="AG11" s="140">
        <v>9</v>
      </c>
      <c r="AH11" s="141" t="s">
        <v>96</v>
      </c>
      <c r="AI11" s="142"/>
      <c r="AJ11" s="152" t="s">
        <v>88</v>
      </c>
      <c r="AK11" s="136">
        <v>9</v>
      </c>
      <c r="AL11" s="137" t="s">
        <v>94</v>
      </c>
      <c r="AM11" s="160"/>
      <c r="AN11" s="139" t="s">
        <v>88</v>
      </c>
      <c r="AO11" s="136">
        <v>9</v>
      </c>
      <c r="AP11" s="137" t="s">
        <v>95</v>
      </c>
      <c r="AQ11" s="138"/>
      <c r="AR11" s="151" t="s">
        <v>88</v>
      </c>
      <c r="AS11" s="140">
        <v>9</v>
      </c>
      <c r="AT11" s="141" t="s">
        <v>96</v>
      </c>
      <c r="AU11" s="142"/>
      <c r="AV11" s="143" t="s">
        <v>88</v>
      </c>
    </row>
    <row r="12" spans="1:48">
      <c r="A12" s="136">
        <v>10</v>
      </c>
      <c r="B12" s="137" t="s">
        <v>94</v>
      </c>
      <c r="C12" s="138"/>
      <c r="D12" s="154" t="s">
        <v>88</v>
      </c>
      <c r="E12" s="136">
        <v>10</v>
      </c>
      <c r="F12" s="137" t="s">
        <v>95</v>
      </c>
      <c r="G12" s="138"/>
      <c r="H12" s="151" t="s">
        <v>88</v>
      </c>
      <c r="I12" s="140">
        <v>10</v>
      </c>
      <c r="J12" s="141" t="s">
        <v>96</v>
      </c>
      <c r="K12" s="142"/>
      <c r="L12" s="143" t="s">
        <v>88</v>
      </c>
      <c r="M12" s="136">
        <v>10</v>
      </c>
      <c r="N12" s="137" t="s">
        <v>90</v>
      </c>
      <c r="O12" s="138"/>
      <c r="P12" s="139" t="s">
        <v>88</v>
      </c>
      <c r="Q12" s="136">
        <v>10</v>
      </c>
      <c r="R12" s="137" t="s">
        <v>95</v>
      </c>
      <c r="S12" s="138"/>
      <c r="T12" s="139" t="s">
        <v>88</v>
      </c>
      <c r="U12" s="136">
        <v>10</v>
      </c>
      <c r="V12" s="137" t="s">
        <v>92</v>
      </c>
      <c r="W12" s="138"/>
      <c r="X12" s="139">
        <v>2.2857142857142856</v>
      </c>
      <c r="Y12" s="136">
        <v>10</v>
      </c>
      <c r="Z12" s="137" t="s">
        <v>93</v>
      </c>
      <c r="AA12" s="138"/>
      <c r="AB12" s="151" t="s">
        <v>88</v>
      </c>
      <c r="AC12" s="136">
        <v>10</v>
      </c>
      <c r="AD12" s="137" t="s">
        <v>95</v>
      </c>
      <c r="AE12" s="138"/>
      <c r="AF12" s="139" t="s">
        <v>88</v>
      </c>
      <c r="AG12" s="136">
        <v>10</v>
      </c>
      <c r="AH12" s="137" t="s">
        <v>92</v>
      </c>
      <c r="AI12" s="138"/>
      <c r="AJ12" s="151">
        <v>15.285714285714286</v>
      </c>
      <c r="AK12" s="136">
        <v>10</v>
      </c>
      <c r="AL12" s="137" t="s">
        <v>90</v>
      </c>
      <c r="AM12" s="138"/>
      <c r="AN12" s="139" t="s">
        <v>88</v>
      </c>
      <c r="AO12" s="140">
        <v>10</v>
      </c>
      <c r="AP12" s="141" t="s">
        <v>91</v>
      </c>
      <c r="AQ12" s="142"/>
      <c r="AR12" s="152" t="s">
        <v>88</v>
      </c>
      <c r="AS12" s="136">
        <v>10</v>
      </c>
      <c r="AT12" s="137" t="s">
        <v>92</v>
      </c>
      <c r="AU12" s="138"/>
      <c r="AV12" s="139">
        <v>28.285714285714285</v>
      </c>
    </row>
    <row r="13" spans="1:48">
      <c r="A13" s="136">
        <v>11</v>
      </c>
      <c r="B13" s="137" t="s">
        <v>90</v>
      </c>
      <c r="C13" s="138"/>
      <c r="D13" s="154" t="s">
        <v>88</v>
      </c>
      <c r="E13" s="140">
        <v>11</v>
      </c>
      <c r="F13" s="141" t="s">
        <v>91</v>
      </c>
      <c r="G13" s="142"/>
      <c r="H13" s="152" t="s">
        <v>88</v>
      </c>
      <c r="I13" s="136">
        <v>11</v>
      </c>
      <c r="J13" s="137" t="s">
        <v>92</v>
      </c>
      <c r="K13" s="138"/>
      <c r="L13" s="139">
        <v>41.428571428571431</v>
      </c>
      <c r="M13" s="136">
        <v>11</v>
      </c>
      <c r="N13" s="137" t="s">
        <v>93</v>
      </c>
      <c r="O13" s="138"/>
      <c r="P13" s="139" t="s">
        <v>88</v>
      </c>
      <c r="Q13" s="140">
        <v>11</v>
      </c>
      <c r="R13" s="141" t="s">
        <v>91</v>
      </c>
      <c r="S13" s="142"/>
      <c r="T13" s="143" t="s">
        <v>88</v>
      </c>
      <c r="U13" s="136">
        <v>11</v>
      </c>
      <c r="V13" s="137" t="s">
        <v>94</v>
      </c>
      <c r="W13" s="138"/>
      <c r="X13" s="139" t="s">
        <v>88</v>
      </c>
      <c r="Y13" s="136">
        <v>11</v>
      </c>
      <c r="Z13" s="137" t="s">
        <v>95</v>
      </c>
      <c r="AA13" s="138"/>
      <c r="AB13" s="151" t="s">
        <v>88</v>
      </c>
      <c r="AC13" s="140">
        <v>11</v>
      </c>
      <c r="AD13" s="141" t="s">
        <v>91</v>
      </c>
      <c r="AE13" s="142"/>
      <c r="AF13" s="143" t="s">
        <v>88</v>
      </c>
      <c r="AG13" s="136">
        <v>11</v>
      </c>
      <c r="AH13" s="137" t="s">
        <v>94</v>
      </c>
      <c r="AI13" s="138"/>
      <c r="AJ13" s="151" t="s">
        <v>88</v>
      </c>
      <c r="AK13" s="136">
        <v>11</v>
      </c>
      <c r="AL13" s="137" t="s">
        <v>93</v>
      </c>
      <c r="AM13" s="138"/>
      <c r="AN13" s="139" t="s">
        <v>88</v>
      </c>
      <c r="AO13" s="140">
        <v>11</v>
      </c>
      <c r="AP13" s="141" t="s">
        <v>96</v>
      </c>
      <c r="AQ13" s="142"/>
      <c r="AR13" s="152" t="s">
        <v>88</v>
      </c>
      <c r="AS13" s="136">
        <v>11</v>
      </c>
      <c r="AT13" s="137" t="s">
        <v>94</v>
      </c>
      <c r="AU13" s="138"/>
      <c r="AV13" s="139" t="s">
        <v>88</v>
      </c>
    </row>
    <row r="14" spans="1:48">
      <c r="A14" s="136">
        <v>12</v>
      </c>
      <c r="B14" s="137" t="s">
        <v>93</v>
      </c>
      <c r="C14" s="138"/>
      <c r="D14" s="156" t="s">
        <v>88</v>
      </c>
      <c r="E14" s="140">
        <v>12</v>
      </c>
      <c r="F14" s="141" t="s">
        <v>96</v>
      </c>
      <c r="G14" s="142"/>
      <c r="H14" s="152" t="s">
        <v>88</v>
      </c>
      <c r="I14" s="136">
        <v>12</v>
      </c>
      <c r="J14" s="137" t="s">
        <v>94</v>
      </c>
      <c r="K14" s="138"/>
      <c r="L14" s="139" t="s">
        <v>88</v>
      </c>
      <c r="M14" s="136">
        <v>12</v>
      </c>
      <c r="N14" s="137" t="s">
        <v>95</v>
      </c>
      <c r="O14" s="138"/>
      <c r="P14" s="139" t="s">
        <v>88</v>
      </c>
      <c r="Q14" s="140">
        <v>12</v>
      </c>
      <c r="R14" s="141" t="s">
        <v>96</v>
      </c>
      <c r="S14" s="142"/>
      <c r="T14" s="143" t="s">
        <v>88</v>
      </c>
      <c r="U14" s="136">
        <v>12</v>
      </c>
      <c r="V14" s="137" t="s">
        <v>90</v>
      </c>
      <c r="W14" s="138"/>
      <c r="X14" s="139" t="s">
        <v>88</v>
      </c>
      <c r="Y14" s="140">
        <v>12</v>
      </c>
      <c r="Z14" s="141" t="s">
        <v>91</v>
      </c>
      <c r="AA14" s="142"/>
      <c r="AB14" s="152" t="s">
        <v>88</v>
      </c>
      <c r="AC14" s="140">
        <v>12</v>
      </c>
      <c r="AD14" s="141" t="s">
        <v>96</v>
      </c>
      <c r="AE14" s="142"/>
      <c r="AF14" s="143" t="s">
        <v>88</v>
      </c>
      <c r="AG14" s="136">
        <v>12</v>
      </c>
      <c r="AH14" s="137" t="s">
        <v>90</v>
      </c>
      <c r="AI14" s="138"/>
      <c r="AJ14" s="151" t="s">
        <v>88</v>
      </c>
      <c r="AK14" s="136">
        <v>12</v>
      </c>
      <c r="AL14" s="137" t="s">
        <v>95</v>
      </c>
      <c r="AM14" s="138"/>
      <c r="AN14" s="139" t="s">
        <v>88</v>
      </c>
      <c r="AO14" s="136">
        <v>12</v>
      </c>
      <c r="AP14" s="137" t="s">
        <v>92</v>
      </c>
      <c r="AQ14" s="138"/>
      <c r="AR14" s="151">
        <v>24.285714285714285</v>
      </c>
      <c r="AS14" s="136">
        <v>12</v>
      </c>
      <c r="AT14" s="137" t="s">
        <v>90</v>
      </c>
      <c r="AU14" s="138"/>
      <c r="AV14" s="139" t="s">
        <v>88</v>
      </c>
    </row>
    <row r="15" spans="1:48">
      <c r="A15" s="136">
        <v>13</v>
      </c>
      <c r="B15" s="137" t="s">
        <v>95</v>
      </c>
      <c r="C15" s="138"/>
      <c r="D15" s="156" t="s">
        <v>88</v>
      </c>
      <c r="E15" s="136">
        <v>13</v>
      </c>
      <c r="F15" s="137" t="s">
        <v>92</v>
      </c>
      <c r="G15" s="138"/>
      <c r="H15" s="151">
        <v>37.428571428571431</v>
      </c>
      <c r="I15" s="136">
        <v>13</v>
      </c>
      <c r="J15" s="137" t="s">
        <v>90</v>
      </c>
      <c r="K15" s="138"/>
      <c r="L15" s="139" t="s">
        <v>88</v>
      </c>
      <c r="M15" s="140">
        <v>13</v>
      </c>
      <c r="N15" s="141" t="s">
        <v>91</v>
      </c>
      <c r="O15" s="142"/>
      <c r="P15" s="143" t="s">
        <v>88</v>
      </c>
      <c r="Q15" s="136">
        <v>13</v>
      </c>
      <c r="R15" s="137" t="s">
        <v>92</v>
      </c>
      <c r="S15" s="138"/>
      <c r="T15" s="139">
        <v>50.428571428571431</v>
      </c>
      <c r="U15" s="136">
        <v>13</v>
      </c>
      <c r="V15" s="137" t="s">
        <v>93</v>
      </c>
      <c r="W15" s="138"/>
      <c r="X15" s="139" t="s">
        <v>88</v>
      </c>
      <c r="Y15" s="140">
        <v>13</v>
      </c>
      <c r="Z15" s="141" t="s">
        <v>96</v>
      </c>
      <c r="AA15" s="142"/>
      <c r="AB15" s="152" t="s">
        <v>88</v>
      </c>
      <c r="AC15" s="136">
        <v>13</v>
      </c>
      <c r="AD15" s="137" t="s">
        <v>92</v>
      </c>
      <c r="AE15" s="138"/>
      <c r="AF15" s="139">
        <v>11.285714285714286</v>
      </c>
      <c r="AG15" s="140">
        <v>13</v>
      </c>
      <c r="AH15" s="141" t="s">
        <v>93</v>
      </c>
      <c r="AI15" s="142" t="s">
        <v>60</v>
      </c>
      <c r="AJ15" s="152" t="s">
        <v>88</v>
      </c>
      <c r="AK15" s="140">
        <v>13</v>
      </c>
      <c r="AL15" s="141" t="s">
        <v>91</v>
      </c>
      <c r="AM15" s="142"/>
      <c r="AN15" s="143" t="s">
        <v>88</v>
      </c>
      <c r="AO15" s="136">
        <v>13</v>
      </c>
      <c r="AP15" s="137" t="s">
        <v>94</v>
      </c>
      <c r="AQ15" s="138"/>
      <c r="AR15" s="151" t="s">
        <v>88</v>
      </c>
      <c r="AS15" s="136">
        <v>13</v>
      </c>
      <c r="AT15" s="137" t="s">
        <v>93</v>
      </c>
      <c r="AU15" s="138"/>
      <c r="AV15" s="139" t="s">
        <v>88</v>
      </c>
    </row>
    <row r="16" spans="1:48">
      <c r="A16" s="140">
        <v>14</v>
      </c>
      <c r="B16" s="141" t="s">
        <v>91</v>
      </c>
      <c r="C16" s="142"/>
      <c r="D16" s="155" t="s">
        <v>88</v>
      </c>
      <c r="E16" s="136">
        <v>14</v>
      </c>
      <c r="F16" s="137" t="s">
        <v>94</v>
      </c>
      <c r="G16" s="138"/>
      <c r="H16" s="151" t="s">
        <v>88</v>
      </c>
      <c r="I16" s="136">
        <v>14</v>
      </c>
      <c r="J16" s="137" t="s">
        <v>93</v>
      </c>
      <c r="K16" s="138"/>
      <c r="L16" s="139" t="s">
        <v>88</v>
      </c>
      <c r="M16" s="140">
        <v>14</v>
      </c>
      <c r="N16" s="141" t="s">
        <v>96</v>
      </c>
      <c r="O16" s="142"/>
      <c r="P16" s="143" t="s">
        <v>88</v>
      </c>
      <c r="Q16" s="136">
        <v>14</v>
      </c>
      <c r="R16" s="137" t="s">
        <v>94</v>
      </c>
      <c r="S16" s="138"/>
      <c r="T16" s="139" t="s">
        <v>88</v>
      </c>
      <c r="U16" s="136">
        <v>14</v>
      </c>
      <c r="V16" s="137" t="s">
        <v>95</v>
      </c>
      <c r="W16" s="138"/>
      <c r="X16" s="139" t="s">
        <v>88</v>
      </c>
      <c r="Y16" s="136">
        <v>14</v>
      </c>
      <c r="Z16" s="137" t="s">
        <v>92</v>
      </c>
      <c r="AA16" s="138"/>
      <c r="AB16" s="151">
        <v>7.2857142857142856</v>
      </c>
      <c r="AC16" s="136">
        <v>14</v>
      </c>
      <c r="AD16" s="137" t="s">
        <v>94</v>
      </c>
      <c r="AE16" s="138"/>
      <c r="AF16" s="139" t="s">
        <v>88</v>
      </c>
      <c r="AG16" s="140">
        <v>14</v>
      </c>
      <c r="AH16" s="141" t="s">
        <v>95</v>
      </c>
      <c r="AI16" s="142" t="s">
        <v>100</v>
      </c>
      <c r="AJ16" s="152" t="s">
        <v>88</v>
      </c>
      <c r="AK16" s="140">
        <v>14</v>
      </c>
      <c r="AL16" s="141" t="s">
        <v>96</v>
      </c>
      <c r="AM16" s="142"/>
      <c r="AN16" s="143" t="s">
        <v>88</v>
      </c>
      <c r="AO16" s="136">
        <v>14</v>
      </c>
      <c r="AP16" s="137" t="s">
        <v>90</v>
      </c>
      <c r="AQ16" s="138"/>
      <c r="AR16" s="151" t="s">
        <v>88</v>
      </c>
      <c r="AS16" s="136">
        <v>14</v>
      </c>
      <c r="AT16" s="137" t="s">
        <v>95</v>
      </c>
      <c r="AU16" s="138"/>
      <c r="AV16" s="139" t="s">
        <v>88</v>
      </c>
    </row>
    <row r="17" spans="1:49">
      <c r="A17" s="140">
        <v>15</v>
      </c>
      <c r="B17" s="141" t="s">
        <v>96</v>
      </c>
      <c r="C17" s="142"/>
      <c r="D17" s="157" t="s">
        <v>88</v>
      </c>
      <c r="E17" s="136">
        <v>15</v>
      </c>
      <c r="F17" s="137" t="s">
        <v>90</v>
      </c>
      <c r="G17" s="138"/>
      <c r="H17" s="151" t="s">
        <v>88</v>
      </c>
      <c r="I17" s="136">
        <v>15</v>
      </c>
      <c r="J17" s="137" t="s">
        <v>95</v>
      </c>
      <c r="K17" s="138"/>
      <c r="L17" s="139" t="s">
        <v>88</v>
      </c>
      <c r="M17" s="136">
        <v>15</v>
      </c>
      <c r="N17" s="137" t="s">
        <v>92</v>
      </c>
      <c r="O17" s="138"/>
      <c r="P17" s="139">
        <v>46.428571428571431</v>
      </c>
      <c r="Q17" s="136">
        <v>15</v>
      </c>
      <c r="R17" s="137" t="s">
        <v>90</v>
      </c>
      <c r="S17" s="138"/>
      <c r="T17" s="139" t="s">
        <v>88</v>
      </c>
      <c r="U17" s="140">
        <v>15</v>
      </c>
      <c r="V17" s="141" t="s">
        <v>91</v>
      </c>
      <c r="W17" s="142"/>
      <c r="X17" s="143" t="s">
        <v>88</v>
      </c>
      <c r="Y17" s="136">
        <v>15</v>
      </c>
      <c r="Z17" s="137" t="s">
        <v>94</v>
      </c>
      <c r="AA17" s="138"/>
      <c r="AB17" s="151" t="s">
        <v>88</v>
      </c>
      <c r="AC17" s="136">
        <v>15</v>
      </c>
      <c r="AD17" s="137" t="s">
        <v>90</v>
      </c>
      <c r="AE17" s="138"/>
      <c r="AF17" s="139" t="s">
        <v>88</v>
      </c>
      <c r="AG17" s="140">
        <v>15</v>
      </c>
      <c r="AH17" s="141" t="s">
        <v>91</v>
      </c>
      <c r="AI17" s="142"/>
      <c r="AJ17" s="152" t="s">
        <v>88</v>
      </c>
      <c r="AK17" s="136">
        <v>15</v>
      </c>
      <c r="AL17" s="137" t="s">
        <v>92</v>
      </c>
      <c r="AM17" s="138"/>
      <c r="AN17" s="139">
        <v>20.285714285714285</v>
      </c>
      <c r="AO17" s="136">
        <v>15</v>
      </c>
      <c r="AP17" s="137" t="s">
        <v>93</v>
      </c>
      <c r="AQ17" s="138"/>
      <c r="AR17" s="151" t="s">
        <v>88</v>
      </c>
      <c r="AS17" s="140">
        <v>15</v>
      </c>
      <c r="AT17" s="141" t="s">
        <v>91</v>
      </c>
      <c r="AU17" s="142"/>
      <c r="AV17" s="143" t="s">
        <v>88</v>
      </c>
    </row>
    <row r="18" spans="1:49">
      <c r="A18" s="136">
        <v>16</v>
      </c>
      <c r="B18" s="137" t="s">
        <v>92</v>
      </c>
      <c r="C18" s="138"/>
      <c r="D18" s="154">
        <v>33.428571428571431</v>
      </c>
      <c r="E18" s="136">
        <v>16</v>
      </c>
      <c r="F18" s="137" t="s">
        <v>93</v>
      </c>
      <c r="G18" s="138"/>
      <c r="H18" s="151" t="s">
        <v>88</v>
      </c>
      <c r="I18" s="140">
        <v>16</v>
      </c>
      <c r="J18" s="141" t="s">
        <v>91</v>
      </c>
      <c r="K18" s="142"/>
      <c r="L18" s="143" t="s">
        <v>88</v>
      </c>
      <c r="M18" s="136">
        <v>16</v>
      </c>
      <c r="N18" s="137" t="s">
        <v>94</v>
      </c>
      <c r="O18" s="138"/>
      <c r="P18" s="139" t="s">
        <v>88</v>
      </c>
      <c r="Q18" s="136">
        <v>16</v>
      </c>
      <c r="R18" s="137" t="s">
        <v>93</v>
      </c>
      <c r="S18" s="138"/>
      <c r="T18" s="139" t="s">
        <v>88</v>
      </c>
      <c r="U18" s="140">
        <v>16</v>
      </c>
      <c r="V18" s="141" t="s">
        <v>96</v>
      </c>
      <c r="W18" s="142"/>
      <c r="X18" s="143" t="s">
        <v>88</v>
      </c>
      <c r="Y18" s="136">
        <v>16</v>
      </c>
      <c r="Z18" s="137" t="s">
        <v>90</v>
      </c>
      <c r="AA18" s="138"/>
      <c r="AB18" s="151" t="s">
        <v>88</v>
      </c>
      <c r="AC18" s="136">
        <v>16</v>
      </c>
      <c r="AD18" s="137" t="s">
        <v>93</v>
      </c>
      <c r="AE18" s="138"/>
      <c r="AF18" s="139" t="s">
        <v>88</v>
      </c>
      <c r="AG18" s="140">
        <v>16</v>
      </c>
      <c r="AH18" s="141" t="s">
        <v>96</v>
      </c>
      <c r="AI18" s="142" t="s">
        <v>146</v>
      </c>
      <c r="AJ18" s="152" t="s">
        <v>88</v>
      </c>
      <c r="AK18" s="136">
        <v>16</v>
      </c>
      <c r="AL18" s="137" t="s">
        <v>94</v>
      </c>
      <c r="AM18" s="138"/>
      <c r="AN18" s="139" t="s">
        <v>88</v>
      </c>
      <c r="AO18" s="136">
        <v>16</v>
      </c>
      <c r="AP18" s="137" t="s">
        <v>95</v>
      </c>
      <c r="AQ18" s="138"/>
      <c r="AR18" s="151" t="s">
        <v>88</v>
      </c>
      <c r="AS18" s="140">
        <v>16</v>
      </c>
      <c r="AT18" s="141" t="s">
        <v>96</v>
      </c>
      <c r="AU18" s="142"/>
      <c r="AV18" s="143" t="s">
        <v>88</v>
      </c>
    </row>
    <row r="19" spans="1:49">
      <c r="A19" s="136">
        <v>17</v>
      </c>
      <c r="B19" s="137" t="s">
        <v>94</v>
      </c>
      <c r="C19" s="138"/>
      <c r="D19" s="154" t="s">
        <v>88</v>
      </c>
      <c r="E19" s="136">
        <v>17</v>
      </c>
      <c r="F19" s="137" t="s">
        <v>95</v>
      </c>
      <c r="G19" s="138"/>
      <c r="H19" s="151" t="s">
        <v>88</v>
      </c>
      <c r="I19" s="140">
        <v>17</v>
      </c>
      <c r="J19" s="141" t="s">
        <v>96</v>
      </c>
      <c r="K19" s="142"/>
      <c r="L19" s="143" t="s">
        <v>88</v>
      </c>
      <c r="M19" s="136">
        <v>17</v>
      </c>
      <c r="N19" s="137" t="s">
        <v>90</v>
      </c>
      <c r="O19" s="138"/>
      <c r="P19" s="139" t="s">
        <v>88</v>
      </c>
      <c r="Q19" s="136">
        <v>17</v>
      </c>
      <c r="R19" s="137" t="s">
        <v>95</v>
      </c>
      <c r="S19" s="138"/>
      <c r="T19" s="139" t="s">
        <v>88</v>
      </c>
      <c r="U19" s="136">
        <v>17</v>
      </c>
      <c r="V19" s="137" t="s">
        <v>92</v>
      </c>
      <c r="W19" s="138"/>
      <c r="X19" s="139">
        <v>3.2857142857142856</v>
      </c>
      <c r="Y19" s="136">
        <v>17</v>
      </c>
      <c r="Z19" s="137" t="s">
        <v>93</v>
      </c>
      <c r="AA19" s="138"/>
      <c r="AB19" s="151" t="s">
        <v>88</v>
      </c>
      <c r="AC19" s="136">
        <v>17</v>
      </c>
      <c r="AD19" s="137" t="s">
        <v>95</v>
      </c>
      <c r="AE19" s="138"/>
      <c r="AF19" s="139" t="s">
        <v>88</v>
      </c>
      <c r="AG19" s="140">
        <v>17</v>
      </c>
      <c r="AH19" s="141" t="s">
        <v>92</v>
      </c>
      <c r="AI19" s="142" t="s">
        <v>72</v>
      </c>
      <c r="AJ19" s="152">
        <v>16.285714285714285</v>
      </c>
      <c r="AK19" s="136">
        <v>17</v>
      </c>
      <c r="AL19" s="137" t="s">
        <v>90</v>
      </c>
      <c r="AM19" s="138"/>
      <c r="AN19" s="139" t="s">
        <v>88</v>
      </c>
      <c r="AO19" s="140">
        <v>17</v>
      </c>
      <c r="AP19" s="141" t="s">
        <v>91</v>
      </c>
      <c r="AQ19" s="142"/>
      <c r="AR19" s="152" t="s">
        <v>88</v>
      </c>
      <c r="AS19" s="136">
        <v>17</v>
      </c>
      <c r="AT19" s="137" t="s">
        <v>92</v>
      </c>
      <c r="AU19" s="138"/>
      <c r="AV19" s="139">
        <v>29.285714285714285</v>
      </c>
    </row>
    <row r="20" spans="1:49">
      <c r="A20" s="136">
        <v>18</v>
      </c>
      <c r="B20" s="137" t="s">
        <v>90</v>
      </c>
      <c r="C20" s="138"/>
      <c r="D20" s="154" t="s">
        <v>88</v>
      </c>
      <c r="E20" s="140">
        <v>18</v>
      </c>
      <c r="F20" s="141" t="s">
        <v>91</v>
      </c>
      <c r="G20" s="142"/>
      <c r="H20" s="152" t="s">
        <v>88</v>
      </c>
      <c r="I20" s="136">
        <v>18</v>
      </c>
      <c r="J20" s="137" t="s">
        <v>92</v>
      </c>
      <c r="K20" s="138"/>
      <c r="L20" s="139">
        <v>42.428571428571431</v>
      </c>
      <c r="M20" s="136">
        <v>18</v>
      </c>
      <c r="N20" s="137" t="s">
        <v>93</v>
      </c>
      <c r="O20" s="138"/>
      <c r="P20" s="139" t="s">
        <v>88</v>
      </c>
      <c r="Q20" s="140">
        <v>18</v>
      </c>
      <c r="R20" s="141" t="s">
        <v>91</v>
      </c>
      <c r="S20" s="142"/>
      <c r="T20" s="143" t="s">
        <v>88</v>
      </c>
      <c r="U20" s="136">
        <v>18</v>
      </c>
      <c r="V20" s="137" t="s">
        <v>94</v>
      </c>
      <c r="W20" s="138"/>
      <c r="X20" s="139" t="s">
        <v>88</v>
      </c>
      <c r="Y20" s="136">
        <v>18</v>
      </c>
      <c r="Z20" s="137" t="s">
        <v>95</v>
      </c>
      <c r="AA20" s="138"/>
      <c r="AB20" s="151" t="s">
        <v>88</v>
      </c>
      <c r="AC20" s="140">
        <v>18</v>
      </c>
      <c r="AD20" s="141" t="s">
        <v>91</v>
      </c>
      <c r="AE20" s="142"/>
      <c r="AF20" s="143" t="s">
        <v>88</v>
      </c>
      <c r="AG20" s="136">
        <v>18</v>
      </c>
      <c r="AH20" s="137" t="s">
        <v>94</v>
      </c>
      <c r="AI20" s="138"/>
      <c r="AJ20" s="151" t="s">
        <v>88</v>
      </c>
      <c r="AK20" s="136">
        <v>18</v>
      </c>
      <c r="AL20" s="137" t="s">
        <v>93</v>
      </c>
      <c r="AM20" s="160"/>
      <c r="AN20" s="161" t="s">
        <v>88</v>
      </c>
      <c r="AO20" s="140">
        <v>18</v>
      </c>
      <c r="AP20" s="141" t="s">
        <v>96</v>
      </c>
      <c r="AQ20" s="142"/>
      <c r="AR20" s="152" t="s">
        <v>88</v>
      </c>
      <c r="AS20" s="136">
        <v>18</v>
      </c>
      <c r="AT20" s="149" t="s">
        <v>94</v>
      </c>
      <c r="AU20" s="138"/>
      <c r="AV20" s="139" t="s">
        <v>88</v>
      </c>
    </row>
    <row r="21" spans="1:49">
      <c r="A21" s="136">
        <v>19</v>
      </c>
      <c r="B21" s="137" t="s">
        <v>93</v>
      </c>
      <c r="C21" s="138"/>
      <c r="D21" s="156" t="s">
        <v>88</v>
      </c>
      <c r="E21" s="140">
        <v>19</v>
      </c>
      <c r="F21" s="141" t="s">
        <v>96</v>
      </c>
      <c r="G21" s="142"/>
      <c r="H21" s="152" t="s">
        <v>88</v>
      </c>
      <c r="I21" s="136">
        <v>19</v>
      </c>
      <c r="J21" s="137" t="s">
        <v>94</v>
      </c>
      <c r="K21" s="138"/>
      <c r="L21" s="139" t="s">
        <v>88</v>
      </c>
      <c r="M21" s="136">
        <v>19</v>
      </c>
      <c r="N21" s="137" t="s">
        <v>95</v>
      </c>
      <c r="O21" s="138"/>
      <c r="P21" s="139" t="s">
        <v>88</v>
      </c>
      <c r="Q21" s="140">
        <v>19</v>
      </c>
      <c r="R21" s="141" t="s">
        <v>96</v>
      </c>
      <c r="S21" s="142"/>
      <c r="T21" s="143" t="s">
        <v>88</v>
      </c>
      <c r="U21" s="136">
        <v>19</v>
      </c>
      <c r="V21" s="137" t="s">
        <v>90</v>
      </c>
      <c r="W21" s="138"/>
      <c r="X21" s="139" t="s">
        <v>88</v>
      </c>
      <c r="Y21" s="140">
        <v>19</v>
      </c>
      <c r="Z21" s="141" t="s">
        <v>91</v>
      </c>
      <c r="AA21" s="142"/>
      <c r="AB21" s="152" t="s">
        <v>88</v>
      </c>
      <c r="AC21" s="140">
        <v>19</v>
      </c>
      <c r="AD21" s="141" t="s">
        <v>96</v>
      </c>
      <c r="AE21" s="142"/>
      <c r="AF21" s="143" t="s">
        <v>88</v>
      </c>
      <c r="AG21" s="136">
        <v>19</v>
      </c>
      <c r="AH21" s="137" t="s">
        <v>90</v>
      </c>
      <c r="AI21" s="138"/>
      <c r="AJ21" s="151" t="s">
        <v>88</v>
      </c>
      <c r="AK21" s="136">
        <v>19</v>
      </c>
      <c r="AL21" s="137" t="s">
        <v>95</v>
      </c>
      <c r="AM21" s="138"/>
      <c r="AN21" s="139" t="s">
        <v>88</v>
      </c>
      <c r="AO21" s="136">
        <v>19</v>
      </c>
      <c r="AP21" s="137" t="s">
        <v>92</v>
      </c>
      <c r="AQ21" s="138"/>
      <c r="AR21" s="151">
        <v>25.285714285714285</v>
      </c>
      <c r="AS21" s="136">
        <v>19</v>
      </c>
      <c r="AT21" s="137" t="s">
        <v>90</v>
      </c>
      <c r="AU21" s="138"/>
      <c r="AV21" s="139" t="s">
        <v>88</v>
      </c>
    </row>
    <row r="22" spans="1:49">
      <c r="A22" s="136">
        <v>20</v>
      </c>
      <c r="B22" s="137" t="s">
        <v>95</v>
      </c>
      <c r="C22" s="138"/>
      <c r="D22" s="156" t="s">
        <v>88</v>
      </c>
      <c r="E22" s="136">
        <v>20</v>
      </c>
      <c r="F22" s="137" t="s">
        <v>92</v>
      </c>
      <c r="G22" s="138"/>
      <c r="H22" s="151">
        <v>38.428571428571431</v>
      </c>
      <c r="I22" s="136">
        <v>20</v>
      </c>
      <c r="J22" s="137" t="s">
        <v>90</v>
      </c>
      <c r="K22" s="138"/>
      <c r="L22" s="139" t="s">
        <v>88</v>
      </c>
      <c r="M22" s="140">
        <v>20</v>
      </c>
      <c r="N22" s="141" t="s">
        <v>91</v>
      </c>
      <c r="O22" s="142"/>
      <c r="P22" s="143" t="s">
        <v>88</v>
      </c>
      <c r="Q22" s="136">
        <v>20</v>
      </c>
      <c r="R22" s="137" t="s">
        <v>92</v>
      </c>
      <c r="S22" s="138"/>
      <c r="T22" s="139">
        <v>51.428571428571431</v>
      </c>
      <c r="U22" s="136">
        <v>20</v>
      </c>
      <c r="V22" s="137" t="s">
        <v>93</v>
      </c>
      <c r="W22" s="138"/>
      <c r="X22" s="139" t="s">
        <v>88</v>
      </c>
      <c r="Y22" s="140">
        <v>20</v>
      </c>
      <c r="Z22" s="141" t="s">
        <v>96</v>
      </c>
      <c r="AA22" s="142"/>
      <c r="AB22" s="152" t="s">
        <v>88</v>
      </c>
      <c r="AC22" s="136">
        <v>20</v>
      </c>
      <c r="AD22" s="137" t="s">
        <v>92</v>
      </c>
      <c r="AE22" s="138"/>
      <c r="AF22" s="139">
        <v>12.285714285714286</v>
      </c>
      <c r="AG22" s="136">
        <v>20</v>
      </c>
      <c r="AH22" s="137" t="s">
        <v>93</v>
      </c>
      <c r="AI22" s="138"/>
      <c r="AJ22" s="151" t="s">
        <v>88</v>
      </c>
      <c r="AK22" s="140">
        <v>20</v>
      </c>
      <c r="AL22" s="141" t="s">
        <v>91</v>
      </c>
      <c r="AM22" s="142"/>
      <c r="AN22" s="143" t="s">
        <v>88</v>
      </c>
      <c r="AO22" s="136">
        <v>20</v>
      </c>
      <c r="AP22" s="149" t="s">
        <v>94</v>
      </c>
      <c r="AQ22" s="138"/>
      <c r="AR22" s="151" t="s">
        <v>88</v>
      </c>
      <c r="AS22" s="136">
        <v>20</v>
      </c>
      <c r="AT22" s="137" t="s">
        <v>93</v>
      </c>
      <c r="AU22" s="138"/>
      <c r="AV22" s="139" t="s">
        <v>88</v>
      </c>
    </row>
    <row r="23" spans="1:49">
      <c r="A23" s="140">
        <v>21</v>
      </c>
      <c r="B23" s="141" t="s">
        <v>91</v>
      </c>
      <c r="C23" s="142"/>
      <c r="D23" s="155" t="s">
        <v>88</v>
      </c>
      <c r="E23" s="136">
        <v>21</v>
      </c>
      <c r="F23" s="137" t="s">
        <v>94</v>
      </c>
      <c r="G23" s="138"/>
      <c r="H23" s="151" t="s">
        <v>88</v>
      </c>
      <c r="I23" s="136">
        <v>21</v>
      </c>
      <c r="J23" s="137" t="s">
        <v>93</v>
      </c>
      <c r="K23" s="138"/>
      <c r="L23" s="139" t="s">
        <v>88</v>
      </c>
      <c r="M23" s="140">
        <v>21</v>
      </c>
      <c r="N23" s="141" t="s">
        <v>96</v>
      </c>
      <c r="O23" s="142"/>
      <c r="P23" s="143" t="s">
        <v>88</v>
      </c>
      <c r="Q23" s="136">
        <v>21</v>
      </c>
      <c r="R23" s="137" t="s">
        <v>94</v>
      </c>
      <c r="S23" s="138"/>
      <c r="T23" s="139" t="s">
        <v>88</v>
      </c>
      <c r="U23" s="136">
        <v>21</v>
      </c>
      <c r="V23" s="137" t="s">
        <v>95</v>
      </c>
      <c r="W23" s="138"/>
      <c r="X23" s="139" t="s">
        <v>88</v>
      </c>
      <c r="Y23" s="136">
        <v>21</v>
      </c>
      <c r="Z23" s="137" t="s">
        <v>92</v>
      </c>
      <c r="AA23" s="138"/>
      <c r="AB23" s="151">
        <v>8.2857142857142865</v>
      </c>
      <c r="AC23" s="136">
        <v>21</v>
      </c>
      <c r="AD23" s="137" t="s">
        <v>94</v>
      </c>
      <c r="AE23" s="138"/>
      <c r="AF23" s="139" t="s">
        <v>88</v>
      </c>
      <c r="AG23" s="136">
        <v>21</v>
      </c>
      <c r="AH23" s="137" t="s">
        <v>95</v>
      </c>
      <c r="AI23" s="138"/>
      <c r="AJ23" s="151" t="s">
        <v>88</v>
      </c>
      <c r="AK23" s="140">
        <v>21</v>
      </c>
      <c r="AL23" s="141" t="s">
        <v>96</v>
      </c>
      <c r="AM23" s="142"/>
      <c r="AN23" s="143" t="s">
        <v>88</v>
      </c>
      <c r="AO23" s="136">
        <v>21</v>
      </c>
      <c r="AP23" s="137" t="s">
        <v>90</v>
      </c>
      <c r="AQ23" s="138"/>
      <c r="AR23" s="151" t="s">
        <v>88</v>
      </c>
      <c r="AS23" s="136">
        <v>21</v>
      </c>
      <c r="AT23" s="149" t="s">
        <v>95</v>
      </c>
      <c r="AU23" s="138"/>
      <c r="AV23" s="139" t="s">
        <v>88</v>
      </c>
      <c r="AW23" s="3"/>
    </row>
    <row r="24" spans="1:49">
      <c r="A24" s="140">
        <v>22</v>
      </c>
      <c r="B24" s="141" t="s">
        <v>96</v>
      </c>
      <c r="C24" s="142"/>
      <c r="D24" s="155" t="s">
        <v>88</v>
      </c>
      <c r="E24" s="136">
        <v>22</v>
      </c>
      <c r="F24" s="137" t="s">
        <v>90</v>
      </c>
      <c r="G24" s="138"/>
      <c r="H24" s="151" t="s">
        <v>88</v>
      </c>
      <c r="I24" s="136">
        <v>22</v>
      </c>
      <c r="J24" s="137" t="s">
        <v>95</v>
      </c>
      <c r="K24" s="138"/>
      <c r="L24" s="139" t="s">
        <v>88</v>
      </c>
      <c r="M24" s="136">
        <v>22</v>
      </c>
      <c r="N24" s="137" t="s">
        <v>92</v>
      </c>
      <c r="O24" s="138"/>
      <c r="P24" s="139">
        <v>47.428571428571431</v>
      </c>
      <c r="Q24" s="136">
        <v>22</v>
      </c>
      <c r="R24" s="137" t="s">
        <v>90</v>
      </c>
      <c r="S24" s="138"/>
      <c r="T24" s="139" t="s">
        <v>88</v>
      </c>
      <c r="U24" s="140">
        <v>22</v>
      </c>
      <c r="V24" s="141" t="s">
        <v>91</v>
      </c>
      <c r="W24" s="142"/>
      <c r="X24" s="143" t="s">
        <v>88</v>
      </c>
      <c r="Y24" s="136">
        <v>22</v>
      </c>
      <c r="Z24" s="137" t="s">
        <v>94</v>
      </c>
      <c r="AA24" s="138"/>
      <c r="AB24" s="151" t="s">
        <v>88</v>
      </c>
      <c r="AC24" s="136">
        <v>22</v>
      </c>
      <c r="AD24" s="137" t="s">
        <v>90</v>
      </c>
      <c r="AE24" s="138"/>
      <c r="AF24" s="139" t="s">
        <v>88</v>
      </c>
      <c r="AG24" s="140">
        <v>22</v>
      </c>
      <c r="AH24" s="141" t="s">
        <v>91</v>
      </c>
      <c r="AI24" s="142"/>
      <c r="AJ24" s="152" t="s">
        <v>88</v>
      </c>
      <c r="AK24" s="136">
        <v>22</v>
      </c>
      <c r="AL24" s="137" t="s">
        <v>92</v>
      </c>
      <c r="AM24" s="138"/>
      <c r="AN24" s="139">
        <v>21.285714285714285</v>
      </c>
      <c r="AO24" s="136">
        <v>22</v>
      </c>
      <c r="AP24" s="137" t="s">
        <v>93</v>
      </c>
      <c r="AQ24" s="138"/>
      <c r="AR24" s="151" t="s">
        <v>88</v>
      </c>
      <c r="AS24" s="140">
        <v>22</v>
      </c>
      <c r="AT24" s="141" t="s">
        <v>91</v>
      </c>
      <c r="AU24" s="142"/>
      <c r="AV24" s="143" t="s">
        <v>88</v>
      </c>
      <c r="AW24" s="3"/>
    </row>
    <row r="25" spans="1:49">
      <c r="A25" s="136">
        <v>23</v>
      </c>
      <c r="B25" s="137" t="s">
        <v>92</v>
      </c>
      <c r="C25" s="138"/>
      <c r="D25" s="156">
        <v>34.428571428571431</v>
      </c>
      <c r="E25" s="136">
        <v>23</v>
      </c>
      <c r="F25" s="137" t="s">
        <v>93</v>
      </c>
      <c r="G25" s="138"/>
      <c r="H25" s="151" t="s">
        <v>88</v>
      </c>
      <c r="I25" s="140">
        <v>23</v>
      </c>
      <c r="J25" s="141" t="s">
        <v>91</v>
      </c>
      <c r="K25" s="142"/>
      <c r="L25" s="143" t="s">
        <v>88</v>
      </c>
      <c r="M25" s="136">
        <v>23</v>
      </c>
      <c r="N25" s="137" t="s">
        <v>94</v>
      </c>
      <c r="O25" s="138"/>
      <c r="P25" s="139" t="s">
        <v>88</v>
      </c>
      <c r="Q25" s="136">
        <v>23</v>
      </c>
      <c r="R25" s="137" t="s">
        <v>93</v>
      </c>
      <c r="S25" s="138"/>
      <c r="T25" s="139" t="s">
        <v>88</v>
      </c>
      <c r="U25" s="140">
        <v>23</v>
      </c>
      <c r="V25" s="141" t="s">
        <v>96</v>
      </c>
      <c r="W25" s="142"/>
      <c r="X25" s="143" t="s">
        <v>88</v>
      </c>
      <c r="Y25" s="136">
        <v>23</v>
      </c>
      <c r="Z25" s="137" t="s">
        <v>90</v>
      </c>
      <c r="AA25" s="138"/>
      <c r="AB25" s="151" t="s">
        <v>88</v>
      </c>
      <c r="AC25" s="136">
        <v>23</v>
      </c>
      <c r="AD25" s="137" t="s">
        <v>93</v>
      </c>
      <c r="AE25" s="138"/>
      <c r="AF25" s="139" t="s">
        <v>88</v>
      </c>
      <c r="AG25" s="140">
        <v>23</v>
      </c>
      <c r="AH25" s="141" t="s">
        <v>96</v>
      </c>
      <c r="AI25" s="142"/>
      <c r="AJ25" s="152" t="s">
        <v>88</v>
      </c>
      <c r="AK25" s="136">
        <v>23</v>
      </c>
      <c r="AL25" s="149" t="s">
        <v>94</v>
      </c>
      <c r="AM25" s="138"/>
      <c r="AN25" s="139" t="s">
        <v>88</v>
      </c>
      <c r="AO25" s="136">
        <v>23</v>
      </c>
      <c r="AP25" s="149" t="s">
        <v>95</v>
      </c>
      <c r="AQ25" s="138"/>
      <c r="AR25" s="151" t="s">
        <v>88</v>
      </c>
      <c r="AS25" s="140">
        <v>23</v>
      </c>
      <c r="AT25" s="141" t="s">
        <v>96</v>
      </c>
      <c r="AU25" s="142"/>
      <c r="AV25" s="143" t="s">
        <v>88</v>
      </c>
    </row>
    <row r="26" spans="1:49">
      <c r="A26" s="136">
        <v>24</v>
      </c>
      <c r="B26" s="137" t="s">
        <v>94</v>
      </c>
      <c r="C26" s="138"/>
      <c r="D26" s="156" t="s">
        <v>88</v>
      </c>
      <c r="E26" s="136">
        <v>24</v>
      </c>
      <c r="F26" s="137" t="s">
        <v>95</v>
      </c>
      <c r="G26" s="138"/>
      <c r="H26" s="151" t="s">
        <v>88</v>
      </c>
      <c r="I26" s="140">
        <v>24</v>
      </c>
      <c r="J26" s="141" t="s">
        <v>96</v>
      </c>
      <c r="K26" s="142"/>
      <c r="L26" s="143" t="s">
        <v>88</v>
      </c>
      <c r="M26" s="136">
        <v>24</v>
      </c>
      <c r="N26" s="137" t="s">
        <v>90</v>
      </c>
      <c r="O26" s="138"/>
      <c r="P26" s="139" t="s">
        <v>88</v>
      </c>
      <c r="Q26" s="136">
        <v>24</v>
      </c>
      <c r="R26" s="137" t="s">
        <v>95</v>
      </c>
      <c r="S26" s="138"/>
      <c r="T26" s="139" t="s">
        <v>88</v>
      </c>
      <c r="U26" s="136">
        <v>24</v>
      </c>
      <c r="V26" s="137" t="s">
        <v>92</v>
      </c>
      <c r="W26" s="138"/>
      <c r="X26" s="139">
        <v>4.2857142857142856</v>
      </c>
      <c r="Y26" s="136">
        <v>24</v>
      </c>
      <c r="Z26" s="137" t="s">
        <v>93</v>
      </c>
      <c r="AA26" s="138"/>
      <c r="AB26" s="151" t="s">
        <v>88</v>
      </c>
      <c r="AC26" s="136">
        <v>24</v>
      </c>
      <c r="AD26" s="137" t="s">
        <v>95</v>
      </c>
      <c r="AE26" s="138"/>
      <c r="AF26" s="139" t="s">
        <v>88</v>
      </c>
      <c r="AG26" s="136">
        <v>24</v>
      </c>
      <c r="AH26" s="137" t="s">
        <v>92</v>
      </c>
      <c r="AI26" s="138"/>
      <c r="AJ26" s="151">
        <v>17.285714285714285</v>
      </c>
      <c r="AK26" s="136">
        <v>24</v>
      </c>
      <c r="AL26" s="137" t="s">
        <v>90</v>
      </c>
      <c r="AM26" s="138"/>
      <c r="AN26" s="139" t="s">
        <v>88</v>
      </c>
      <c r="AO26" s="140">
        <v>24</v>
      </c>
      <c r="AP26" s="141" t="s">
        <v>91</v>
      </c>
      <c r="AQ26" s="142"/>
      <c r="AR26" s="152" t="s">
        <v>88</v>
      </c>
      <c r="AS26" s="136">
        <v>24</v>
      </c>
      <c r="AT26" s="137" t="s">
        <v>92</v>
      </c>
      <c r="AU26" s="138"/>
      <c r="AV26" s="139">
        <v>30.285714285714285</v>
      </c>
    </row>
    <row r="27" spans="1:49">
      <c r="A27" s="136">
        <v>25</v>
      </c>
      <c r="B27" s="137" t="s">
        <v>90</v>
      </c>
      <c r="C27" s="138"/>
      <c r="D27" s="156" t="s">
        <v>88</v>
      </c>
      <c r="E27" s="140">
        <v>25</v>
      </c>
      <c r="F27" s="141" t="s">
        <v>91</v>
      </c>
      <c r="G27" s="142"/>
      <c r="H27" s="152" t="s">
        <v>88</v>
      </c>
      <c r="I27" s="136">
        <v>25</v>
      </c>
      <c r="J27" s="137" t="s">
        <v>92</v>
      </c>
      <c r="K27" s="138"/>
      <c r="L27" s="139">
        <v>43.428571428571431</v>
      </c>
      <c r="M27" s="136">
        <v>25</v>
      </c>
      <c r="N27" s="137" t="s">
        <v>93</v>
      </c>
      <c r="O27" s="138"/>
      <c r="P27" s="139" t="s">
        <v>88</v>
      </c>
      <c r="Q27" s="140">
        <v>25</v>
      </c>
      <c r="R27" s="141" t="s">
        <v>91</v>
      </c>
      <c r="S27" s="142"/>
      <c r="T27" s="143" t="s">
        <v>88</v>
      </c>
      <c r="U27" s="136">
        <v>25</v>
      </c>
      <c r="V27" s="137" t="s">
        <v>94</v>
      </c>
      <c r="W27" s="138"/>
      <c r="X27" s="139" t="s">
        <v>88</v>
      </c>
      <c r="Y27" s="136">
        <v>25</v>
      </c>
      <c r="Z27" s="137" t="s">
        <v>95</v>
      </c>
      <c r="AA27" s="138"/>
      <c r="AB27" s="151" t="s">
        <v>88</v>
      </c>
      <c r="AC27" s="140">
        <v>25</v>
      </c>
      <c r="AD27" s="141" t="s">
        <v>91</v>
      </c>
      <c r="AE27" s="142"/>
      <c r="AF27" s="143" t="s">
        <v>88</v>
      </c>
      <c r="AG27" s="136">
        <v>25</v>
      </c>
      <c r="AH27" s="149" t="s">
        <v>94</v>
      </c>
      <c r="AI27" s="138"/>
      <c r="AJ27" s="151" t="s">
        <v>88</v>
      </c>
      <c r="AK27" s="140">
        <v>25</v>
      </c>
      <c r="AL27" s="141" t="s">
        <v>93</v>
      </c>
      <c r="AM27" s="242" t="s">
        <v>149</v>
      </c>
      <c r="AN27" s="243"/>
      <c r="AO27" s="140">
        <v>25</v>
      </c>
      <c r="AP27" s="141" t="s">
        <v>96</v>
      </c>
      <c r="AQ27" s="142"/>
      <c r="AR27" s="152" t="s">
        <v>88</v>
      </c>
      <c r="AS27" s="136">
        <v>25</v>
      </c>
      <c r="AT27" s="137" t="s">
        <v>94</v>
      </c>
      <c r="AU27" s="138"/>
      <c r="AV27" s="139" t="s">
        <v>88</v>
      </c>
    </row>
    <row r="28" spans="1:49">
      <c r="A28" s="136">
        <v>26</v>
      </c>
      <c r="B28" s="137" t="s">
        <v>93</v>
      </c>
      <c r="C28" s="138"/>
      <c r="D28" s="156" t="s">
        <v>88</v>
      </c>
      <c r="E28" s="140">
        <v>26</v>
      </c>
      <c r="F28" s="141" t="s">
        <v>96</v>
      </c>
      <c r="G28" s="142"/>
      <c r="H28" s="152" t="s">
        <v>88</v>
      </c>
      <c r="I28" s="136">
        <v>26</v>
      </c>
      <c r="J28" s="137" t="s">
        <v>94</v>
      </c>
      <c r="K28" s="138"/>
      <c r="L28" s="139" t="s">
        <v>88</v>
      </c>
      <c r="M28" s="136">
        <v>26</v>
      </c>
      <c r="N28" s="137" t="s">
        <v>95</v>
      </c>
      <c r="O28" s="138"/>
      <c r="P28" s="139" t="s">
        <v>88</v>
      </c>
      <c r="Q28" s="140">
        <v>26</v>
      </c>
      <c r="R28" s="141" t="s">
        <v>96</v>
      </c>
      <c r="S28" s="142"/>
      <c r="T28" s="143" t="s">
        <v>88</v>
      </c>
      <c r="U28" s="136">
        <v>26</v>
      </c>
      <c r="V28" s="137" t="s">
        <v>90</v>
      </c>
      <c r="W28" s="138"/>
      <c r="X28" s="139" t="s">
        <v>88</v>
      </c>
      <c r="Y28" s="140">
        <v>26</v>
      </c>
      <c r="Z28" s="141" t="s">
        <v>91</v>
      </c>
      <c r="AA28" s="142"/>
      <c r="AB28" s="152" t="s">
        <v>88</v>
      </c>
      <c r="AC28" s="140">
        <v>26</v>
      </c>
      <c r="AD28" s="141" t="s">
        <v>96</v>
      </c>
      <c r="AE28" s="142"/>
      <c r="AF28" s="143" t="s">
        <v>88</v>
      </c>
      <c r="AG28" s="136">
        <v>26</v>
      </c>
      <c r="AH28" s="137" t="s">
        <v>90</v>
      </c>
      <c r="AI28" s="138"/>
      <c r="AJ28" s="151" t="s">
        <v>88</v>
      </c>
      <c r="AK28" s="136">
        <v>26</v>
      </c>
      <c r="AL28" s="149" t="s">
        <v>95</v>
      </c>
      <c r="AM28" s="138"/>
      <c r="AN28" s="139" t="s">
        <v>88</v>
      </c>
      <c r="AO28" s="136">
        <v>26</v>
      </c>
      <c r="AP28" s="137" t="s">
        <v>92</v>
      </c>
      <c r="AQ28" s="138"/>
      <c r="AR28" s="151">
        <v>26.285714285714285</v>
      </c>
      <c r="AS28" s="136">
        <v>26</v>
      </c>
      <c r="AT28" s="149" t="s">
        <v>90</v>
      </c>
      <c r="AU28" s="138"/>
      <c r="AV28" s="139" t="s">
        <v>88</v>
      </c>
    </row>
    <row r="29" spans="1:49">
      <c r="A29" s="136">
        <v>27</v>
      </c>
      <c r="B29" s="137" t="s">
        <v>95</v>
      </c>
      <c r="C29" s="138"/>
      <c r="D29" s="156" t="s">
        <v>88</v>
      </c>
      <c r="E29" s="136">
        <v>27</v>
      </c>
      <c r="F29" s="137" t="s">
        <v>92</v>
      </c>
      <c r="G29" s="138"/>
      <c r="H29" s="151">
        <v>39.428571428571431</v>
      </c>
      <c r="I29" s="136">
        <v>27</v>
      </c>
      <c r="J29" s="137" t="s">
        <v>90</v>
      </c>
      <c r="K29" s="138"/>
      <c r="L29" s="139" t="s">
        <v>88</v>
      </c>
      <c r="M29" s="140">
        <v>27</v>
      </c>
      <c r="N29" s="141" t="s">
        <v>91</v>
      </c>
      <c r="O29" s="142"/>
      <c r="P29" s="143" t="s">
        <v>88</v>
      </c>
      <c r="Q29" s="136">
        <v>27</v>
      </c>
      <c r="R29" s="137" t="s">
        <v>92</v>
      </c>
      <c r="S29" s="138"/>
      <c r="T29" s="139">
        <v>52.428571428571431</v>
      </c>
      <c r="U29" s="136">
        <v>27</v>
      </c>
      <c r="V29" s="137" t="s">
        <v>93</v>
      </c>
      <c r="W29" s="138"/>
      <c r="X29" s="139" t="s">
        <v>88</v>
      </c>
      <c r="Y29" s="140">
        <v>27</v>
      </c>
      <c r="Z29" s="141" t="s">
        <v>96</v>
      </c>
      <c r="AA29" s="142"/>
      <c r="AB29" s="152" t="s">
        <v>88</v>
      </c>
      <c r="AC29" s="136">
        <v>27</v>
      </c>
      <c r="AD29" s="137" t="s">
        <v>92</v>
      </c>
      <c r="AE29" s="138"/>
      <c r="AF29" s="139">
        <v>13.285714285714286</v>
      </c>
      <c r="AG29" s="136">
        <v>27</v>
      </c>
      <c r="AH29" s="137" t="s">
        <v>93</v>
      </c>
      <c r="AI29" s="138"/>
      <c r="AJ29" s="151" t="s">
        <v>88</v>
      </c>
      <c r="AK29" s="140">
        <v>27</v>
      </c>
      <c r="AL29" s="141" t="s">
        <v>91</v>
      </c>
      <c r="AM29" s="142"/>
      <c r="AN29" s="143" t="s">
        <v>88</v>
      </c>
      <c r="AO29" s="136">
        <v>27</v>
      </c>
      <c r="AP29" s="137" t="s">
        <v>94</v>
      </c>
      <c r="AQ29" s="138"/>
      <c r="AR29" s="151" t="s">
        <v>88</v>
      </c>
      <c r="AS29" s="136">
        <v>27</v>
      </c>
      <c r="AT29" s="137" t="s">
        <v>93</v>
      </c>
      <c r="AU29" s="138"/>
      <c r="AV29" s="139" t="s">
        <v>88</v>
      </c>
    </row>
    <row r="30" spans="1:49">
      <c r="A30" s="140">
        <v>28</v>
      </c>
      <c r="B30" s="141" t="s">
        <v>91</v>
      </c>
      <c r="C30" s="142"/>
      <c r="D30" s="155" t="s">
        <v>88</v>
      </c>
      <c r="E30" s="136">
        <v>28</v>
      </c>
      <c r="F30" s="137" t="s">
        <v>94</v>
      </c>
      <c r="G30" s="138"/>
      <c r="H30" s="151" t="s">
        <v>88</v>
      </c>
      <c r="I30" s="136">
        <v>28</v>
      </c>
      <c r="J30" s="137" t="s">
        <v>93</v>
      </c>
      <c r="K30" s="138"/>
      <c r="L30" s="139" t="s">
        <v>88</v>
      </c>
      <c r="M30" s="140">
        <v>28</v>
      </c>
      <c r="N30" s="141" t="s">
        <v>96</v>
      </c>
      <c r="O30" s="142"/>
      <c r="P30" s="143" t="s">
        <v>88</v>
      </c>
      <c r="Q30" s="136">
        <v>28</v>
      </c>
      <c r="R30" s="137" t="s">
        <v>94</v>
      </c>
      <c r="S30" s="138"/>
      <c r="T30" s="139" t="s">
        <v>88</v>
      </c>
      <c r="U30" s="136">
        <v>28</v>
      </c>
      <c r="V30" s="137" t="s">
        <v>95</v>
      </c>
      <c r="W30" s="138"/>
      <c r="X30" s="139" t="s">
        <v>88</v>
      </c>
      <c r="Y30" s="136">
        <v>28</v>
      </c>
      <c r="Z30" s="149" t="s">
        <v>92</v>
      </c>
      <c r="AA30" s="138"/>
      <c r="AB30" s="139">
        <v>9.2857142857142865</v>
      </c>
      <c r="AC30" s="136">
        <v>28</v>
      </c>
      <c r="AD30" s="149" t="s">
        <v>94</v>
      </c>
      <c r="AE30" s="138"/>
      <c r="AF30" s="139" t="s">
        <v>88</v>
      </c>
      <c r="AG30" s="136">
        <v>28</v>
      </c>
      <c r="AH30" s="149" t="s">
        <v>95</v>
      </c>
      <c r="AI30" s="138"/>
      <c r="AJ30" s="151" t="s">
        <v>88</v>
      </c>
      <c r="AK30" s="140">
        <v>28</v>
      </c>
      <c r="AL30" s="141" t="s">
        <v>96</v>
      </c>
      <c r="AM30" s="142"/>
      <c r="AN30" s="143" t="s">
        <v>88</v>
      </c>
      <c r="AO30" s="136">
        <v>28</v>
      </c>
      <c r="AP30" s="149" t="s">
        <v>90</v>
      </c>
      <c r="AQ30" s="138"/>
      <c r="AR30" s="151" t="s">
        <v>88</v>
      </c>
      <c r="AS30" s="136">
        <v>28</v>
      </c>
      <c r="AT30" s="137" t="s">
        <v>95</v>
      </c>
      <c r="AU30" s="138"/>
      <c r="AV30" s="139" t="s">
        <v>88</v>
      </c>
    </row>
    <row r="31" spans="1:49">
      <c r="A31" s="140">
        <v>29</v>
      </c>
      <c r="B31" s="141" t="s">
        <v>96</v>
      </c>
      <c r="C31" s="142"/>
      <c r="D31" s="157" t="s">
        <v>88</v>
      </c>
      <c r="E31" s="136">
        <v>29</v>
      </c>
      <c r="F31" s="137" t="s">
        <v>90</v>
      </c>
      <c r="G31" s="138"/>
      <c r="H31" s="151" t="s">
        <v>88</v>
      </c>
      <c r="I31" s="136">
        <v>29</v>
      </c>
      <c r="J31" s="137" t="s">
        <v>95</v>
      </c>
      <c r="K31" s="138"/>
      <c r="L31" s="139" t="s">
        <v>88</v>
      </c>
      <c r="M31" s="136">
        <v>29</v>
      </c>
      <c r="N31" s="137" t="s">
        <v>92</v>
      </c>
      <c r="O31" s="138"/>
      <c r="P31" s="139">
        <v>48.428571428571431</v>
      </c>
      <c r="Q31" s="136">
        <v>29</v>
      </c>
      <c r="R31" s="137" t="s">
        <v>90</v>
      </c>
      <c r="S31" s="138"/>
      <c r="T31" s="139" t="s">
        <v>88</v>
      </c>
      <c r="U31" s="140">
        <v>29</v>
      </c>
      <c r="V31" s="141" t="s">
        <v>91</v>
      </c>
      <c r="W31" s="142"/>
      <c r="X31" s="143" t="s">
        <v>88</v>
      </c>
      <c r="Y31" s="136">
        <v>29</v>
      </c>
      <c r="Z31" s="149" t="s">
        <v>94</v>
      </c>
      <c r="AA31" s="138"/>
      <c r="AB31" s="139" t="s">
        <v>88</v>
      </c>
      <c r="AC31" s="136">
        <v>29</v>
      </c>
      <c r="AD31" s="137" t="s">
        <v>90</v>
      </c>
      <c r="AE31" s="138"/>
      <c r="AF31" s="139" t="s">
        <v>88</v>
      </c>
      <c r="AG31" s="140">
        <v>29</v>
      </c>
      <c r="AH31" s="141" t="s">
        <v>91</v>
      </c>
      <c r="AI31" s="142"/>
      <c r="AJ31" s="152" t="s">
        <v>88</v>
      </c>
      <c r="AK31" s="136">
        <v>29</v>
      </c>
      <c r="AL31" s="137" t="s">
        <v>92</v>
      </c>
      <c r="AM31" s="138"/>
      <c r="AN31" s="139">
        <v>22.285714285714285</v>
      </c>
      <c r="AO31" s="136">
        <v>29</v>
      </c>
      <c r="AP31" s="137" t="s">
        <v>93</v>
      </c>
      <c r="AQ31" s="138"/>
      <c r="AR31" s="151" t="s">
        <v>88</v>
      </c>
      <c r="AS31" s="140">
        <v>29</v>
      </c>
      <c r="AT31" s="141" t="s">
        <v>91</v>
      </c>
      <c r="AU31" s="142"/>
      <c r="AV31" s="143" t="s">
        <v>88</v>
      </c>
    </row>
    <row r="32" spans="1:49">
      <c r="A32" s="136">
        <v>30</v>
      </c>
      <c r="B32" s="137" t="s">
        <v>92</v>
      </c>
      <c r="C32" s="138"/>
      <c r="D32" s="154">
        <v>35.428571428571431</v>
      </c>
      <c r="E32" s="136">
        <v>30</v>
      </c>
      <c r="F32" s="137" t="s">
        <v>93</v>
      </c>
      <c r="G32" s="138"/>
      <c r="H32" s="151" t="s">
        <v>88</v>
      </c>
      <c r="I32" s="140">
        <v>30</v>
      </c>
      <c r="J32" s="141" t="s">
        <v>91</v>
      </c>
      <c r="K32" s="142"/>
      <c r="L32" s="143" t="s">
        <v>88</v>
      </c>
      <c r="M32" s="136">
        <v>30</v>
      </c>
      <c r="N32" s="137" t="s">
        <v>94</v>
      </c>
      <c r="O32" s="138"/>
      <c r="P32" s="139" t="s">
        <v>88</v>
      </c>
      <c r="Q32" s="136">
        <v>30</v>
      </c>
      <c r="R32" s="137" t="s">
        <v>93</v>
      </c>
      <c r="S32" s="138"/>
      <c r="T32" s="139"/>
      <c r="U32" s="140">
        <v>30</v>
      </c>
      <c r="V32" s="141" t="s">
        <v>96</v>
      </c>
      <c r="W32" s="142"/>
      <c r="X32" s="143" t="s">
        <v>88</v>
      </c>
      <c r="Y32" s="122"/>
      <c r="Z32" s="123"/>
      <c r="AA32" s="124"/>
      <c r="AB32" s="89"/>
      <c r="AC32" s="136">
        <v>30</v>
      </c>
      <c r="AD32" s="137" t="s">
        <v>93</v>
      </c>
      <c r="AE32" s="138"/>
      <c r="AF32" s="139" t="s">
        <v>88</v>
      </c>
      <c r="AG32" s="140">
        <v>30</v>
      </c>
      <c r="AH32" s="141" t="s">
        <v>96</v>
      </c>
      <c r="AI32" s="142"/>
      <c r="AJ32" s="152" t="s">
        <v>88</v>
      </c>
      <c r="AK32" s="136">
        <v>30</v>
      </c>
      <c r="AL32" s="137" t="s">
        <v>94</v>
      </c>
      <c r="AM32" s="138"/>
      <c r="AN32" s="139" t="s">
        <v>88</v>
      </c>
      <c r="AO32" s="136">
        <v>30</v>
      </c>
      <c r="AP32" s="137" t="s">
        <v>95</v>
      </c>
      <c r="AQ32" s="138"/>
      <c r="AR32" s="151" t="s">
        <v>88</v>
      </c>
      <c r="AS32" s="140">
        <v>30</v>
      </c>
      <c r="AT32" s="141" t="s">
        <v>96</v>
      </c>
      <c r="AU32" s="142"/>
      <c r="AV32" s="143" t="s">
        <v>88</v>
      </c>
    </row>
    <row r="33" spans="1:48">
      <c r="A33" s="136">
        <v>31</v>
      </c>
      <c r="B33" s="137" t="s">
        <v>94</v>
      </c>
      <c r="C33" s="138"/>
      <c r="D33" s="154" t="s">
        <v>88</v>
      </c>
      <c r="E33" s="122"/>
      <c r="F33" s="123"/>
      <c r="G33" s="124"/>
      <c r="H33" s="153"/>
      <c r="I33" s="144">
        <v>31</v>
      </c>
      <c r="J33" s="145" t="s">
        <v>96</v>
      </c>
      <c r="K33" s="146"/>
      <c r="L33" s="147" t="s">
        <v>88</v>
      </c>
      <c r="M33" s="122"/>
      <c r="N33" s="123"/>
      <c r="O33" s="124"/>
      <c r="P33" s="89"/>
      <c r="Q33" s="148">
        <v>31</v>
      </c>
      <c r="R33" s="149" t="s">
        <v>95</v>
      </c>
      <c r="S33" s="158"/>
      <c r="T33" s="150" t="s">
        <v>88</v>
      </c>
      <c r="U33" s="148">
        <v>31</v>
      </c>
      <c r="V33" s="149" t="s">
        <v>92</v>
      </c>
      <c r="W33" s="135"/>
      <c r="X33" s="150">
        <v>5.2857142857142856</v>
      </c>
      <c r="Y33" s="3"/>
      <c r="Z33" s="3"/>
      <c r="AA33" s="3"/>
      <c r="AB33" s="3"/>
      <c r="AC33" s="148">
        <v>31</v>
      </c>
      <c r="AD33" s="149" t="s">
        <v>95</v>
      </c>
      <c r="AE33" s="135"/>
      <c r="AF33" s="150" t="s">
        <v>88</v>
      </c>
      <c r="AG33" s="122"/>
      <c r="AH33" s="123"/>
      <c r="AI33" s="124"/>
      <c r="AJ33" s="89"/>
      <c r="AK33" s="148">
        <v>31</v>
      </c>
      <c r="AL33" s="149" t="s">
        <v>90</v>
      </c>
      <c r="AM33" s="135"/>
      <c r="AN33" s="150" t="s">
        <v>88</v>
      </c>
      <c r="AO33" s="122"/>
      <c r="AP33" s="123"/>
      <c r="AQ33" s="124"/>
      <c r="AR33" s="89"/>
      <c r="AS33" s="148">
        <v>31</v>
      </c>
      <c r="AT33" s="149" t="s">
        <v>92</v>
      </c>
      <c r="AU33" s="135"/>
      <c r="AV33" s="150">
        <v>31.285714285714285</v>
      </c>
    </row>
    <row r="34" spans="1:48">
      <c r="A34" s="3"/>
      <c r="B34" s="3"/>
      <c r="C34" s="3"/>
      <c r="D34" s="16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</sheetData>
  <mergeCells count="1">
    <mergeCell ref="AM27:AN27"/>
  </mergeCells>
  <pageMargins left="0.7" right="0.7" top="0.75" bottom="0.75" header="0.3" footer="0.3"/>
  <pageSetup paperSize="9" scale="5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baseColWidth="10" defaultRowHeight="16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baseColWidth="10" defaultColWidth="11" defaultRowHeight="16"/>
  <cols>
    <col min="1" max="1" width="4.6640625" customWidth="1"/>
    <col min="2" max="2" width="34.33203125" customWidth="1"/>
    <col min="3" max="3" width="12.5" customWidth="1"/>
    <col min="4" max="4" width="14.6640625" bestFit="1" customWidth="1"/>
    <col min="5" max="5" width="11.1640625" customWidth="1"/>
  </cols>
  <sheetData>
    <row r="2" spans="2:8">
      <c r="B2" s="1" t="s">
        <v>1</v>
      </c>
      <c r="C2" s="198" t="e">
        <f>#REF!</f>
        <v>#REF!</v>
      </c>
      <c r="D2" s="199"/>
      <c r="E2" s="200"/>
    </row>
    <row r="3" spans="2:8">
      <c r="B3" s="1" t="s">
        <v>2</v>
      </c>
      <c r="C3" s="201" t="e">
        <f>#REF!</f>
        <v>#REF!</v>
      </c>
      <c r="D3" s="201"/>
      <c r="E3" s="201"/>
    </row>
    <row r="4" spans="2:8">
      <c r="B4" s="1" t="s">
        <v>3</v>
      </c>
      <c r="C4" s="201" t="e">
        <f>#REF!</f>
        <v>#REF!</v>
      </c>
      <c r="D4" s="201"/>
      <c r="E4" s="201"/>
    </row>
    <row r="5" spans="2:8" ht="34" customHeight="1">
      <c r="B5" s="202" t="s">
        <v>21</v>
      </c>
      <c r="C5" s="202"/>
      <c r="D5" s="202"/>
      <c r="E5" s="202"/>
    </row>
    <row r="6" spans="2:8" ht="15" customHeight="1">
      <c r="B6" s="2"/>
      <c r="C6" s="2"/>
      <c r="D6" s="2"/>
      <c r="E6" s="2"/>
    </row>
    <row r="7" spans="2:8" ht="21">
      <c r="B7" s="4" t="s">
        <v>0</v>
      </c>
    </row>
    <row r="8" spans="2:8" ht="31">
      <c r="B8" s="205" t="s">
        <v>38</v>
      </c>
      <c r="C8" s="206"/>
      <c r="D8" s="206"/>
      <c r="E8" s="206"/>
      <c r="F8" s="206"/>
      <c r="G8" s="206"/>
      <c r="H8" s="207"/>
    </row>
    <row r="9" spans="2:8" ht="15" customHeight="1">
      <c r="B9" s="208" t="s">
        <v>42</v>
      </c>
      <c r="C9" s="209"/>
      <c r="D9" s="209"/>
      <c r="E9" s="209"/>
      <c r="F9" s="209"/>
      <c r="G9" s="209"/>
      <c r="H9" s="210"/>
    </row>
    <row r="10" spans="2:8" ht="34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>
      <c r="B19" s="211" t="s">
        <v>44</v>
      </c>
      <c r="C19" s="212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>
      <c r="B20" s="213" t="s">
        <v>45</v>
      </c>
      <c r="C20" s="214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>
      <c r="B21" s="215" t="s">
        <v>43</v>
      </c>
      <c r="C21" s="188" t="s">
        <v>36</v>
      </c>
      <c r="D21" s="189"/>
      <c r="E21" s="189"/>
      <c r="F21" s="189"/>
      <c r="G21" s="190"/>
      <c r="H21" s="25" t="e">
        <f>SUM(D20:H20)</f>
        <v>#VALUE!</v>
      </c>
    </row>
    <row r="22" spans="1:8" ht="15" customHeight="1">
      <c r="B22" s="216"/>
      <c r="C22" s="185" t="s">
        <v>39</v>
      </c>
      <c r="D22" s="186"/>
      <c r="E22" s="186"/>
      <c r="F22" s="186"/>
      <c r="G22" s="187"/>
      <c r="H22" s="28">
        <v>32</v>
      </c>
    </row>
    <row r="23" spans="1:8" ht="15" customHeight="1">
      <c r="B23" s="216"/>
      <c r="C23" s="185" t="s">
        <v>40</v>
      </c>
      <c r="D23" s="186"/>
      <c r="E23" s="186"/>
      <c r="F23" s="186"/>
      <c r="G23" s="187"/>
      <c r="H23" s="28">
        <v>12</v>
      </c>
    </row>
    <row r="24" spans="1:8" ht="15" customHeight="1">
      <c r="A24" s="197"/>
      <c r="B24" s="216"/>
      <c r="C24" s="185" t="s">
        <v>41</v>
      </c>
      <c r="D24" s="186"/>
      <c r="E24" s="186"/>
      <c r="F24" s="186"/>
      <c r="G24" s="187"/>
      <c r="H24" s="28">
        <v>65</v>
      </c>
    </row>
    <row r="25" spans="1:8" ht="15" customHeight="1">
      <c r="A25" s="197"/>
      <c r="B25" s="217"/>
      <c r="C25" s="188" t="s">
        <v>37</v>
      </c>
      <c r="D25" s="189"/>
      <c r="E25" s="189"/>
      <c r="F25" s="189"/>
      <c r="G25" s="190"/>
      <c r="H25" s="25" t="e">
        <f>SUM(H21:H24)</f>
        <v>#VALUE!</v>
      </c>
    </row>
    <row r="26" spans="1:8">
      <c r="A26" s="197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7" thickBot="1">
      <c r="A27" s="197"/>
      <c r="B27" s="18"/>
      <c r="C27" s="19"/>
      <c r="D27" s="19"/>
      <c r="E27" s="20"/>
    </row>
    <row r="28" spans="1:8" ht="17" thickBot="1">
      <c r="A28" s="197"/>
    </row>
    <row r="29" spans="1:8" ht="17" thickBot="1">
      <c r="B29" s="9" t="s">
        <v>9</v>
      </c>
      <c r="C29" s="10" t="s">
        <v>8</v>
      </c>
      <c r="D29" s="10" t="s">
        <v>11</v>
      </c>
      <c r="E29" s="11" t="s">
        <v>12</v>
      </c>
    </row>
    <row r="30" spans="1:8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7" thickBot="1">
      <c r="B32" s="18"/>
      <c r="C32" s="19"/>
      <c r="D32" s="19"/>
      <c r="E32" s="21">
        <f>D32*C32</f>
        <v>0</v>
      </c>
    </row>
    <row r="33" spans="1:5" ht="17" thickBot="1">
      <c r="B33" s="6" t="s">
        <v>18</v>
      </c>
      <c r="C33" s="7"/>
      <c r="D33" s="7"/>
      <c r="E33" s="8" t="e">
        <f>SUM(E10:E32)</f>
        <v>#VALUE!</v>
      </c>
    </row>
    <row r="35" spans="1:5" ht="22" thickBot="1">
      <c r="A35" s="197"/>
      <c r="B35" s="5" t="s">
        <v>13</v>
      </c>
    </row>
    <row r="36" spans="1:5" ht="17" thickBot="1">
      <c r="A36" s="197"/>
      <c r="B36" s="195" t="s">
        <v>13</v>
      </c>
      <c r="C36" s="196"/>
      <c r="D36" s="11" t="s">
        <v>17</v>
      </c>
    </row>
    <row r="37" spans="1:5">
      <c r="A37" s="197"/>
      <c r="B37" s="203" t="s">
        <v>14</v>
      </c>
      <c r="C37" s="204"/>
      <c r="D37" s="16"/>
      <c r="E37" s="3"/>
    </row>
    <row r="38" spans="1:5">
      <c r="A38" s="197"/>
      <c r="B38" s="191" t="s">
        <v>16</v>
      </c>
      <c r="C38" s="192"/>
      <c r="D38" s="17"/>
      <c r="E38" s="3"/>
    </row>
    <row r="39" spans="1:5">
      <c r="B39" s="191" t="s">
        <v>19</v>
      </c>
      <c r="C39" s="192"/>
      <c r="D39" s="17"/>
      <c r="E39" s="3"/>
    </row>
    <row r="40" spans="1:5">
      <c r="B40" s="191"/>
      <c r="C40" s="192"/>
      <c r="D40" s="17"/>
      <c r="E40" s="3"/>
    </row>
    <row r="41" spans="1:5">
      <c r="B41" s="191"/>
      <c r="C41" s="192"/>
      <c r="D41" s="17"/>
      <c r="E41" s="3"/>
    </row>
    <row r="42" spans="1:5">
      <c r="B42" s="191"/>
      <c r="C42" s="192"/>
      <c r="D42" s="17"/>
      <c r="E42" s="3"/>
    </row>
    <row r="43" spans="1:5">
      <c r="B43" s="191"/>
      <c r="C43" s="192"/>
      <c r="D43" s="17"/>
      <c r="E43" s="3"/>
    </row>
    <row r="44" spans="1:5">
      <c r="B44" s="191"/>
      <c r="C44" s="192"/>
      <c r="D44" s="17"/>
      <c r="E44" s="3"/>
    </row>
    <row r="45" spans="1:5">
      <c r="B45" s="191"/>
      <c r="C45" s="192"/>
      <c r="D45" s="17"/>
      <c r="E45" s="3"/>
    </row>
    <row r="46" spans="1:5">
      <c r="B46" s="191"/>
      <c r="C46" s="192"/>
      <c r="D46" s="17"/>
      <c r="E46" s="3"/>
    </row>
    <row r="47" spans="1:5">
      <c r="B47" s="191"/>
      <c r="C47" s="192"/>
      <c r="D47" s="17"/>
      <c r="E47" s="3"/>
    </row>
    <row r="48" spans="1:5">
      <c r="B48" s="191"/>
      <c r="C48" s="192"/>
      <c r="D48" s="17"/>
      <c r="E48" s="3"/>
    </row>
    <row r="49" spans="2:5">
      <c r="B49" s="191"/>
      <c r="C49" s="192"/>
      <c r="D49" s="17"/>
      <c r="E49" s="3"/>
    </row>
    <row r="50" spans="2:5">
      <c r="B50" s="191"/>
      <c r="C50" s="192"/>
      <c r="D50" s="17"/>
      <c r="E50" s="3"/>
    </row>
    <row r="51" spans="2:5" ht="17" thickBot="1">
      <c r="B51" s="193"/>
      <c r="C51" s="194"/>
      <c r="D51" s="20"/>
      <c r="E51" s="3"/>
    </row>
  </sheetData>
  <mergeCells count="32"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" defaultRowHeight="16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sheetPr>
    <pageSetUpPr fitToPage="1"/>
  </sheetPr>
  <dimension ref="A1:X33"/>
  <sheetViews>
    <sheetView workbookViewId="0">
      <selection sqref="A1:X1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18" t="str">
        <f>'TOMT ÅR'!A1</f>
        <v>Årskalender for Min egen skole 2027-2028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20"/>
    </row>
    <row r="2" spans="1:24" ht="18">
      <c r="A2" s="117" t="s">
        <v>46</v>
      </c>
      <c r="B2" s="118"/>
      <c r="C2" s="119"/>
      <c r="D2" s="120"/>
      <c r="E2" s="117" t="s">
        <v>47</v>
      </c>
      <c r="F2" s="118"/>
      <c r="G2" s="119"/>
      <c r="H2" s="120"/>
      <c r="I2" s="121" t="s">
        <v>48</v>
      </c>
      <c r="J2" s="118"/>
      <c r="K2" s="119"/>
      <c r="L2" s="120"/>
      <c r="M2" s="117" t="s">
        <v>49</v>
      </c>
      <c r="N2" s="118"/>
      <c r="O2" s="119"/>
      <c r="P2" s="120"/>
      <c r="Q2" s="117" t="s">
        <v>50</v>
      </c>
      <c r="R2" s="118"/>
      <c r="S2" s="119"/>
      <c r="T2" s="120"/>
      <c r="U2" s="117" t="s">
        <v>51</v>
      </c>
      <c r="V2" s="118"/>
      <c r="W2" s="119"/>
      <c r="X2" s="120"/>
    </row>
    <row r="3" spans="1:24">
      <c r="A3" s="140">
        <v>1</v>
      </c>
      <c r="B3" s="141" t="s">
        <v>96</v>
      </c>
      <c r="C3" s="142"/>
      <c r="D3" s="157" t="s">
        <v>88</v>
      </c>
      <c r="E3" s="136">
        <v>1</v>
      </c>
      <c r="F3" s="137" t="s">
        <v>90</v>
      </c>
      <c r="G3" s="138"/>
      <c r="H3" s="151" t="s">
        <v>88</v>
      </c>
      <c r="I3" s="136">
        <v>1</v>
      </c>
      <c r="J3" s="137" t="s">
        <v>95</v>
      </c>
      <c r="K3" s="138"/>
      <c r="L3" s="139" t="s">
        <v>88</v>
      </c>
      <c r="M3" s="136">
        <v>1</v>
      </c>
      <c r="N3" s="137" t="s">
        <v>92</v>
      </c>
      <c r="O3" s="138"/>
      <c r="P3" s="139">
        <v>44.428571428571431</v>
      </c>
      <c r="Q3" s="136">
        <v>1</v>
      </c>
      <c r="R3" s="137" t="s">
        <v>90</v>
      </c>
      <c r="S3" s="138"/>
      <c r="T3" s="139" t="s">
        <v>88</v>
      </c>
      <c r="U3" s="140">
        <v>1</v>
      </c>
      <c r="V3" s="141" t="s">
        <v>91</v>
      </c>
      <c r="W3" s="142"/>
      <c r="X3" s="143" t="s">
        <v>88</v>
      </c>
    </row>
    <row r="4" spans="1:24">
      <c r="A4" s="136">
        <v>2</v>
      </c>
      <c r="B4" s="137" t="s">
        <v>92</v>
      </c>
      <c r="C4" s="138"/>
      <c r="D4" s="154">
        <v>31.428571428571427</v>
      </c>
      <c r="E4" s="136">
        <v>2</v>
      </c>
      <c r="F4" s="137" t="s">
        <v>93</v>
      </c>
      <c r="G4" s="138"/>
      <c r="H4" s="151" t="s">
        <v>88</v>
      </c>
      <c r="I4" s="140">
        <v>2</v>
      </c>
      <c r="J4" s="141" t="s">
        <v>91</v>
      </c>
      <c r="K4" s="142"/>
      <c r="L4" s="143" t="s">
        <v>88</v>
      </c>
      <c r="M4" s="136">
        <v>2</v>
      </c>
      <c r="N4" s="137" t="s">
        <v>94</v>
      </c>
      <c r="O4" s="138"/>
      <c r="P4" s="139" t="s">
        <v>88</v>
      </c>
      <c r="Q4" s="136">
        <v>2</v>
      </c>
      <c r="R4" s="137" t="s">
        <v>93</v>
      </c>
      <c r="S4" s="138"/>
      <c r="T4" s="139" t="s">
        <v>88</v>
      </c>
      <c r="U4" s="140">
        <v>2</v>
      </c>
      <c r="V4" s="141" t="s">
        <v>96</v>
      </c>
      <c r="W4" s="142"/>
      <c r="X4" s="143" t="s">
        <v>88</v>
      </c>
    </row>
    <row r="5" spans="1:24">
      <c r="A5" s="136">
        <v>3</v>
      </c>
      <c r="B5" s="137" t="s">
        <v>94</v>
      </c>
      <c r="C5" s="138"/>
      <c r="D5" s="154" t="s">
        <v>88</v>
      </c>
      <c r="E5" s="136">
        <v>3</v>
      </c>
      <c r="F5" s="137" t="s">
        <v>95</v>
      </c>
      <c r="G5" s="138"/>
      <c r="H5" s="151" t="s">
        <v>88</v>
      </c>
      <c r="I5" s="140">
        <v>3</v>
      </c>
      <c r="J5" s="141" t="s">
        <v>96</v>
      </c>
      <c r="K5" s="142"/>
      <c r="L5" s="143" t="s">
        <v>88</v>
      </c>
      <c r="M5" s="136">
        <v>3</v>
      </c>
      <c r="N5" s="137" t="s">
        <v>90</v>
      </c>
      <c r="O5" s="138"/>
      <c r="P5" s="139" t="s">
        <v>88</v>
      </c>
      <c r="Q5" s="136">
        <v>3</v>
      </c>
      <c r="R5" s="137" t="s">
        <v>95</v>
      </c>
      <c r="S5" s="138"/>
      <c r="T5" s="139" t="s">
        <v>88</v>
      </c>
      <c r="U5" s="136">
        <v>3</v>
      </c>
      <c r="V5" s="137" t="s">
        <v>92</v>
      </c>
      <c r="W5" s="138"/>
      <c r="X5" s="139">
        <v>1.2857142857142858</v>
      </c>
    </row>
    <row r="6" spans="1:24">
      <c r="A6" s="136">
        <v>4</v>
      </c>
      <c r="B6" s="137" t="s">
        <v>90</v>
      </c>
      <c r="C6" s="138"/>
      <c r="D6" s="154" t="s">
        <v>88</v>
      </c>
      <c r="E6" s="140">
        <v>4</v>
      </c>
      <c r="F6" s="141" t="s">
        <v>91</v>
      </c>
      <c r="G6" s="142"/>
      <c r="H6" s="152" t="s">
        <v>88</v>
      </c>
      <c r="I6" s="136">
        <v>4</v>
      </c>
      <c r="J6" s="137" t="s">
        <v>92</v>
      </c>
      <c r="K6" s="138"/>
      <c r="L6" s="139">
        <v>40.428571428571431</v>
      </c>
      <c r="M6" s="136">
        <v>4</v>
      </c>
      <c r="N6" s="137" t="s">
        <v>93</v>
      </c>
      <c r="O6" s="138"/>
      <c r="P6" s="139" t="s">
        <v>88</v>
      </c>
      <c r="Q6" s="140">
        <v>4</v>
      </c>
      <c r="R6" s="141" t="s">
        <v>91</v>
      </c>
      <c r="S6" s="142"/>
      <c r="T6" s="143" t="s">
        <v>88</v>
      </c>
      <c r="U6" s="136">
        <v>4</v>
      </c>
      <c r="V6" s="137" t="s">
        <v>94</v>
      </c>
      <c r="W6" s="138"/>
      <c r="X6" s="139" t="s">
        <v>88</v>
      </c>
    </row>
    <row r="7" spans="1:24">
      <c r="A7" s="136">
        <v>5</v>
      </c>
      <c r="B7" s="137" t="s">
        <v>93</v>
      </c>
      <c r="C7" s="138"/>
      <c r="D7" s="156" t="s">
        <v>88</v>
      </c>
      <c r="E7" s="140">
        <v>5</v>
      </c>
      <c r="F7" s="141" t="s">
        <v>96</v>
      </c>
      <c r="G7" s="142"/>
      <c r="H7" s="152" t="s">
        <v>88</v>
      </c>
      <c r="I7" s="136">
        <v>5</v>
      </c>
      <c r="J7" s="137" t="s">
        <v>94</v>
      </c>
      <c r="K7" s="138"/>
      <c r="L7" s="139" t="s">
        <v>88</v>
      </c>
      <c r="M7" s="136">
        <v>5</v>
      </c>
      <c r="N7" s="137" t="s">
        <v>95</v>
      </c>
      <c r="O7" s="138"/>
      <c r="P7" s="139" t="s">
        <v>88</v>
      </c>
      <c r="Q7" s="140">
        <v>5</v>
      </c>
      <c r="R7" s="141" t="s">
        <v>96</v>
      </c>
      <c r="S7" s="142"/>
      <c r="T7" s="143" t="s">
        <v>88</v>
      </c>
      <c r="U7" s="136">
        <v>5</v>
      </c>
      <c r="V7" s="137" t="s">
        <v>90</v>
      </c>
      <c r="W7" s="138"/>
      <c r="X7" s="139" t="s">
        <v>88</v>
      </c>
    </row>
    <row r="8" spans="1:24">
      <c r="A8" s="136">
        <v>6</v>
      </c>
      <c r="B8" s="137" t="s">
        <v>95</v>
      </c>
      <c r="C8" s="138"/>
      <c r="D8" s="156" t="s">
        <v>88</v>
      </c>
      <c r="E8" s="136">
        <v>6</v>
      </c>
      <c r="F8" s="137" t="s">
        <v>92</v>
      </c>
      <c r="G8" s="138"/>
      <c r="H8" s="151">
        <v>36.428571428571431</v>
      </c>
      <c r="I8" s="136">
        <v>6</v>
      </c>
      <c r="J8" s="137" t="s">
        <v>90</v>
      </c>
      <c r="K8" s="138"/>
      <c r="L8" s="139" t="s">
        <v>88</v>
      </c>
      <c r="M8" s="140">
        <v>6</v>
      </c>
      <c r="N8" s="141" t="s">
        <v>91</v>
      </c>
      <c r="O8" s="142"/>
      <c r="P8" s="143" t="s">
        <v>88</v>
      </c>
      <c r="Q8" s="136">
        <v>6</v>
      </c>
      <c r="R8" s="137" t="s">
        <v>92</v>
      </c>
      <c r="S8" s="138"/>
      <c r="T8" s="139">
        <v>49.428571428571431</v>
      </c>
      <c r="U8" s="136">
        <v>6</v>
      </c>
      <c r="V8" s="137" t="s">
        <v>93</v>
      </c>
      <c r="W8" s="138"/>
      <c r="X8" s="139" t="s">
        <v>88</v>
      </c>
    </row>
    <row r="9" spans="1:24">
      <c r="A9" s="140">
        <v>7</v>
      </c>
      <c r="B9" s="141" t="s">
        <v>91</v>
      </c>
      <c r="C9" s="142"/>
      <c r="D9" s="155" t="s">
        <v>88</v>
      </c>
      <c r="E9" s="136">
        <v>7</v>
      </c>
      <c r="F9" s="137" t="s">
        <v>94</v>
      </c>
      <c r="G9" s="138"/>
      <c r="H9" s="151" t="s">
        <v>88</v>
      </c>
      <c r="I9" s="136">
        <v>7</v>
      </c>
      <c r="J9" s="137" t="s">
        <v>93</v>
      </c>
      <c r="K9" s="138"/>
      <c r="L9" s="139" t="s">
        <v>88</v>
      </c>
      <c r="M9" s="140">
        <v>7</v>
      </c>
      <c r="N9" s="141" t="s">
        <v>96</v>
      </c>
      <c r="O9" s="142"/>
      <c r="P9" s="143" t="s">
        <v>88</v>
      </c>
      <c r="Q9" s="136">
        <v>7</v>
      </c>
      <c r="R9" s="137" t="s">
        <v>94</v>
      </c>
      <c r="S9" s="138"/>
      <c r="T9" s="139" t="s">
        <v>88</v>
      </c>
      <c r="U9" s="136">
        <v>7</v>
      </c>
      <c r="V9" s="137" t="s">
        <v>95</v>
      </c>
      <c r="W9" s="138"/>
      <c r="X9" s="139" t="s">
        <v>88</v>
      </c>
    </row>
    <row r="10" spans="1:24">
      <c r="A10" s="140">
        <v>8</v>
      </c>
      <c r="B10" s="141" t="s">
        <v>96</v>
      </c>
      <c r="C10" s="142"/>
      <c r="D10" s="157" t="s">
        <v>88</v>
      </c>
      <c r="E10" s="136">
        <v>8</v>
      </c>
      <c r="F10" s="137" t="s">
        <v>90</v>
      </c>
      <c r="G10" s="138"/>
      <c r="H10" s="151" t="s">
        <v>88</v>
      </c>
      <c r="I10" s="136">
        <v>8</v>
      </c>
      <c r="J10" s="137" t="s">
        <v>95</v>
      </c>
      <c r="K10" s="138"/>
      <c r="L10" s="139" t="s">
        <v>88</v>
      </c>
      <c r="M10" s="136">
        <v>8</v>
      </c>
      <c r="N10" s="137" t="s">
        <v>92</v>
      </c>
      <c r="O10" s="138"/>
      <c r="P10" s="139">
        <v>45.428571428571431</v>
      </c>
      <c r="Q10" s="136">
        <v>8</v>
      </c>
      <c r="R10" s="137" t="s">
        <v>90</v>
      </c>
      <c r="S10" s="138"/>
      <c r="T10" s="139" t="s">
        <v>88</v>
      </c>
      <c r="U10" s="140">
        <v>8</v>
      </c>
      <c r="V10" s="141" t="s">
        <v>91</v>
      </c>
      <c r="W10" s="142"/>
      <c r="X10" s="143" t="s">
        <v>88</v>
      </c>
    </row>
    <row r="11" spans="1:24">
      <c r="A11" s="136">
        <v>9</v>
      </c>
      <c r="B11" s="137" t="s">
        <v>92</v>
      </c>
      <c r="C11" s="138"/>
      <c r="D11" s="154">
        <v>32.428571428571431</v>
      </c>
      <c r="E11" s="136">
        <v>9</v>
      </c>
      <c r="F11" s="137" t="s">
        <v>93</v>
      </c>
      <c r="G11" s="138"/>
      <c r="H11" s="151" t="s">
        <v>88</v>
      </c>
      <c r="I11" s="140">
        <v>9</v>
      </c>
      <c r="J11" s="141" t="s">
        <v>91</v>
      </c>
      <c r="K11" s="142"/>
      <c r="L11" s="143" t="s">
        <v>88</v>
      </c>
      <c r="M11" s="136">
        <v>9</v>
      </c>
      <c r="N11" s="137" t="s">
        <v>94</v>
      </c>
      <c r="O11" s="138"/>
      <c r="P11" s="139" t="s">
        <v>88</v>
      </c>
      <c r="Q11" s="136">
        <v>9</v>
      </c>
      <c r="R11" s="137" t="s">
        <v>93</v>
      </c>
      <c r="S11" s="138"/>
      <c r="T11" s="139" t="s">
        <v>88</v>
      </c>
      <c r="U11" s="140">
        <v>9</v>
      </c>
      <c r="V11" s="141" t="s">
        <v>96</v>
      </c>
      <c r="W11" s="142"/>
      <c r="X11" s="143" t="s">
        <v>88</v>
      </c>
    </row>
    <row r="12" spans="1:24">
      <c r="A12" s="136">
        <v>10</v>
      </c>
      <c r="B12" s="137" t="s">
        <v>94</v>
      </c>
      <c r="C12" s="138"/>
      <c r="D12" s="154" t="s">
        <v>88</v>
      </c>
      <c r="E12" s="136">
        <v>10</v>
      </c>
      <c r="F12" s="137" t="s">
        <v>95</v>
      </c>
      <c r="G12" s="138"/>
      <c r="H12" s="151" t="s">
        <v>88</v>
      </c>
      <c r="I12" s="140">
        <v>10</v>
      </c>
      <c r="J12" s="141" t="s">
        <v>96</v>
      </c>
      <c r="K12" s="142"/>
      <c r="L12" s="143" t="s">
        <v>88</v>
      </c>
      <c r="M12" s="136">
        <v>10</v>
      </c>
      <c r="N12" s="137" t="s">
        <v>90</v>
      </c>
      <c r="O12" s="138"/>
      <c r="P12" s="139" t="s">
        <v>88</v>
      </c>
      <c r="Q12" s="136">
        <v>10</v>
      </c>
      <c r="R12" s="137" t="s">
        <v>95</v>
      </c>
      <c r="S12" s="138"/>
      <c r="T12" s="139" t="s">
        <v>88</v>
      </c>
      <c r="U12" s="136">
        <v>10</v>
      </c>
      <c r="V12" s="137" t="s">
        <v>92</v>
      </c>
      <c r="W12" s="138"/>
      <c r="X12" s="139">
        <v>2.2857142857142856</v>
      </c>
    </row>
    <row r="13" spans="1:24">
      <c r="A13" s="136">
        <v>11</v>
      </c>
      <c r="B13" s="137" t="s">
        <v>90</v>
      </c>
      <c r="C13" s="138"/>
      <c r="D13" s="154" t="s">
        <v>88</v>
      </c>
      <c r="E13" s="140">
        <v>11</v>
      </c>
      <c r="F13" s="141" t="s">
        <v>91</v>
      </c>
      <c r="G13" s="142"/>
      <c r="H13" s="152" t="s">
        <v>88</v>
      </c>
      <c r="I13" s="136">
        <v>11</v>
      </c>
      <c r="J13" s="137" t="s">
        <v>92</v>
      </c>
      <c r="K13" s="138"/>
      <c r="L13" s="139">
        <v>41.428571428571431</v>
      </c>
      <c r="M13" s="136">
        <v>11</v>
      </c>
      <c r="N13" s="137" t="s">
        <v>93</v>
      </c>
      <c r="O13" s="138"/>
      <c r="P13" s="139" t="s">
        <v>88</v>
      </c>
      <c r="Q13" s="140">
        <v>11</v>
      </c>
      <c r="R13" s="141" t="s">
        <v>91</v>
      </c>
      <c r="S13" s="142"/>
      <c r="T13" s="143" t="s">
        <v>88</v>
      </c>
      <c r="U13" s="136">
        <v>11</v>
      </c>
      <c r="V13" s="137" t="s">
        <v>94</v>
      </c>
      <c r="W13" s="138"/>
      <c r="X13" s="139" t="s">
        <v>88</v>
      </c>
    </row>
    <row r="14" spans="1:24">
      <c r="A14" s="136">
        <v>12</v>
      </c>
      <c r="B14" s="137" t="s">
        <v>93</v>
      </c>
      <c r="C14" s="138"/>
      <c r="D14" s="156" t="s">
        <v>88</v>
      </c>
      <c r="E14" s="140">
        <v>12</v>
      </c>
      <c r="F14" s="141" t="s">
        <v>96</v>
      </c>
      <c r="G14" s="142"/>
      <c r="H14" s="152" t="s">
        <v>88</v>
      </c>
      <c r="I14" s="136">
        <v>12</v>
      </c>
      <c r="J14" s="137" t="s">
        <v>94</v>
      </c>
      <c r="K14" s="138"/>
      <c r="L14" s="139" t="s">
        <v>88</v>
      </c>
      <c r="M14" s="136">
        <v>12</v>
      </c>
      <c r="N14" s="137" t="s">
        <v>95</v>
      </c>
      <c r="O14" s="138"/>
      <c r="P14" s="139" t="s">
        <v>88</v>
      </c>
      <c r="Q14" s="140">
        <v>12</v>
      </c>
      <c r="R14" s="141" t="s">
        <v>96</v>
      </c>
      <c r="S14" s="142"/>
      <c r="T14" s="143" t="s">
        <v>88</v>
      </c>
      <c r="U14" s="136">
        <v>12</v>
      </c>
      <c r="V14" s="137" t="s">
        <v>90</v>
      </c>
      <c r="W14" s="138"/>
      <c r="X14" s="139" t="s">
        <v>88</v>
      </c>
    </row>
    <row r="15" spans="1:24">
      <c r="A15" s="136">
        <v>13</v>
      </c>
      <c r="B15" s="137" t="s">
        <v>95</v>
      </c>
      <c r="C15" s="138"/>
      <c r="D15" s="156" t="s">
        <v>88</v>
      </c>
      <c r="E15" s="136">
        <v>13</v>
      </c>
      <c r="F15" s="137" t="s">
        <v>92</v>
      </c>
      <c r="G15" s="138"/>
      <c r="H15" s="151">
        <v>37.428571428571431</v>
      </c>
      <c r="I15" s="136">
        <v>13</v>
      </c>
      <c r="J15" s="137" t="s">
        <v>90</v>
      </c>
      <c r="K15" s="138"/>
      <c r="L15" s="139" t="s">
        <v>88</v>
      </c>
      <c r="M15" s="140">
        <v>13</v>
      </c>
      <c r="N15" s="141" t="s">
        <v>91</v>
      </c>
      <c r="O15" s="142"/>
      <c r="P15" s="143" t="s">
        <v>88</v>
      </c>
      <c r="Q15" s="136">
        <v>13</v>
      </c>
      <c r="R15" s="137" t="s">
        <v>92</v>
      </c>
      <c r="S15" s="138"/>
      <c r="T15" s="139">
        <v>50.428571428571431</v>
      </c>
      <c r="U15" s="136">
        <v>13</v>
      </c>
      <c r="V15" s="137" t="s">
        <v>93</v>
      </c>
      <c r="W15" s="138"/>
      <c r="X15" s="139" t="s">
        <v>88</v>
      </c>
    </row>
    <row r="16" spans="1:24">
      <c r="A16" s="140">
        <v>14</v>
      </c>
      <c r="B16" s="141" t="s">
        <v>91</v>
      </c>
      <c r="C16" s="142"/>
      <c r="D16" s="155" t="s">
        <v>88</v>
      </c>
      <c r="E16" s="136">
        <v>14</v>
      </c>
      <c r="F16" s="137" t="s">
        <v>94</v>
      </c>
      <c r="G16" s="138"/>
      <c r="H16" s="151" t="s">
        <v>88</v>
      </c>
      <c r="I16" s="136">
        <v>14</v>
      </c>
      <c r="J16" s="137" t="s">
        <v>93</v>
      </c>
      <c r="K16" s="138"/>
      <c r="L16" s="139" t="s">
        <v>88</v>
      </c>
      <c r="M16" s="140">
        <v>14</v>
      </c>
      <c r="N16" s="141" t="s">
        <v>96</v>
      </c>
      <c r="O16" s="142"/>
      <c r="P16" s="143" t="s">
        <v>88</v>
      </c>
      <c r="Q16" s="136">
        <v>14</v>
      </c>
      <c r="R16" s="137" t="s">
        <v>94</v>
      </c>
      <c r="S16" s="138"/>
      <c r="T16" s="139" t="s">
        <v>88</v>
      </c>
      <c r="U16" s="136">
        <v>14</v>
      </c>
      <c r="V16" s="137" t="s">
        <v>95</v>
      </c>
      <c r="W16" s="138"/>
      <c r="X16" s="139" t="s">
        <v>88</v>
      </c>
    </row>
    <row r="17" spans="1:24">
      <c r="A17" s="140">
        <v>15</v>
      </c>
      <c r="B17" s="141" t="s">
        <v>96</v>
      </c>
      <c r="C17" s="142"/>
      <c r="D17" s="157" t="s">
        <v>88</v>
      </c>
      <c r="E17" s="136">
        <v>15</v>
      </c>
      <c r="F17" s="137" t="s">
        <v>90</v>
      </c>
      <c r="G17" s="138"/>
      <c r="H17" s="151" t="s">
        <v>88</v>
      </c>
      <c r="I17" s="136">
        <v>15</v>
      </c>
      <c r="J17" s="137" t="s">
        <v>95</v>
      </c>
      <c r="K17" s="138"/>
      <c r="L17" s="139" t="s">
        <v>88</v>
      </c>
      <c r="M17" s="136">
        <v>15</v>
      </c>
      <c r="N17" s="137" t="s">
        <v>92</v>
      </c>
      <c r="O17" s="138"/>
      <c r="P17" s="139">
        <v>46.428571428571431</v>
      </c>
      <c r="Q17" s="136">
        <v>15</v>
      </c>
      <c r="R17" s="137" t="s">
        <v>90</v>
      </c>
      <c r="S17" s="138"/>
      <c r="T17" s="139" t="s">
        <v>88</v>
      </c>
      <c r="U17" s="140">
        <v>15</v>
      </c>
      <c r="V17" s="141" t="s">
        <v>91</v>
      </c>
      <c r="W17" s="142"/>
      <c r="X17" s="143" t="s">
        <v>88</v>
      </c>
    </row>
    <row r="18" spans="1:24">
      <c r="A18" s="136">
        <v>16</v>
      </c>
      <c r="B18" s="137" t="s">
        <v>92</v>
      </c>
      <c r="C18" s="138"/>
      <c r="D18" s="154">
        <v>33.428571428571431</v>
      </c>
      <c r="E18" s="136">
        <v>16</v>
      </c>
      <c r="F18" s="137" t="s">
        <v>93</v>
      </c>
      <c r="G18" s="138"/>
      <c r="H18" s="151" t="s">
        <v>88</v>
      </c>
      <c r="I18" s="140">
        <v>16</v>
      </c>
      <c r="J18" s="141" t="s">
        <v>91</v>
      </c>
      <c r="K18" s="142"/>
      <c r="L18" s="143" t="s">
        <v>88</v>
      </c>
      <c r="M18" s="136">
        <v>16</v>
      </c>
      <c r="N18" s="137" t="s">
        <v>94</v>
      </c>
      <c r="O18" s="138"/>
      <c r="P18" s="139" t="s">
        <v>88</v>
      </c>
      <c r="Q18" s="136">
        <v>16</v>
      </c>
      <c r="R18" s="137" t="s">
        <v>93</v>
      </c>
      <c r="S18" s="138"/>
      <c r="T18" s="139" t="s">
        <v>88</v>
      </c>
      <c r="U18" s="140">
        <v>16</v>
      </c>
      <c r="V18" s="141" t="s">
        <v>96</v>
      </c>
      <c r="W18" s="142"/>
      <c r="X18" s="143" t="s">
        <v>88</v>
      </c>
    </row>
    <row r="19" spans="1:24">
      <c r="A19" s="136">
        <v>17</v>
      </c>
      <c r="B19" s="137" t="s">
        <v>94</v>
      </c>
      <c r="C19" s="138"/>
      <c r="D19" s="154" t="s">
        <v>88</v>
      </c>
      <c r="E19" s="136">
        <v>17</v>
      </c>
      <c r="F19" s="137" t="s">
        <v>95</v>
      </c>
      <c r="G19" s="138"/>
      <c r="H19" s="151" t="s">
        <v>88</v>
      </c>
      <c r="I19" s="140">
        <v>17</v>
      </c>
      <c r="J19" s="141" t="s">
        <v>96</v>
      </c>
      <c r="K19" s="142"/>
      <c r="L19" s="143" t="s">
        <v>88</v>
      </c>
      <c r="M19" s="136">
        <v>17</v>
      </c>
      <c r="N19" s="137" t="s">
        <v>90</v>
      </c>
      <c r="O19" s="138"/>
      <c r="P19" s="139" t="s">
        <v>88</v>
      </c>
      <c r="Q19" s="136">
        <v>17</v>
      </c>
      <c r="R19" s="137" t="s">
        <v>95</v>
      </c>
      <c r="S19" s="138"/>
      <c r="T19" s="139" t="s">
        <v>88</v>
      </c>
      <c r="U19" s="136">
        <v>17</v>
      </c>
      <c r="V19" s="137" t="s">
        <v>92</v>
      </c>
      <c r="W19" s="138"/>
      <c r="X19" s="139">
        <v>3.2857142857142856</v>
      </c>
    </row>
    <row r="20" spans="1:24">
      <c r="A20" s="136">
        <v>18</v>
      </c>
      <c r="B20" s="137" t="s">
        <v>90</v>
      </c>
      <c r="C20" s="138"/>
      <c r="D20" s="154" t="s">
        <v>88</v>
      </c>
      <c r="E20" s="140">
        <v>18</v>
      </c>
      <c r="F20" s="141" t="s">
        <v>91</v>
      </c>
      <c r="G20" s="142"/>
      <c r="H20" s="152" t="s">
        <v>88</v>
      </c>
      <c r="I20" s="136">
        <v>18</v>
      </c>
      <c r="J20" s="137" t="s">
        <v>92</v>
      </c>
      <c r="K20" s="138"/>
      <c r="L20" s="139">
        <v>42.428571428571431</v>
      </c>
      <c r="M20" s="136">
        <v>18</v>
      </c>
      <c r="N20" s="137" t="s">
        <v>93</v>
      </c>
      <c r="O20" s="138"/>
      <c r="P20" s="139" t="s">
        <v>88</v>
      </c>
      <c r="Q20" s="140">
        <v>18</v>
      </c>
      <c r="R20" s="141" t="s">
        <v>91</v>
      </c>
      <c r="S20" s="142"/>
      <c r="T20" s="143" t="s">
        <v>88</v>
      </c>
      <c r="U20" s="136">
        <v>18</v>
      </c>
      <c r="V20" s="137" t="s">
        <v>94</v>
      </c>
      <c r="W20" s="138"/>
      <c r="X20" s="139" t="s">
        <v>88</v>
      </c>
    </row>
    <row r="21" spans="1:24">
      <c r="A21" s="136">
        <v>19</v>
      </c>
      <c r="B21" s="137" t="s">
        <v>93</v>
      </c>
      <c r="C21" s="138"/>
      <c r="D21" s="156" t="s">
        <v>88</v>
      </c>
      <c r="E21" s="140">
        <v>19</v>
      </c>
      <c r="F21" s="141" t="s">
        <v>96</v>
      </c>
      <c r="G21" s="142"/>
      <c r="H21" s="152" t="s">
        <v>88</v>
      </c>
      <c r="I21" s="136">
        <v>19</v>
      </c>
      <c r="J21" s="137" t="s">
        <v>94</v>
      </c>
      <c r="K21" s="138"/>
      <c r="L21" s="139" t="s">
        <v>88</v>
      </c>
      <c r="M21" s="136">
        <v>19</v>
      </c>
      <c r="N21" s="137" t="s">
        <v>95</v>
      </c>
      <c r="O21" s="138"/>
      <c r="P21" s="139" t="s">
        <v>88</v>
      </c>
      <c r="Q21" s="140">
        <v>19</v>
      </c>
      <c r="R21" s="141" t="s">
        <v>96</v>
      </c>
      <c r="S21" s="142"/>
      <c r="T21" s="143" t="s">
        <v>88</v>
      </c>
      <c r="U21" s="136">
        <v>19</v>
      </c>
      <c r="V21" s="137" t="s">
        <v>90</v>
      </c>
      <c r="W21" s="138"/>
      <c r="X21" s="139" t="s">
        <v>88</v>
      </c>
    </row>
    <row r="22" spans="1:24">
      <c r="A22" s="136">
        <v>20</v>
      </c>
      <c r="B22" s="137" t="s">
        <v>95</v>
      </c>
      <c r="C22" s="138"/>
      <c r="D22" s="156" t="s">
        <v>88</v>
      </c>
      <c r="E22" s="136">
        <v>20</v>
      </c>
      <c r="F22" s="137" t="s">
        <v>92</v>
      </c>
      <c r="G22" s="138"/>
      <c r="H22" s="151">
        <v>38.428571428571431</v>
      </c>
      <c r="I22" s="136">
        <v>20</v>
      </c>
      <c r="J22" s="137" t="s">
        <v>90</v>
      </c>
      <c r="K22" s="138"/>
      <c r="L22" s="139" t="s">
        <v>88</v>
      </c>
      <c r="M22" s="140">
        <v>20</v>
      </c>
      <c r="N22" s="141" t="s">
        <v>91</v>
      </c>
      <c r="O22" s="142"/>
      <c r="P22" s="143" t="s">
        <v>88</v>
      </c>
      <c r="Q22" s="136">
        <v>20</v>
      </c>
      <c r="R22" s="137" t="s">
        <v>92</v>
      </c>
      <c r="S22" s="138"/>
      <c r="T22" s="139">
        <v>51.428571428571431</v>
      </c>
      <c r="U22" s="136">
        <v>20</v>
      </c>
      <c r="V22" s="137" t="s">
        <v>93</v>
      </c>
      <c r="W22" s="138"/>
      <c r="X22" s="139" t="s">
        <v>88</v>
      </c>
    </row>
    <row r="23" spans="1:24">
      <c r="A23" s="140">
        <v>21</v>
      </c>
      <c r="B23" s="141" t="s">
        <v>91</v>
      </c>
      <c r="C23" s="142"/>
      <c r="D23" s="155" t="s">
        <v>88</v>
      </c>
      <c r="E23" s="136">
        <v>21</v>
      </c>
      <c r="F23" s="137" t="s">
        <v>94</v>
      </c>
      <c r="G23" s="138"/>
      <c r="H23" s="151" t="s">
        <v>88</v>
      </c>
      <c r="I23" s="136">
        <v>21</v>
      </c>
      <c r="J23" s="137" t="s">
        <v>93</v>
      </c>
      <c r="K23" s="138"/>
      <c r="L23" s="139" t="s">
        <v>88</v>
      </c>
      <c r="M23" s="140">
        <v>21</v>
      </c>
      <c r="N23" s="141" t="s">
        <v>96</v>
      </c>
      <c r="O23" s="142"/>
      <c r="P23" s="143" t="s">
        <v>88</v>
      </c>
      <c r="Q23" s="136">
        <v>21</v>
      </c>
      <c r="R23" s="137" t="s">
        <v>94</v>
      </c>
      <c r="S23" s="138"/>
      <c r="T23" s="139" t="s">
        <v>88</v>
      </c>
      <c r="U23" s="136">
        <v>21</v>
      </c>
      <c r="V23" s="137" t="s">
        <v>95</v>
      </c>
      <c r="W23" s="138"/>
      <c r="X23" s="139" t="s">
        <v>88</v>
      </c>
    </row>
    <row r="24" spans="1:24">
      <c r="A24" s="140">
        <v>22</v>
      </c>
      <c r="B24" s="141" t="s">
        <v>96</v>
      </c>
      <c r="C24" s="142"/>
      <c r="D24" s="155" t="s">
        <v>88</v>
      </c>
      <c r="E24" s="136">
        <v>22</v>
      </c>
      <c r="F24" s="137" t="s">
        <v>90</v>
      </c>
      <c r="G24" s="138"/>
      <c r="H24" s="151" t="s">
        <v>88</v>
      </c>
      <c r="I24" s="136">
        <v>22</v>
      </c>
      <c r="J24" s="137" t="s">
        <v>95</v>
      </c>
      <c r="K24" s="138"/>
      <c r="L24" s="139" t="s">
        <v>88</v>
      </c>
      <c r="M24" s="136">
        <v>22</v>
      </c>
      <c r="N24" s="137" t="s">
        <v>92</v>
      </c>
      <c r="O24" s="138"/>
      <c r="P24" s="139">
        <v>47.428571428571431</v>
      </c>
      <c r="Q24" s="136">
        <v>22</v>
      </c>
      <c r="R24" s="137" t="s">
        <v>90</v>
      </c>
      <c r="S24" s="138"/>
      <c r="T24" s="139" t="s">
        <v>88</v>
      </c>
      <c r="U24" s="140">
        <v>22</v>
      </c>
      <c r="V24" s="141" t="s">
        <v>91</v>
      </c>
      <c r="W24" s="142"/>
      <c r="X24" s="143" t="s">
        <v>88</v>
      </c>
    </row>
    <row r="25" spans="1:24">
      <c r="A25" s="136">
        <v>23</v>
      </c>
      <c r="B25" s="137" t="s">
        <v>92</v>
      </c>
      <c r="C25" s="138"/>
      <c r="D25" s="156">
        <v>34.428571428571431</v>
      </c>
      <c r="E25" s="136">
        <v>23</v>
      </c>
      <c r="F25" s="137" t="s">
        <v>93</v>
      </c>
      <c r="G25" s="138"/>
      <c r="H25" s="151" t="s">
        <v>88</v>
      </c>
      <c r="I25" s="140">
        <v>23</v>
      </c>
      <c r="J25" s="141" t="s">
        <v>91</v>
      </c>
      <c r="K25" s="142"/>
      <c r="L25" s="143" t="s">
        <v>88</v>
      </c>
      <c r="M25" s="136">
        <v>23</v>
      </c>
      <c r="N25" s="137" t="s">
        <v>94</v>
      </c>
      <c r="O25" s="138"/>
      <c r="P25" s="139" t="s">
        <v>88</v>
      </c>
      <c r="Q25" s="136">
        <v>23</v>
      </c>
      <c r="R25" s="137" t="s">
        <v>93</v>
      </c>
      <c r="S25" s="138"/>
      <c r="T25" s="139" t="s">
        <v>88</v>
      </c>
      <c r="U25" s="140">
        <v>23</v>
      </c>
      <c r="V25" s="141" t="s">
        <v>96</v>
      </c>
      <c r="W25" s="142"/>
      <c r="X25" s="143" t="s">
        <v>88</v>
      </c>
    </row>
    <row r="26" spans="1:24">
      <c r="A26" s="136">
        <v>24</v>
      </c>
      <c r="B26" s="137" t="s">
        <v>94</v>
      </c>
      <c r="C26" s="138"/>
      <c r="D26" s="156" t="s">
        <v>88</v>
      </c>
      <c r="E26" s="136">
        <v>24</v>
      </c>
      <c r="F26" s="137" t="s">
        <v>95</v>
      </c>
      <c r="G26" s="138"/>
      <c r="H26" s="151" t="s">
        <v>88</v>
      </c>
      <c r="I26" s="140">
        <v>24</v>
      </c>
      <c r="J26" s="141" t="s">
        <v>96</v>
      </c>
      <c r="K26" s="142"/>
      <c r="L26" s="143" t="s">
        <v>88</v>
      </c>
      <c r="M26" s="136">
        <v>24</v>
      </c>
      <c r="N26" s="137" t="s">
        <v>90</v>
      </c>
      <c r="O26" s="138"/>
      <c r="P26" s="139" t="s">
        <v>88</v>
      </c>
      <c r="Q26" s="136">
        <v>24</v>
      </c>
      <c r="R26" s="137" t="s">
        <v>95</v>
      </c>
      <c r="S26" s="138"/>
      <c r="T26" s="139" t="s">
        <v>88</v>
      </c>
      <c r="U26" s="136">
        <v>24</v>
      </c>
      <c r="V26" s="137" t="s">
        <v>92</v>
      </c>
      <c r="W26" s="138"/>
      <c r="X26" s="139">
        <v>4.2857142857142856</v>
      </c>
    </row>
    <row r="27" spans="1:24">
      <c r="A27" s="136">
        <v>25</v>
      </c>
      <c r="B27" s="137" t="s">
        <v>90</v>
      </c>
      <c r="C27" s="138"/>
      <c r="D27" s="156" t="s">
        <v>88</v>
      </c>
      <c r="E27" s="140">
        <v>25</v>
      </c>
      <c r="F27" s="141" t="s">
        <v>91</v>
      </c>
      <c r="G27" s="142"/>
      <c r="H27" s="152" t="s">
        <v>88</v>
      </c>
      <c r="I27" s="136">
        <v>25</v>
      </c>
      <c r="J27" s="137" t="s">
        <v>92</v>
      </c>
      <c r="K27" s="138"/>
      <c r="L27" s="139">
        <v>43.428571428571431</v>
      </c>
      <c r="M27" s="136">
        <v>25</v>
      </c>
      <c r="N27" s="137" t="s">
        <v>93</v>
      </c>
      <c r="O27" s="138"/>
      <c r="P27" s="139" t="s">
        <v>88</v>
      </c>
      <c r="Q27" s="140">
        <v>25</v>
      </c>
      <c r="R27" s="141" t="s">
        <v>91</v>
      </c>
      <c r="S27" s="142"/>
      <c r="T27" s="143" t="s">
        <v>88</v>
      </c>
      <c r="U27" s="136">
        <v>25</v>
      </c>
      <c r="V27" s="137" t="s">
        <v>94</v>
      </c>
      <c r="W27" s="138"/>
      <c r="X27" s="139" t="s">
        <v>88</v>
      </c>
    </row>
    <row r="28" spans="1:24">
      <c r="A28" s="136">
        <v>26</v>
      </c>
      <c r="B28" s="137" t="s">
        <v>93</v>
      </c>
      <c r="C28" s="138"/>
      <c r="D28" s="156" t="s">
        <v>88</v>
      </c>
      <c r="E28" s="140">
        <v>26</v>
      </c>
      <c r="F28" s="141" t="s">
        <v>96</v>
      </c>
      <c r="G28" s="142"/>
      <c r="H28" s="152" t="s">
        <v>88</v>
      </c>
      <c r="I28" s="136">
        <v>26</v>
      </c>
      <c r="J28" s="137" t="s">
        <v>94</v>
      </c>
      <c r="K28" s="138"/>
      <c r="L28" s="139" t="s">
        <v>88</v>
      </c>
      <c r="M28" s="136">
        <v>26</v>
      </c>
      <c r="N28" s="137" t="s">
        <v>95</v>
      </c>
      <c r="O28" s="138"/>
      <c r="P28" s="139" t="s">
        <v>88</v>
      </c>
      <c r="Q28" s="140">
        <v>26</v>
      </c>
      <c r="R28" s="141" t="s">
        <v>96</v>
      </c>
      <c r="S28" s="142"/>
      <c r="T28" s="143" t="s">
        <v>88</v>
      </c>
      <c r="U28" s="136">
        <v>26</v>
      </c>
      <c r="V28" s="137" t="s">
        <v>90</v>
      </c>
      <c r="W28" s="138"/>
      <c r="X28" s="139" t="s">
        <v>88</v>
      </c>
    </row>
    <row r="29" spans="1:24">
      <c r="A29" s="136">
        <v>27</v>
      </c>
      <c r="B29" s="137" t="s">
        <v>95</v>
      </c>
      <c r="C29" s="138"/>
      <c r="D29" s="156" t="s">
        <v>88</v>
      </c>
      <c r="E29" s="136">
        <v>27</v>
      </c>
      <c r="F29" s="137" t="s">
        <v>92</v>
      </c>
      <c r="G29" s="138"/>
      <c r="H29" s="151">
        <v>39.428571428571431</v>
      </c>
      <c r="I29" s="136">
        <v>27</v>
      </c>
      <c r="J29" s="137" t="s">
        <v>90</v>
      </c>
      <c r="K29" s="138"/>
      <c r="L29" s="139" t="s">
        <v>88</v>
      </c>
      <c r="M29" s="140">
        <v>27</v>
      </c>
      <c r="N29" s="141" t="s">
        <v>91</v>
      </c>
      <c r="O29" s="142"/>
      <c r="P29" s="143" t="s">
        <v>88</v>
      </c>
      <c r="Q29" s="136">
        <v>27</v>
      </c>
      <c r="R29" s="137" t="s">
        <v>92</v>
      </c>
      <c r="S29" s="138"/>
      <c r="T29" s="139">
        <v>52.428571428571431</v>
      </c>
      <c r="U29" s="136">
        <v>27</v>
      </c>
      <c r="V29" s="137" t="s">
        <v>93</v>
      </c>
      <c r="W29" s="138"/>
      <c r="X29" s="139" t="s">
        <v>88</v>
      </c>
    </row>
    <row r="30" spans="1:24">
      <c r="A30" s="140">
        <v>28</v>
      </c>
      <c r="B30" s="141" t="s">
        <v>91</v>
      </c>
      <c r="C30" s="142"/>
      <c r="D30" s="155" t="s">
        <v>88</v>
      </c>
      <c r="E30" s="136">
        <v>28</v>
      </c>
      <c r="F30" s="137" t="s">
        <v>94</v>
      </c>
      <c r="G30" s="138"/>
      <c r="H30" s="151" t="s">
        <v>88</v>
      </c>
      <c r="I30" s="136">
        <v>28</v>
      </c>
      <c r="J30" s="137" t="s">
        <v>93</v>
      </c>
      <c r="K30" s="138"/>
      <c r="L30" s="139" t="s">
        <v>88</v>
      </c>
      <c r="M30" s="140">
        <v>28</v>
      </c>
      <c r="N30" s="141" t="s">
        <v>96</v>
      </c>
      <c r="O30" s="142"/>
      <c r="P30" s="143" t="s">
        <v>88</v>
      </c>
      <c r="Q30" s="136">
        <v>28</v>
      </c>
      <c r="R30" s="137" t="s">
        <v>94</v>
      </c>
      <c r="S30" s="138"/>
      <c r="T30" s="139" t="s">
        <v>88</v>
      </c>
      <c r="U30" s="136">
        <v>28</v>
      </c>
      <c r="V30" s="137" t="s">
        <v>95</v>
      </c>
      <c r="W30" s="138"/>
      <c r="X30" s="139" t="s">
        <v>88</v>
      </c>
    </row>
    <row r="31" spans="1:24">
      <c r="A31" s="140">
        <v>29</v>
      </c>
      <c r="B31" s="141" t="s">
        <v>96</v>
      </c>
      <c r="C31" s="142"/>
      <c r="D31" s="157" t="s">
        <v>88</v>
      </c>
      <c r="E31" s="136">
        <v>29</v>
      </c>
      <c r="F31" s="137" t="s">
        <v>90</v>
      </c>
      <c r="G31" s="138"/>
      <c r="H31" s="151" t="s">
        <v>88</v>
      </c>
      <c r="I31" s="136">
        <v>29</v>
      </c>
      <c r="J31" s="137" t="s">
        <v>95</v>
      </c>
      <c r="K31" s="138"/>
      <c r="L31" s="139" t="s">
        <v>88</v>
      </c>
      <c r="M31" s="136">
        <v>29</v>
      </c>
      <c r="N31" s="137" t="s">
        <v>92</v>
      </c>
      <c r="O31" s="138"/>
      <c r="P31" s="139">
        <v>48.428571428571431</v>
      </c>
      <c r="Q31" s="136">
        <v>29</v>
      </c>
      <c r="R31" s="137" t="s">
        <v>90</v>
      </c>
      <c r="S31" s="138"/>
      <c r="T31" s="139" t="s">
        <v>88</v>
      </c>
      <c r="U31" s="140">
        <v>29</v>
      </c>
      <c r="V31" s="141" t="s">
        <v>91</v>
      </c>
      <c r="W31" s="142"/>
      <c r="X31" s="143" t="s">
        <v>88</v>
      </c>
    </row>
    <row r="32" spans="1:24">
      <c r="A32" s="136">
        <v>30</v>
      </c>
      <c r="B32" s="137" t="s">
        <v>92</v>
      </c>
      <c r="C32" s="138"/>
      <c r="D32" s="154">
        <v>35.428571428571431</v>
      </c>
      <c r="E32" s="136">
        <v>30</v>
      </c>
      <c r="F32" s="137" t="s">
        <v>93</v>
      </c>
      <c r="G32" s="138"/>
      <c r="H32" s="151" t="s">
        <v>88</v>
      </c>
      <c r="I32" s="140">
        <v>30</v>
      </c>
      <c r="J32" s="141" t="s">
        <v>91</v>
      </c>
      <c r="K32" s="142"/>
      <c r="L32" s="143" t="s">
        <v>88</v>
      </c>
      <c r="M32" s="136">
        <v>30</v>
      </c>
      <c r="N32" s="137" t="s">
        <v>94</v>
      </c>
      <c r="O32" s="138"/>
      <c r="P32" s="139" t="s">
        <v>88</v>
      </c>
      <c r="Q32" s="136">
        <v>30</v>
      </c>
      <c r="R32" s="137" t="s">
        <v>93</v>
      </c>
      <c r="S32" s="138"/>
      <c r="T32" s="139"/>
      <c r="U32" s="140">
        <v>30</v>
      </c>
      <c r="V32" s="141" t="s">
        <v>96</v>
      </c>
      <c r="W32" s="142"/>
      <c r="X32" s="143" t="s">
        <v>88</v>
      </c>
    </row>
    <row r="33" spans="1:24">
      <c r="A33" s="136">
        <v>31</v>
      </c>
      <c r="B33" s="137" t="s">
        <v>94</v>
      </c>
      <c r="C33" s="138"/>
      <c r="D33" s="154" t="s">
        <v>88</v>
      </c>
      <c r="E33" s="122"/>
      <c r="F33" s="123"/>
      <c r="G33" s="124"/>
      <c r="H33" s="153"/>
      <c r="I33" s="144">
        <v>31</v>
      </c>
      <c r="J33" s="145" t="s">
        <v>96</v>
      </c>
      <c r="K33" s="146"/>
      <c r="L33" s="147" t="s">
        <v>88</v>
      </c>
      <c r="M33" s="122"/>
      <c r="N33" s="123"/>
      <c r="O33" s="124"/>
      <c r="P33" s="89"/>
      <c r="Q33" s="148">
        <v>31</v>
      </c>
      <c r="R33" s="149" t="s">
        <v>95</v>
      </c>
      <c r="S33" s="158"/>
      <c r="T33" s="150" t="s">
        <v>88</v>
      </c>
      <c r="U33" s="148">
        <v>31</v>
      </c>
      <c r="V33" s="149" t="s">
        <v>92</v>
      </c>
      <c r="W33" s="135"/>
      <c r="X33" s="150">
        <v>5.2857142857142856</v>
      </c>
    </row>
  </sheetData>
  <mergeCells count="1">
    <mergeCell ref="A1:X1"/>
  </mergeCells>
  <pageMargins left="0.7" right="0.7" top="0.75" bottom="0.75" header="0.3" footer="0.3"/>
  <pageSetup paperSize="9" scale="6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X33"/>
  <sheetViews>
    <sheetView workbookViewId="0">
      <selection sqref="A1:X1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18" t="str">
        <f>'TOMT ÅR'!A1</f>
        <v>Årskalender for Min egen skole 2027-2028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20"/>
    </row>
    <row r="2" spans="1:24" ht="18">
      <c r="A2" s="121" t="s">
        <v>54</v>
      </c>
      <c r="B2" s="118"/>
      <c r="C2" s="119"/>
      <c r="D2" s="120"/>
      <c r="E2" s="117" t="s">
        <v>55</v>
      </c>
      <c r="F2" s="118"/>
      <c r="G2" s="119"/>
      <c r="H2" s="120"/>
      <c r="I2" s="117" t="s">
        <v>56</v>
      </c>
      <c r="J2" s="118"/>
      <c r="K2" s="119"/>
      <c r="L2" s="120"/>
      <c r="M2" s="117" t="s">
        <v>57</v>
      </c>
      <c r="N2" s="118"/>
      <c r="O2" s="119"/>
      <c r="P2" s="120"/>
      <c r="Q2" s="117" t="s">
        <v>58</v>
      </c>
      <c r="R2" s="118"/>
      <c r="S2" s="119"/>
      <c r="T2" s="120"/>
      <c r="U2" s="117" t="s">
        <v>59</v>
      </c>
      <c r="V2" s="118"/>
      <c r="W2" s="119"/>
      <c r="X2" s="120"/>
    </row>
    <row r="3" spans="1:24">
      <c r="A3" s="136">
        <v>1</v>
      </c>
      <c r="B3" s="137" t="s">
        <v>94</v>
      </c>
      <c r="C3" s="138"/>
      <c r="D3" s="151" t="s">
        <v>88</v>
      </c>
      <c r="E3" s="136">
        <v>1</v>
      </c>
      <c r="F3" s="137" t="s">
        <v>90</v>
      </c>
      <c r="G3" s="138"/>
      <c r="H3" s="139" t="s">
        <v>88</v>
      </c>
      <c r="I3" s="140">
        <v>1</v>
      </c>
      <c r="J3" s="141" t="s">
        <v>91</v>
      </c>
      <c r="K3" s="142"/>
      <c r="L3" s="152" t="s">
        <v>88</v>
      </c>
      <c r="M3" s="136">
        <v>1</v>
      </c>
      <c r="N3" s="137" t="s">
        <v>92</v>
      </c>
      <c r="O3" s="138"/>
      <c r="P3" s="139">
        <v>18.285714285714285</v>
      </c>
      <c r="Q3" s="136">
        <v>1</v>
      </c>
      <c r="R3" s="137" t="s">
        <v>93</v>
      </c>
      <c r="S3" s="138"/>
      <c r="T3" s="151" t="s">
        <v>88</v>
      </c>
      <c r="U3" s="140">
        <v>1</v>
      </c>
      <c r="V3" s="141" t="s">
        <v>91</v>
      </c>
      <c r="W3" s="142"/>
      <c r="X3" s="143" t="s">
        <v>88</v>
      </c>
    </row>
    <row r="4" spans="1:24">
      <c r="A4" s="136">
        <v>2</v>
      </c>
      <c r="B4" s="137" t="s">
        <v>90</v>
      </c>
      <c r="C4" s="138"/>
      <c r="D4" s="151" t="s">
        <v>88</v>
      </c>
      <c r="E4" s="136">
        <v>2</v>
      </c>
      <c r="F4" s="137" t="s">
        <v>93</v>
      </c>
      <c r="G4" s="138"/>
      <c r="H4" s="139" t="s">
        <v>88</v>
      </c>
      <c r="I4" s="140">
        <v>2</v>
      </c>
      <c r="J4" s="141" t="s">
        <v>96</v>
      </c>
      <c r="K4" s="142"/>
      <c r="L4" s="152" t="s">
        <v>88</v>
      </c>
      <c r="M4" s="136">
        <v>2</v>
      </c>
      <c r="N4" s="137" t="s">
        <v>94</v>
      </c>
      <c r="O4" s="138"/>
      <c r="P4" s="139" t="s">
        <v>88</v>
      </c>
      <c r="Q4" s="136">
        <v>2</v>
      </c>
      <c r="R4" s="137" t="s">
        <v>95</v>
      </c>
      <c r="S4" s="138"/>
      <c r="T4" s="151" t="s">
        <v>88</v>
      </c>
      <c r="U4" s="140">
        <v>2</v>
      </c>
      <c r="V4" s="141" t="s">
        <v>96</v>
      </c>
      <c r="W4" s="142"/>
      <c r="X4" s="143" t="s">
        <v>88</v>
      </c>
    </row>
    <row r="5" spans="1:24">
      <c r="A5" s="136">
        <v>3</v>
      </c>
      <c r="B5" s="137" t="s">
        <v>93</v>
      </c>
      <c r="C5" s="138"/>
      <c r="D5" s="151" t="s">
        <v>88</v>
      </c>
      <c r="E5" s="136">
        <v>3</v>
      </c>
      <c r="F5" s="137" t="s">
        <v>95</v>
      </c>
      <c r="G5" s="138"/>
      <c r="H5" s="139" t="s">
        <v>88</v>
      </c>
      <c r="I5" s="136">
        <v>3</v>
      </c>
      <c r="J5" s="137" t="s">
        <v>92</v>
      </c>
      <c r="K5" s="138"/>
      <c r="L5" s="151">
        <v>14.285714285714286</v>
      </c>
      <c r="M5" s="136">
        <v>3</v>
      </c>
      <c r="N5" s="137" t="s">
        <v>90</v>
      </c>
      <c r="O5" s="138"/>
      <c r="P5" s="139" t="s">
        <v>88</v>
      </c>
      <c r="Q5" s="140">
        <v>3</v>
      </c>
      <c r="R5" s="141" t="s">
        <v>91</v>
      </c>
      <c r="S5" s="142"/>
      <c r="T5" s="152" t="s">
        <v>88</v>
      </c>
      <c r="U5" s="136">
        <v>3</v>
      </c>
      <c r="V5" s="137" t="s">
        <v>92</v>
      </c>
      <c r="W5" s="138"/>
      <c r="X5" s="139">
        <v>27.285714285714285</v>
      </c>
    </row>
    <row r="6" spans="1:24">
      <c r="A6" s="136">
        <v>4</v>
      </c>
      <c r="B6" s="137" t="s">
        <v>95</v>
      </c>
      <c r="C6" s="138"/>
      <c r="D6" s="151" t="s">
        <v>88</v>
      </c>
      <c r="E6" s="140">
        <v>4</v>
      </c>
      <c r="F6" s="141" t="s">
        <v>91</v>
      </c>
      <c r="G6" s="142"/>
      <c r="H6" s="143" t="s">
        <v>88</v>
      </c>
      <c r="I6" s="136">
        <v>4</v>
      </c>
      <c r="J6" s="137" t="s">
        <v>94</v>
      </c>
      <c r="K6" s="138"/>
      <c r="L6" s="151" t="s">
        <v>88</v>
      </c>
      <c r="M6" s="136">
        <v>4</v>
      </c>
      <c r="N6" s="137" t="s">
        <v>93</v>
      </c>
      <c r="O6" s="138"/>
      <c r="P6" s="139" t="s">
        <v>88</v>
      </c>
      <c r="Q6" s="140">
        <v>4</v>
      </c>
      <c r="R6" s="141" t="s">
        <v>96</v>
      </c>
      <c r="S6" s="142"/>
      <c r="T6" s="152" t="s">
        <v>88</v>
      </c>
      <c r="U6" s="136">
        <v>4</v>
      </c>
      <c r="V6" s="137" t="s">
        <v>94</v>
      </c>
      <c r="W6" s="138"/>
      <c r="X6" s="139" t="s">
        <v>88</v>
      </c>
    </row>
    <row r="7" spans="1:24">
      <c r="A7" s="140">
        <v>5</v>
      </c>
      <c r="B7" s="141" t="s">
        <v>91</v>
      </c>
      <c r="C7" s="142"/>
      <c r="D7" s="152" t="s">
        <v>88</v>
      </c>
      <c r="E7" s="140">
        <v>5</v>
      </c>
      <c r="F7" s="141" t="s">
        <v>96</v>
      </c>
      <c r="G7" s="142"/>
      <c r="H7" s="143" t="s">
        <v>88</v>
      </c>
      <c r="I7" s="136">
        <v>5</v>
      </c>
      <c r="J7" s="137" t="s">
        <v>90</v>
      </c>
      <c r="K7" s="138"/>
      <c r="L7" s="151" t="s">
        <v>88</v>
      </c>
      <c r="M7" s="136">
        <v>5</v>
      </c>
      <c r="N7" s="137" t="s">
        <v>95</v>
      </c>
      <c r="O7" s="138"/>
      <c r="P7" s="139" t="s">
        <v>88</v>
      </c>
      <c r="Q7" s="140">
        <v>5</v>
      </c>
      <c r="R7" s="141" t="s">
        <v>92</v>
      </c>
      <c r="S7" s="142" t="s">
        <v>102</v>
      </c>
      <c r="T7" s="152">
        <v>23.285714285714285</v>
      </c>
      <c r="U7" s="136">
        <v>5</v>
      </c>
      <c r="V7" s="137" t="s">
        <v>90</v>
      </c>
      <c r="W7" s="138"/>
      <c r="X7" s="139" t="s">
        <v>88</v>
      </c>
    </row>
    <row r="8" spans="1:24">
      <c r="A8" s="140">
        <v>6</v>
      </c>
      <c r="B8" s="141" t="s">
        <v>96</v>
      </c>
      <c r="C8" s="142"/>
      <c r="D8" s="152" t="s">
        <v>88</v>
      </c>
      <c r="E8" s="136">
        <v>6</v>
      </c>
      <c r="F8" s="137" t="s">
        <v>92</v>
      </c>
      <c r="G8" s="138"/>
      <c r="H8" s="139">
        <v>10.285714285714286</v>
      </c>
      <c r="I8" s="136">
        <v>6</v>
      </c>
      <c r="J8" s="137" t="s">
        <v>93</v>
      </c>
      <c r="K8" s="138"/>
      <c r="L8" s="151" t="s">
        <v>88</v>
      </c>
      <c r="M8" s="140">
        <v>6</v>
      </c>
      <c r="N8" s="141" t="s">
        <v>91</v>
      </c>
      <c r="O8" s="241"/>
      <c r="P8" s="143" t="s">
        <v>88</v>
      </c>
      <c r="Q8" s="136">
        <v>6</v>
      </c>
      <c r="R8" s="137" t="s">
        <v>94</v>
      </c>
      <c r="S8" s="138"/>
      <c r="T8" s="151" t="s">
        <v>88</v>
      </c>
      <c r="U8" s="136">
        <v>6</v>
      </c>
      <c r="V8" s="137" t="s">
        <v>93</v>
      </c>
      <c r="W8" s="138"/>
      <c r="X8" s="139" t="s">
        <v>88</v>
      </c>
    </row>
    <row r="9" spans="1:24">
      <c r="A9" s="136">
        <v>7</v>
      </c>
      <c r="B9" s="137" t="s">
        <v>92</v>
      </c>
      <c r="C9" s="138"/>
      <c r="D9" s="151">
        <v>6.2857142857142856</v>
      </c>
      <c r="E9" s="136">
        <v>7</v>
      </c>
      <c r="F9" s="137" t="s">
        <v>94</v>
      </c>
      <c r="G9" s="138"/>
      <c r="H9" s="139" t="s">
        <v>88</v>
      </c>
      <c r="I9" s="136">
        <v>7</v>
      </c>
      <c r="J9" s="137" t="s">
        <v>95</v>
      </c>
      <c r="K9" s="138"/>
      <c r="L9" s="151" t="s">
        <v>88</v>
      </c>
      <c r="M9" s="140">
        <v>7</v>
      </c>
      <c r="N9" s="141" t="s">
        <v>96</v>
      </c>
      <c r="O9" s="142"/>
      <c r="P9" s="143" t="s">
        <v>88</v>
      </c>
      <c r="Q9" s="136">
        <v>7</v>
      </c>
      <c r="R9" s="137" t="s">
        <v>90</v>
      </c>
      <c r="S9" s="138"/>
      <c r="T9" s="151" t="s">
        <v>88</v>
      </c>
      <c r="U9" s="136">
        <v>7</v>
      </c>
      <c r="V9" s="137" t="s">
        <v>95</v>
      </c>
      <c r="W9" s="138"/>
      <c r="X9" s="139" t="s">
        <v>88</v>
      </c>
    </row>
    <row r="10" spans="1:24">
      <c r="A10" s="136">
        <v>8</v>
      </c>
      <c r="B10" s="137" t="s">
        <v>94</v>
      </c>
      <c r="C10" s="138"/>
      <c r="D10" s="151" t="s">
        <v>88</v>
      </c>
      <c r="E10" s="136">
        <v>8</v>
      </c>
      <c r="F10" s="137" t="s">
        <v>90</v>
      </c>
      <c r="G10" s="138"/>
      <c r="H10" s="139" t="s">
        <v>88</v>
      </c>
      <c r="I10" s="140">
        <v>8</v>
      </c>
      <c r="J10" s="141" t="s">
        <v>91</v>
      </c>
      <c r="K10" s="142"/>
      <c r="L10" s="152" t="s">
        <v>88</v>
      </c>
      <c r="M10" s="136">
        <v>8</v>
      </c>
      <c r="N10" s="137" t="s">
        <v>92</v>
      </c>
      <c r="O10" s="138"/>
      <c r="P10" s="139">
        <v>19.285714285714285</v>
      </c>
      <c r="Q10" s="136">
        <v>8</v>
      </c>
      <c r="R10" s="137" t="s">
        <v>93</v>
      </c>
      <c r="S10" s="138"/>
      <c r="T10" s="151" t="s">
        <v>88</v>
      </c>
      <c r="U10" s="140">
        <v>8</v>
      </c>
      <c r="V10" s="141" t="s">
        <v>91</v>
      </c>
      <c r="W10" s="142"/>
      <c r="X10" s="143" t="s">
        <v>88</v>
      </c>
    </row>
    <row r="11" spans="1:24">
      <c r="A11" s="136">
        <v>9</v>
      </c>
      <c r="B11" s="137" t="s">
        <v>90</v>
      </c>
      <c r="C11" s="138"/>
      <c r="D11" s="151" t="s">
        <v>88</v>
      </c>
      <c r="E11" s="136">
        <v>9</v>
      </c>
      <c r="F11" s="137" t="s">
        <v>93</v>
      </c>
      <c r="G11" s="138"/>
      <c r="H11" s="139" t="s">
        <v>88</v>
      </c>
      <c r="I11" s="140">
        <v>9</v>
      </c>
      <c r="J11" s="141" t="s">
        <v>96</v>
      </c>
      <c r="K11" s="142"/>
      <c r="L11" s="152" t="s">
        <v>88</v>
      </c>
      <c r="M11" s="136">
        <v>9</v>
      </c>
      <c r="N11" s="137" t="s">
        <v>94</v>
      </c>
      <c r="O11" s="160"/>
      <c r="P11" s="139" t="s">
        <v>88</v>
      </c>
      <c r="Q11" s="136">
        <v>9</v>
      </c>
      <c r="R11" s="137" t="s">
        <v>95</v>
      </c>
      <c r="S11" s="138"/>
      <c r="T11" s="151" t="s">
        <v>88</v>
      </c>
      <c r="U11" s="140">
        <v>9</v>
      </c>
      <c r="V11" s="141" t="s">
        <v>96</v>
      </c>
      <c r="W11" s="142"/>
      <c r="X11" s="143" t="s">
        <v>88</v>
      </c>
    </row>
    <row r="12" spans="1:24">
      <c r="A12" s="136">
        <v>10</v>
      </c>
      <c r="B12" s="137" t="s">
        <v>93</v>
      </c>
      <c r="C12" s="138"/>
      <c r="D12" s="151" t="s">
        <v>88</v>
      </c>
      <c r="E12" s="136">
        <v>10</v>
      </c>
      <c r="F12" s="137" t="s">
        <v>95</v>
      </c>
      <c r="G12" s="138"/>
      <c r="H12" s="139" t="s">
        <v>88</v>
      </c>
      <c r="I12" s="136">
        <v>10</v>
      </c>
      <c r="J12" s="137" t="s">
        <v>92</v>
      </c>
      <c r="K12" s="138"/>
      <c r="L12" s="151">
        <v>15.285714285714286</v>
      </c>
      <c r="M12" s="136">
        <v>10</v>
      </c>
      <c r="N12" s="137" t="s">
        <v>90</v>
      </c>
      <c r="O12" s="138"/>
      <c r="P12" s="139" t="s">
        <v>88</v>
      </c>
      <c r="Q12" s="140">
        <v>10</v>
      </c>
      <c r="R12" s="141" t="s">
        <v>91</v>
      </c>
      <c r="S12" s="142"/>
      <c r="T12" s="152" t="s">
        <v>88</v>
      </c>
      <c r="U12" s="136">
        <v>10</v>
      </c>
      <c r="V12" s="137" t="s">
        <v>92</v>
      </c>
      <c r="W12" s="138"/>
      <c r="X12" s="139">
        <v>28.285714285714285</v>
      </c>
    </row>
    <row r="13" spans="1:24">
      <c r="A13" s="136">
        <v>11</v>
      </c>
      <c r="B13" s="137" t="s">
        <v>95</v>
      </c>
      <c r="C13" s="138"/>
      <c r="D13" s="151" t="s">
        <v>88</v>
      </c>
      <c r="E13" s="140">
        <v>11</v>
      </c>
      <c r="F13" s="141" t="s">
        <v>91</v>
      </c>
      <c r="G13" s="142"/>
      <c r="H13" s="143" t="s">
        <v>88</v>
      </c>
      <c r="I13" s="136">
        <v>11</v>
      </c>
      <c r="J13" s="137" t="s">
        <v>94</v>
      </c>
      <c r="K13" s="138"/>
      <c r="L13" s="151" t="s">
        <v>88</v>
      </c>
      <c r="M13" s="136">
        <v>11</v>
      </c>
      <c r="N13" s="137" t="s">
        <v>93</v>
      </c>
      <c r="O13" s="138"/>
      <c r="P13" s="139" t="s">
        <v>88</v>
      </c>
      <c r="Q13" s="140">
        <v>11</v>
      </c>
      <c r="R13" s="141" t="s">
        <v>96</v>
      </c>
      <c r="S13" s="142"/>
      <c r="T13" s="152" t="s">
        <v>88</v>
      </c>
      <c r="U13" s="136">
        <v>11</v>
      </c>
      <c r="V13" s="137" t="s">
        <v>94</v>
      </c>
      <c r="W13" s="138"/>
      <c r="X13" s="139" t="s">
        <v>88</v>
      </c>
    </row>
    <row r="14" spans="1:24">
      <c r="A14" s="140">
        <v>12</v>
      </c>
      <c r="B14" s="141" t="s">
        <v>91</v>
      </c>
      <c r="C14" s="142"/>
      <c r="D14" s="152" t="s">
        <v>88</v>
      </c>
      <c r="E14" s="140">
        <v>12</v>
      </c>
      <c r="F14" s="141" t="s">
        <v>96</v>
      </c>
      <c r="G14" s="142"/>
      <c r="H14" s="143" t="s">
        <v>88</v>
      </c>
      <c r="I14" s="136">
        <v>12</v>
      </c>
      <c r="J14" s="137" t="s">
        <v>90</v>
      </c>
      <c r="K14" s="138"/>
      <c r="L14" s="151" t="s">
        <v>88</v>
      </c>
      <c r="M14" s="136">
        <v>12</v>
      </c>
      <c r="N14" s="137" t="s">
        <v>95</v>
      </c>
      <c r="O14" s="138"/>
      <c r="P14" s="139" t="s">
        <v>88</v>
      </c>
      <c r="Q14" s="136">
        <v>12</v>
      </c>
      <c r="R14" s="137" t="s">
        <v>92</v>
      </c>
      <c r="S14" s="138"/>
      <c r="T14" s="151">
        <v>24.285714285714285</v>
      </c>
      <c r="U14" s="136">
        <v>12</v>
      </c>
      <c r="V14" s="137" t="s">
        <v>90</v>
      </c>
      <c r="W14" s="138"/>
      <c r="X14" s="139" t="s">
        <v>88</v>
      </c>
    </row>
    <row r="15" spans="1:24">
      <c r="A15" s="140">
        <v>13</v>
      </c>
      <c r="B15" s="141" t="s">
        <v>96</v>
      </c>
      <c r="C15" s="142"/>
      <c r="D15" s="152" t="s">
        <v>88</v>
      </c>
      <c r="E15" s="136">
        <v>13</v>
      </c>
      <c r="F15" s="137" t="s">
        <v>92</v>
      </c>
      <c r="G15" s="138"/>
      <c r="H15" s="139">
        <v>11.285714285714286</v>
      </c>
      <c r="I15" s="140">
        <v>13</v>
      </c>
      <c r="J15" s="141" t="s">
        <v>93</v>
      </c>
      <c r="K15" s="142" t="s">
        <v>60</v>
      </c>
      <c r="L15" s="152" t="s">
        <v>88</v>
      </c>
      <c r="M15" s="140">
        <v>13</v>
      </c>
      <c r="N15" s="141" t="s">
        <v>91</v>
      </c>
      <c r="O15" s="142"/>
      <c r="P15" s="143" t="s">
        <v>88</v>
      </c>
      <c r="Q15" s="136">
        <v>13</v>
      </c>
      <c r="R15" s="137" t="s">
        <v>94</v>
      </c>
      <c r="S15" s="138"/>
      <c r="T15" s="151" t="s">
        <v>88</v>
      </c>
      <c r="U15" s="136">
        <v>13</v>
      </c>
      <c r="V15" s="137" t="s">
        <v>93</v>
      </c>
      <c r="W15" s="138"/>
      <c r="X15" s="139" t="s">
        <v>88</v>
      </c>
    </row>
    <row r="16" spans="1:24">
      <c r="A16" s="136">
        <v>14</v>
      </c>
      <c r="B16" s="137" t="s">
        <v>92</v>
      </c>
      <c r="C16" s="138"/>
      <c r="D16" s="151">
        <v>7.2857142857142856</v>
      </c>
      <c r="E16" s="136">
        <v>14</v>
      </c>
      <c r="F16" s="137" t="s">
        <v>94</v>
      </c>
      <c r="G16" s="138"/>
      <c r="H16" s="139" t="s">
        <v>88</v>
      </c>
      <c r="I16" s="140">
        <v>14</v>
      </c>
      <c r="J16" s="141" t="s">
        <v>95</v>
      </c>
      <c r="K16" s="142" t="s">
        <v>100</v>
      </c>
      <c r="L16" s="152" t="s">
        <v>88</v>
      </c>
      <c r="M16" s="140">
        <v>14</v>
      </c>
      <c r="N16" s="141" t="s">
        <v>96</v>
      </c>
      <c r="O16" s="142"/>
      <c r="P16" s="143" t="s">
        <v>88</v>
      </c>
      <c r="Q16" s="136">
        <v>14</v>
      </c>
      <c r="R16" s="137" t="s">
        <v>90</v>
      </c>
      <c r="S16" s="138"/>
      <c r="T16" s="151" t="s">
        <v>88</v>
      </c>
      <c r="U16" s="136">
        <v>14</v>
      </c>
      <c r="V16" s="137" t="s">
        <v>95</v>
      </c>
      <c r="W16" s="138"/>
      <c r="X16" s="139" t="s">
        <v>88</v>
      </c>
    </row>
    <row r="17" spans="1:24">
      <c r="A17" s="136">
        <v>15</v>
      </c>
      <c r="B17" s="137" t="s">
        <v>94</v>
      </c>
      <c r="C17" s="138"/>
      <c r="D17" s="151" t="s">
        <v>88</v>
      </c>
      <c r="E17" s="136">
        <v>15</v>
      </c>
      <c r="F17" s="137" t="s">
        <v>90</v>
      </c>
      <c r="G17" s="138"/>
      <c r="H17" s="139" t="s">
        <v>88</v>
      </c>
      <c r="I17" s="140">
        <v>15</v>
      </c>
      <c r="J17" s="141" t="s">
        <v>91</v>
      </c>
      <c r="K17" s="142"/>
      <c r="L17" s="152" t="s">
        <v>88</v>
      </c>
      <c r="M17" s="136">
        <v>15</v>
      </c>
      <c r="N17" s="137" t="s">
        <v>92</v>
      </c>
      <c r="O17" s="138"/>
      <c r="P17" s="139">
        <v>20.285714285714285</v>
      </c>
      <c r="Q17" s="136">
        <v>15</v>
      </c>
      <c r="R17" s="137" t="s">
        <v>93</v>
      </c>
      <c r="S17" s="138"/>
      <c r="T17" s="151" t="s">
        <v>88</v>
      </c>
      <c r="U17" s="140">
        <v>15</v>
      </c>
      <c r="V17" s="141" t="s">
        <v>91</v>
      </c>
      <c r="W17" s="142"/>
      <c r="X17" s="143" t="s">
        <v>88</v>
      </c>
    </row>
    <row r="18" spans="1:24">
      <c r="A18" s="136">
        <v>16</v>
      </c>
      <c r="B18" s="137" t="s">
        <v>90</v>
      </c>
      <c r="C18" s="138"/>
      <c r="D18" s="151" t="s">
        <v>88</v>
      </c>
      <c r="E18" s="136">
        <v>16</v>
      </c>
      <c r="F18" s="137" t="s">
        <v>93</v>
      </c>
      <c r="G18" s="138"/>
      <c r="H18" s="139" t="s">
        <v>88</v>
      </c>
      <c r="I18" s="140">
        <v>16</v>
      </c>
      <c r="J18" s="141" t="s">
        <v>96</v>
      </c>
      <c r="K18" s="142" t="s">
        <v>146</v>
      </c>
      <c r="L18" s="152" t="s">
        <v>88</v>
      </c>
      <c r="M18" s="136">
        <v>16</v>
      </c>
      <c r="N18" s="137" t="s">
        <v>94</v>
      </c>
      <c r="O18" s="138"/>
      <c r="P18" s="139" t="s">
        <v>88</v>
      </c>
      <c r="Q18" s="136">
        <v>16</v>
      </c>
      <c r="R18" s="137" t="s">
        <v>95</v>
      </c>
      <c r="S18" s="138"/>
      <c r="T18" s="151" t="s">
        <v>88</v>
      </c>
      <c r="U18" s="140">
        <v>16</v>
      </c>
      <c r="V18" s="141" t="s">
        <v>96</v>
      </c>
      <c r="W18" s="142"/>
      <c r="X18" s="143" t="s">
        <v>88</v>
      </c>
    </row>
    <row r="19" spans="1:24">
      <c r="A19" s="136">
        <v>17</v>
      </c>
      <c r="B19" s="137" t="s">
        <v>93</v>
      </c>
      <c r="C19" s="138"/>
      <c r="D19" s="151" t="s">
        <v>88</v>
      </c>
      <c r="E19" s="136">
        <v>17</v>
      </c>
      <c r="F19" s="137" t="s">
        <v>95</v>
      </c>
      <c r="G19" s="138"/>
      <c r="H19" s="139" t="s">
        <v>88</v>
      </c>
      <c r="I19" s="140">
        <v>17</v>
      </c>
      <c r="J19" s="141" t="s">
        <v>92</v>
      </c>
      <c r="K19" s="142" t="s">
        <v>72</v>
      </c>
      <c r="L19" s="152">
        <v>16.285714285714285</v>
      </c>
      <c r="M19" s="136">
        <v>17</v>
      </c>
      <c r="N19" s="137" t="s">
        <v>90</v>
      </c>
      <c r="O19" s="138"/>
      <c r="P19" s="139" t="s">
        <v>88</v>
      </c>
      <c r="Q19" s="140">
        <v>17</v>
      </c>
      <c r="R19" s="141" t="s">
        <v>91</v>
      </c>
      <c r="S19" s="142"/>
      <c r="T19" s="152" t="s">
        <v>88</v>
      </c>
      <c r="U19" s="136">
        <v>17</v>
      </c>
      <c r="V19" s="137" t="s">
        <v>92</v>
      </c>
      <c r="W19" s="138"/>
      <c r="X19" s="139">
        <v>29.285714285714285</v>
      </c>
    </row>
    <row r="20" spans="1:24">
      <c r="A20" s="136">
        <v>18</v>
      </c>
      <c r="B20" s="137" t="s">
        <v>95</v>
      </c>
      <c r="C20" s="138"/>
      <c r="D20" s="151" t="s">
        <v>88</v>
      </c>
      <c r="E20" s="140">
        <v>18</v>
      </c>
      <c r="F20" s="141" t="s">
        <v>91</v>
      </c>
      <c r="G20" s="142"/>
      <c r="H20" s="143" t="s">
        <v>88</v>
      </c>
      <c r="I20" s="136">
        <v>18</v>
      </c>
      <c r="J20" s="137" t="s">
        <v>94</v>
      </c>
      <c r="K20" s="138"/>
      <c r="L20" s="151" t="s">
        <v>88</v>
      </c>
      <c r="M20" s="136">
        <v>18</v>
      </c>
      <c r="N20" s="137" t="s">
        <v>93</v>
      </c>
      <c r="O20" s="160"/>
      <c r="P20" s="161" t="s">
        <v>88</v>
      </c>
      <c r="Q20" s="140">
        <v>18</v>
      </c>
      <c r="R20" s="141" t="s">
        <v>96</v>
      </c>
      <c r="S20" s="142"/>
      <c r="T20" s="152" t="s">
        <v>88</v>
      </c>
      <c r="U20" s="136">
        <v>18</v>
      </c>
      <c r="V20" s="149" t="s">
        <v>94</v>
      </c>
      <c r="W20" s="138"/>
      <c r="X20" s="139" t="s">
        <v>88</v>
      </c>
    </row>
    <row r="21" spans="1:24">
      <c r="A21" s="140">
        <v>19</v>
      </c>
      <c r="B21" s="141" t="s">
        <v>91</v>
      </c>
      <c r="C21" s="142"/>
      <c r="D21" s="152" t="s">
        <v>88</v>
      </c>
      <c r="E21" s="140">
        <v>19</v>
      </c>
      <c r="F21" s="141" t="s">
        <v>96</v>
      </c>
      <c r="G21" s="142"/>
      <c r="H21" s="143" t="s">
        <v>88</v>
      </c>
      <c r="I21" s="136">
        <v>19</v>
      </c>
      <c r="J21" s="137" t="s">
        <v>90</v>
      </c>
      <c r="K21" s="138"/>
      <c r="L21" s="151" t="s">
        <v>88</v>
      </c>
      <c r="M21" s="136">
        <v>19</v>
      </c>
      <c r="N21" s="137" t="s">
        <v>95</v>
      </c>
      <c r="O21" s="138"/>
      <c r="P21" s="139" t="s">
        <v>88</v>
      </c>
      <c r="Q21" s="136">
        <v>19</v>
      </c>
      <c r="R21" s="137" t="s">
        <v>92</v>
      </c>
      <c r="S21" s="138"/>
      <c r="T21" s="151">
        <v>25.285714285714285</v>
      </c>
      <c r="U21" s="136">
        <v>19</v>
      </c>
      <c r="V21" s="137" t="s">
        <v>90</v>
      </c>
      <c r="W21" s="138"/>
      <c r="X21" s="139" t="s">
        <v>88</v>
      </c>
    </row>
    <row r="22" spans="1:24">
      <c r="A22" s="140">
        <v>20</v>
      </c>
      <c r="B22" s="141" t="s">
        <v>96</v>
      </c>
      <c r="C22" s="142"/>
      <c r="D22" s="152" t="s">
        <v>88</v>
      </c>
      <c r="E22" s="136">
        <v>20</v>
      </c>
      <c r="F22" s="137" t="s">
        <v>92</v>
      </c>
      <c r="G22" s="138"/>
      <c r="H22" s="139">
        <v>12.285714285714286</v>
      </c>
      <c r="I22" s="136">
        <v>20</v>
      </c>
      <c r="J22" s="137" t="s">
        <v>93</v>
      </c>
      <c r="K22" s="138"/>
      <c r="L22" s="151" t="s">
        <v>88</v>
      </c>
      <c r="M22" s="140">
        <v>20</v>
      </c>
      <c r="N22" s="141" t="s">
        <v>91</v>
      </c>
      <c r="O22" s="142"/>
      <c r="P22" s="143" t="s">
        <v>88</v>
      </c>
      <c r="Q22" s="136">
        <v>20</v>
      </c>
      <c r="R22" s="149" t="s">
        <v>94</v>
      </c>
      <c r="S22" s="138"/>
      <c r="T22" s="151" t="s">
        <v>88</v>
      </c>
      <c r="U22" s="136">
        <v>20</v>
      </c>
      <c r="V22" s="137" t="s">
        <v>93</v>
      </c>
      <c r="W22" s="138"/>
      <c r="X22" s="139" t="s">
        <v>88</v>
      </c>
    </row>
    <row r="23" spans="1:24">
      <c r="A23" s="136">
        <v>21</v>
      </c>
      <c r="B23" s="137" t="s">
        <v>92</v>
      </c>
      <c r="C23" s="138"/>
      <c r="D23" s="151">
        <v>8.2857142857142865</v>
      </c>
      <c r="E23" s="136">
        <v>21</v>
      </c>
      <c r="F23" s="137" t="s">
        <v>94</v>
      </c>
      <c r="G23" s="138"/>
      <c r="H23" s="139" t="s">
        <v>88</v>
      </c>
      <c r="I23" s="136">
        <v>21</v>
      </c>
      <c r="J23" s="137" t="s">
        <v>95</v>
      </c>
      <c r="K23" s="138"/>
      <c r="L23" s="151" t="s">
        <v>88</v>
      </c>
      <c r="M23" s="140">
        <v>21</v>
      </c>
      <c r="N23" s="141" t="s">
        <v>96</v>
      </c>
      <c r="O23" s="142"/>
      <c r="P23" s="143" t="s">
        <v>88</v>
      </c>
      <c r="Q23" s="136">
        <v>21</v>
      </c>
      <c r="R23" s="137" t="s">
        <v>90</v>
      </c>
      <c r="S23" s="138"/>
      <c r="T23" s="151" t="s">
        <v>88</v>
      </c>
      <c r="U23" s="136">
        <v>21</v>
      </c>
      <c r="V23" s="149" t="s">
        <v>95</v>
      </c>
      <c r="W23" s="138"/>
      <c r="X23" s="139" t="s">
        <v>88</v>
      </c>
    </row>
    <row r="24" spans="1:24">
      <c r="A24" s="136">
        <v>22</v>
      </c>
      <c r="B24" s="137" t="s">
        <v>94</v>
      </c>
      <c r="C24" s="138"/>
      <c r="D24" s="151" t="s">
        <v>88</v>
      </c>
      <c r="E24" s="136">
        <v>22</v>
      </c>
      <c r="F24" s="137" t="s">
        <v>90</v>
      </c>
      <c r="G24" s="138"/>
      <c r="H24" s="139" t="s">
        <v>88</v>
      </c>
      <c r="I24" s="140">
        <v>22</v>
      </c>
      <c r="J24" s="141" t="s">
        <v>91</v>
      </c>
      <c r="K24" s="142"/>
      <c r="L24" s="152" t="s">
        <v>88</v>
      </c>
      <c r="M24" s="136">
        <v>22</v>
      </c>
      <c r="N24" s="137" t="s">
        <v>92</v>
      </c>
      <c r="O24" s="138"/>
      <c r="P24" s="139">
        <v>21.285714285714285</v>
      </c>
      <c r="Q24" s="136">
        <v>22</v>
      </c>
      <c r="R24" s="137" t="s">
        <v>93</v>
      </c>
      <c r="S24" s="138"/>
      <c r="T24" s="151" t="s">
        <v>88</v>
      </c>
      <c r="U24" s="140">
        <v>22</v>
      </c>
      <c r="V24" s="141" t="s">
        <v>91</v>
      </c>
      <c r="W24" s="142"/>
      <c r="X24" s="143" t="s">
        <v>88</v>
      </c>
    </row>
    <row r="25" spans="1:24">
      <c r="A25" s="136">
        <v>23</v>
      </c>
      <c r="B25" s="137" t="s">
        <v>90</v>
      </c>
      <c r="C25" s="138"/>
      <c r="D25" s="151" t="s">
        <v>88</v>
      </c>
      <c r="E25" s="136">
        <v>23</v>
      </c>
      <c r="F25" s="137" t="s">
        <v>93</v>
      </c>
      <c r="G25" s="138"/>
      <c r="H25" s="139" t="s">
        <v>88</v>
      </c>
      <c r="I25" s="140">
        <v>23</v>
      </c>
      <c r="J25" s="141" t="s">
        <v>96</v>
      </c>
      <c r="K25" s="142"/>
      <c r="L25" s="152" t="s">
        <v>88</v>
      </c>
      <c r="M25" s="136">
        <v>23</v>
      </c>
      <c r="N25" s="149" t="s">
        <v>94</v>
      </c>
      <c r="O25" s="138"/>
      <c r="P25" s="139" t="s">
        <v>88</v>
      </c>
      <c r="Q25" s="136">
        <v>23</v>
      </c>
      <c r="R25" s="149" t="s">
        <v>95</v>
      </c>
      <c r="S25" s="138"/>
      <c r="T25" s="151" t="s">
        <v>88</v>
      </c>
      <c r="U25" s="140">
        <v>23</v>
      </c>
      <c r="V25" s="141" t="s">
        <v>96</v>
      </c>
      <c r="W25" s="142"/>
      <c r="X25" s="143" t="s">
        <v>88</v>
      </c>
    </row>
    <row r="26" spans="1:24">
      <c r="A26" s="136">
        <v>24</v>
      </c>
      <c r="B26" s="137" t="s">
        <v>93</v>
      </c>
      <c r="C26" s="138"/>
      <c r="D26" s="151" t="s">
        <v>88</v>
      </c>
      <c r="E26" s="136">
        <v>24</v>
      </c>
      <c r="F26" s="137" t="s">
        <v>95</v>
      </c>
      <c r="G26" s="138"/>
      <c r="H26" s="139" t="s">
        <v>88</v>
      </c>
      <c r="I26" s="136">
        <v>24</v>
      </c>
      <c r="J26" s="137" t="s">
        <v>92</v>
      </c>
      <c r="K26" s="138"/>
      <c r="L26" s="151">
        <v>17.285714285714285</v>
      </c>
      <c r="M26" s="136">
        <v>24</v>
      </c>
      <c r="N26" s="137" t="s">
        <v>90</v>
      </c>
      <c r="O26" s="138"/>
      <c r="P26" s="139" t="s">
        <v>88</v>
      </c>
      <c r="Q26" s="140">
        <v>24</v>
      </c>
      <c r="R26" s="141" t="s">
        <v>91</v>
      </c>
      <c r="S26" s="142"/>
      <c r="T26" s="152" t="s">
        <v>88</v>
      </c>
      <c r="U26" s="136">
        <v>24</v>
      </c>
      <c r="V26" s="137" t="s">
        <v>92</v>
      </c>
      <c r="W26" s="138"/>
      <c r="X26" s="139">
        <v>30.285714285714285</v>
      </c>
    </row>
    <row r="27" spans="1:24">
      <c r="A27" s="136">
        <v>25</v>
      </c>
      <c r="B27" s="137" t="s">
        <v>95</v>
      </c>
      <c r="C27" s="138"/>
      <c r="D27" s="151" t="s">
        <v>88</v>
      </c>
      <c r="E27" s="140">
        <v>25</v>
      </c>
      <c r="F27" s="141" t="s">
        <v>91</v>
      </c>
      <c r="G27" s="142"/>
      <c r="H27" s="143" t="s">
        <v>88</v>
      </c>
      <c r="I27" s="136">
        <v>25</v>
      </c>
      <c r="J27" s="149" t="s">
        <v>94</v>
      </c>
      <c r="K27" s="138"/>
      <c r="L27" s="151" t="s">
        <v>88</v>
      </c>
      <c r="M27" s="140">
        <v>25</v>
      </c>
      <c r="N27" s="141" t="s">
        <v>93</v>
      </c>
      <c r="O27" s="242" t="s">
        <v>149</v>
      </c>
      <c r="P27" s="243"/>
      <c r="Q27" s="140">
        <v>25</v>
      </c>
      <c r="R27" s="141" t="s">
        <v>96</v>
      </c>
      <c r="S27" s="142"/>
      <c r="T27" s="152" t="s">
        <v>88</v>
      </c>
      <c r="U27" s="136">
        <v>25</v>
      </c>
      <c r="V27" s="137" t="s">
        <v>94</v>
      </c>
      <c r="W27" s="138"/>
      <c r="X27" s="139" t="s">
        <v>88</v>
      </c>
    </row>
    <row r="28" spans="1:24">
      <c r="A28" s="140">
        <v>26</v>
      </c>
      <c r="B28" s="141" t="s">
        <v>91</v>
      </c>
      <c r="C28" s="142"/>
      <c r="D28" s="152" t="s">
        <v>88</v>
      </c>
      <c r="E28" s="140">
        <v>26</v>
      </c>
      <c r="F28" s="141" t="s">
        <v>96</v>
      </c>
      <c r="G28" s="142"/>
      <c r="H28" s="143" t="s">
        <v>88</v>
      </c>
      <c r="I28" s="136">
        <v>26</v>
      </c>
      <c r="J28" s="137" t="s">
        <v>90</v>
      </c>
      <c r="K28" s="138"/>
      <c r="L28" s="151" t="s">
        <v>88</v>
      </c>
      <c r="M28" s="136">
        <v>26</v>
      </c>
      <c r="N28" s="149" t="s">
        <v>95</v>
      </c>
      <c r="O28" s="138"/>
      <c r="P28" s="139" t="s">
        <v>88</v>
      </c>
      <c r="Q28" s="136">
        <v>26</v>
      </c>
      <c r="R28" s="137" t="s">
        <v>92</v>
      </c>
      <c r="S28" s="138"/>
      <c r="T28" s="151">
        <v>26.285714285714285</v>
      </c>
      <c r="U28" s="136">
        <v>26</v>
      </c>
      <c r="V28" s="149" t="s">
        <v>90</v>
      </c>
      <c r="W28" s="138"/>
      <c r="X28" s="139" t="s">
        <v>88</v>
      </c>
    </row>
    <row r="29" spans="1:24">
      <c r="A29" s="140">
        <v>27</v>
      </c>
      <c r="B29" s="141" t="s">
        <v>96</v>
      </c>
      <c r="C29" s="142"/>
      <c r="D29" s="152" t="s">
        <v>88</v>
      </c>
      <c r="E29" s="136">
        <v>27</v>
      </c>
      <c r="F29" s="137" t="s">
        <v>92</v>
      </c>
      <c r="G29" s="138"/>
      <c r="H29" s="139">
        <v>13.285714285714286</v>
      </c>
      <c r="I29" s="136">
        <v>27</v>
      </c>
      <c r="J29" s="137" t="s">
        <v>93</v>
      </c>
      <c r="K29" s="138"/>
      <c r="L29" s="151" t="s">
        <v>88</v>
      </c>
      <c r="M29" s="140">
        <v>27</v>
      </c>
      <c r="N29" s="141" t="s">
        <v>91</v>
      </c>
      <c r="O29" s="142"/>
      <c r="P29" s="143" t="s">
        <v>88</v>
      </c>
      <c r="Q29" s="136">
        <v>27</v>
      </c>
      <c r="R29" s="137" t="s">
        <v>94</v>
      </c>
      <c r="S29" s="138"/>
      <c r="T29" s="151" t="s">
        <v>88</v>
      </c>
      <c r="U29" s="136">
        <v>27</v>
      </c>
      <c r="V29" s="137" t="s">
        <v>93</v>
      </c>
      <c r="W29" s="138"/>
      <c r="X29" s="139" t="s">
        <v>88</v>
      </c>
    </row>
    <row r="30" spans="1:24">
      <c r="A30" s="136">
        <v>28</v>
      </c>
      <c r="B30" s="149" t="s">
        <v>92</v>
      </c>
      <c r="C30" s="138"/>
      <c r="D30" s="139">
        <v>9.2857142857142865</v>
      </c>
      <c r="E30" s="136">
        <v>28</v>
      </c>
      <c r="F30" s="149" t="s">
        <v>94</v>
      </c>
      <c r="G30" s="138"/>
      <c r="H30" s="139" t="s">
        <v>88</v>
      </c>
      <c r="I30" s="136">
        <v>28</v>
      </c>
      <c r="J30" s="149" t="s">
        <v>95</v>
      </c>
      <c r="K30" s="138"/>
      <c r="L30" s="151" t="s">
        <v>88</v>
      </c>
      <c r="M30" s="140">
        <v>28</v>
      </c>
      <c r="N30" s="141" t="s">
        <v>96</v>
      </c>
      <c r="O30" s="142"/>
      <c r="P30" s="143" t="s">
        <v>88</v>
      </c>
      <c r="Q30" s="136">
        <v>28</v>
      </c>
      <c r="R30" s="149" t="s">
        <v>90</v>
      </c>
      <c r="S30" s="138"/>
      <c r="T30" s="151" t="s">
        <v>88</v>
      </c>
      <c r="U30" s="136">
        <v>28</v>
      </c>
      <c r="V30" s="137" t="s">
        <v>95</v>
      </c>
      <c r="W30" s="138"/>
      <c r="X30" s="139" t="s">
        <v>88</v>
      </c>
    </row>
    <row r="31" spans="1:24">
      <c r="A31" s="136">
        <v>29</v>
      </c>
      <c r="B31" s="149" t="s">
        <v>94</v>
      </c>
      <c r="C31" s="138"/>
      <c r="D31" s="139" t="s">
        <v>88</v>
      </c>
      <c r="E31" s="136">
        <v>29</v>
      </c>
      <c r="F31" s="137" t="s">
        <v>90</v>
      </c>
      <c r="G31" s="138"/>
      <c r="H31" s="139" t="s">
        <v>88</v>
      </c>
      <c r="I31" s="140">
        <v>29</v>
      </c>
      <c r="J31" s="141" t="s">
        <v>91</v>
      </c>
      <c r="K31" s="142"/>
      <c r="L31" s="152" t="s">
        <v>88</v>
      </c>
      <c r="M31" s="136">
        <v>29</v>
      </c>
      <c r="N31" s="137" t="s">
        <v>92</v>
      </c>
      <c r="O31" s="138"/>
      <c r="P31" s="139">
        <v>22.285714285714285</v>
      </c>
      <c r="Q31" s="136">
        <v>29</v>
      </c>
      <c r="R31" s="137" t="s">
        <v>93</v>
      </c>
      <c r="S31" s="138"/>
      <c r="T31" s="151" t="s">
        <v>88</v>
      </c>
      <c r="U31" s="140">
        <v>29</v>
      </c>
      <c r="V31" s="141" t="s">
        <v>91</v>
      </c>
      <c r="W31" s="142"/>
      <c r="X31" s="143" t="s">
        <v>88</v>
      </c>
    </row>
    <row r="32" spans="1:24">
      <c r="A32" s="122"/>
      <c r="B32" s="123"/>
      <c r="C32" s="124"/>
      <c r="D32" s="89"/>
      <c r="E32" s="136">
        <v>30</v>
      </c>
      <c r="F32" s="137" t="s">
        <v>93</v>
      </c>
      <c r="G32" s="138"/>
      <c r="H32" s="139" t="s">
        <v>88</v>
      </c>
      <c r="I32" s="140">
        <v>30</v>
      </c>
      <c r="J32" s="141" t="s">
        <v>96</v>
      </c>
      <c r="K32" s="142"/>
      <c r="L32" s="152" t="s">
        <v>88</v>
      </c>
      <c r="M32" s="136">
        <v>30</v>
      </c>
      <c r="N32" s="137" t="s">
        <v>94</v>
      </c>
      <c r="O32" s="138"/>
      <c r="P32" s="139" t="s">
        <v>88</v>
      </c>
      <c r="Q32" s="136">
        <v>30</v>
      </c>
      <c r="R32" s="137" t="s">
        <v>95</v>
      </c>
      <c r="S32" s="138"/>
      <c r="T32" s="151" t="s">
        <v>88</v>
      </c>
      <c r="U32" s="140">
        <v>30</v>
      </c>
      <c r="V32" s="141" t="s">
        <v>96</v>
      </c>
      <c r="W32" s="142"/>
      <c r="X32" s="143" t="s">
        <v>88</v>
      </c>
    </row>
    <row r="33" spans="1:24">
      <c r="A33" s="3"/>
      <c r="B33" s="3"/>
      <c r="C33" s="3"/>
      <c r="D33" s="3"/>
      <c r="E33" s="148">
        <v>31</v>
      </c>
      <c r="F33" s="149" t="s">
        <v>95</v>
      </c>
      <c r="G33" s="135"/>
      <c r="H33" s="150" t="s">
        <v>88</v>
      </c>
      <c r="I33" s="122"/>
      <c r="J33" s="123"/>
      <c r="K33" s="124"/>
      <c r="L33" s="89"/>
      <c r="M33" s="148">
        <v>31</v>
      </c>
      <c r="N33" s="149" t="s">
        <v>90</v>
      </c>
      <c r="O33" s="135"/>
      <c r="P33" s="150" t="s">
        <v>88</v>
      </c>
      <c r="Q33" s="122"/>
      <c r="R33" s="123"/>
      <c r="S33" s="124"/>
      <c r="T33" s="89"/>
      <c r="U33" s="148">
        <v>31</v>
      </c>
      <c r="V33" s="149" t="s">
        <v>92</v>
      </c>
      <c r="W33" s="135"/>
      <c r="X33" s="150">
        <v>31.285714285714285</v>
      </c>
    </row>
  </sheetData>
  <mergeCells count="2">
    <mergeCell ref="A1:X1"/>
    <mergeCell ref="O27:P27"/>
  </mergeCells>
  <pageMargins left="0.7" right="0.7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14</vt:i4>
      </vt:variant>
    </vt:vector>
  </HeadingPairs>
  <TitlesOfParts>
    <vt:vector size="21" baseType="lpstr">
      <vt:lpstr>Maaned</vt:lpstr>
      <vt:lpstr>TOMT ÅR</vt:lpstr>
      <vt:lpstr>Vejledning til arb.tidsoversigt</vt:lpstr>
      <vt:lpstr>Opgaveoversigt</vt:lpstr>
      <vt:lpstr>Aften-weekendtillæg</vt:lpstr>
      <vt:lpstr>TOMT 1. HALVÅR</vt:lpstr>
      <vt:lpstr>TOMT 2. HALVÅR</vt:lpstr>
      <vt:lpstr>Maaned!april</vt:lpstr>
      <vt:lpstr>Maaned!august</vt:lpstr>
      <vt:lpstr>Maaned!december</vt:lpstr>
      <vt:lpstr>Maaned!februar</vt:lpstr>
      <vt:lpstr>Maaned!januar</vt:lpstr>
      <vt:lpstr>Maaned!juli</vt:lpstr>
      <vt:lpstr>Maaned!juni</vt:lpstr>
      <vt:lpstr>Maaned!maj</vt:lpstr>
      <vt:lpstr>Maaned!marts</vt:lpstr>
      <vt:lpstr>Maaned!november</vt:lpstr>
      <vt:lpstr>Maaned!oktober</vt:lpstr>
      <vt:lpstr>Maaned!september</vt:lpstr>
      <vt:lpstr>Maaned!Udskriftsområde</vt:lpstr>
      <vt:lpstr>'TOMT 2. HALVÅR'!Udskriftsområde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Tove Dohn</cp:lastModifiedBy>
  <cp:lastPrinted>2022-02-21T10:49:43Z</cp:lastPrinted>
  <dcterms:created xsi:type="dcterms:W3CDTF">2014-04-09T06:24:54Z</dcterms:created>
  <dcterms:modified xsi:type="dcterms:W3CDTF">2025-07-15T11:00:02Z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